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9F05DF6D-2694-D24D-8484-A29DD3FC99CA}" xr6:coauthVersionLast="47" xr6:coauthVersionMax="47" xr10:uidLastSave="{00000000-0000-0000-0000-000000000000}"/>
  <bookViews>
    <workbookView xWindow="360" yWindow="880" windowWidth="27000" windowHeight="1532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T223"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T505"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<sst xmlns="http://schemas.openxmlformats.org/spreadsheetml/2006/main" count="59975" uniqueCount="19218">
  <si>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</si>
  <si>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</si>
  <si>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</si>
  <si>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</si>
  <si>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</si>
  <si>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</si>
  <si>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</si>
  <si>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</si>
  <si>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</si>
  <si>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</si>
  <si>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</si>
  <si>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</si>
  <si>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</si>
  <si>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</si>
  <si>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</si>
  <si>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</si>
  <si>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</si>
  <si>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</si>
  <si>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</si>
  <si>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</si>
  <si>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</si>
  <si>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</si>
  <si>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</si>
  <si>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</si>
  <si>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</si>
  <si>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</si>
  <si>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</si>
  <si>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</si>
  <si>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</si>
  <si>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</si>
  <si>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</si>
  <si>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</si>
  <si>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</si>
  <si>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</si>
  <si>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</si>
  <si>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</si>
  <si>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</si>
  <si>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</si>
  <si>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</si>
  <si>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</si>
  <si>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</si>
  <si>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</si>
  <si>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</si>
  <si>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</si>
  <si>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</si>
  <si>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</si>
  <si>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</si>
  <si>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</si>
  <si>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</si>
  <si>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</si>
  <si>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</si>
  <si>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</si>
  <si>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</si>
  <si>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</si>
  <si>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</si>
  <si>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</si>
  <si>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</si>
  <si>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</si>
  <si>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</si>
  <si>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</si>
  <si>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</si>
  <si>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</si>
  <si>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</si>
  <si>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</si>
  <si>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</si>
  <si>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</si>
  <si>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</si>
  <si>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</si>
  <si>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</si>
  <si>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</si>
  <si>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</si>
  <si>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</si>
  <si>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</si>
  <si>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Rabe, B; Martin, T; Solomon, A; Assmann, KM; Biddle, LC; Haine, T; Hattermann, T; Haumann, FA; Jahn, A; Karpouzoglou, T; Laukert, G; Garabato, AN; Rosenblum, E; Sikes, E; Yin, LP; Zhang, XD</t>
  </si>
  <si>
    <t/>
  </si>
  <si>
    <t>Rabe, Benjamin; Martin, Torge; Solomon, Amy; Assmann, Karen M.; Biddle, Louise C.; Haine, Thomas; Hattermann, Tore; Haumann, F. Alexander; Jahn, Alexandra; Karpouzoglou, Theodoros; Laukert, Georgi; Garabato, Alberto Naveira; Rosenblum, Erica; Sikes, Elisabeth; Yin, Liping; Zhang, Xiangdong</t>
  </si>
  <si>
    <t>Polar Fresh Water in a Changing Global Climate Linking Arctic and Southern Ocean Processes</t>
  </si>
  <si>
    <t>BULLETIN OF THE AMERICAN METEOROLOGICAL SOCIETY</t>
  </si>
  <si>
    <t>English</t>
  </si>
  <si>
    <t>Editorial Material</t>
  </si>
  <si>
    <t>Ocean; Arctic; Sea ice; Southern Ocean; Freshwater; Snowmelt; icemelt</t>
  </si>
  <si>
    <t>SEA-ICE; TRANSPORT; FLUXES; HEAT; DEEP; CIRCULATION; MELTWATER; PATHWAYS; SHELVES; IMPACT</t>
  </si>
  <si>
    <t>NORP-SORP Workshop on Polar Fresh Water: Sources, Pathways and Impacts of Freshwater in Northern and Southern Polar Oceans and Seas (SPICE-UP)What: Up to 60 participants at a time and more than twice as many registrants in total from 20 nations and across experience levels met to discuss the current status of research on freshwater in both polar regions, future directions, and synergies between the Arctic and Southern Ocean research communitiesWhen: 19-21 September 2022Where: Online</t>
  </si>
  <si>
    <t>[Rabe, Benjamin] Alfred Wegener Inst Helmholtz, Zent Polar &amp; Meeresforsch, Bremerhaven, Germany; [Martin, Torge; Laukert, Georgi] GEOMAR Helmholtz Ctr Ocean Res Kiel, Kiel, Germany; [Solomon, Amy] Univ Colorado, Cooperat Inst Res Environm Sci, Boulder, CO USA; [Solomon, Amy] Phys Sci Lab, Natl Ocean &amp; Atmospher Adm, Boulder, CO USA; [Assmann, Karen M.] Inst Marine Res, Tromso, Norway; [Biddle, Louise C.] Univ Gothenburg, Dept Marine Sci, Gothenburg, Sweden; [Haine, Thomas] Johns Hopkins Univ, Baltimore, MD USA; [Haumann, F. Alexander; Karpouzoglou, Theodoros] Norwegian Polar Res Inst, Tromso, Norway; [Haumann, F. Alexander] Princeton Univ, Atmospher &amp; Ocean Sci Program, Princeton, NJ USA; [Haumann, F. Alexander] Alfred Wegener Inst Helmholtz, Zent Polar &amp; Meeresforsch, Bremerhaven, Germany; [Haumann, F. Alexander] Ludwig Maximilian Univ Munich, Munich, Germany; [Jahn, Alexandra] Univ Colorado, Dept Atmospher &amp; Ocean Sci, Boulder, CO USA; [Jahn, Alexandra] Univ Colorado, Inst Arctic &amp; Alpine Res, Boulder, CO USA; [Laukert, Georgi] Dalhousie Univ, Dept Oceanog, Halifax, NS, Canada; [Laukert, Georgi] Woods Hole Oceanog Inst, Woods Hole, MA USA; Univ Southampton, Ocean &amp; Earth Sci, Southampton, England; Univ Manitoba, Ctr Earth Observat Sci, Winnipeg, MB, Canada; Rutgers State Univ, Dept Marine &amp; Coastal Sci, New Brunswick, NJ USA; First Inst Oceanog, Qingdao, Peoples R China; [Yin, Liping] Int CLIVAR Project Off, Qingdao, Peoples R China; [Zhang, Xiangdong] Univ Alaska, Dept Atmospher Sci, Fairbanks, AK USA; [Zhang, Xiangdong] Univ Alaska, Int Arctic Res Ctr, Fairbanks, AK USA; [Zhang, Xiangdong] North Carolina State Univ, Cooperat Inst Satellite Earth Syst Studies, NOAA, Asheville, NC USA</t>
  </si>
  <si>
    <t>Helmholtz Association; Alfred Wegener Institute, Helmholtz Centre for Polar &amp; Marine Research; Helmholtz Association; GEOMAR Helmholtz Center for Ocean Research Kiel; University of Colorado System; University of Colorado Boulder; National Oceanic Atmospheric Admin (NOAA) - USA; Institute of Marine Research - Norway; University of Gothenburg; Johns Hopkins University; Norwegian Polar Institute; National Oceanic Atmospheric Admin (NOAA) - USA; Princeton University; Helmholtz Association; Alfred Wegener Institute, Helmholtz Centre for Polar &amp; Marine Research; University of Munich; University of Colorado System; University of Colorado Boulder; University of Colorado System; University of Colorado Boulder; Dalhousie University; Woods Hole Oceanographic Institution; University of Southampton; University of Manitoba; Rutgers University System; Rutgers University New Brunswick; First Institute of Oceanography, Ministry of Natural Resources; University of Alaska System; University of Alaska Fairbanks; University of Alaska System; University of Alaska Fairbanks; North Carolina State University; National Oceanic Atmospheric Admin (NOAA) - USA</t>
  </si>
  <si>
    <t>Rabe, B (corresponding author), Alfred Wegener Inst Helmholtz, Zent Polar &amp; Meeresforsch, Bremerhaven, Germany.;Martin, T (corresponding author), GEOMAR Helmholtz Ctr Ocean Res Kiel, Kiel, Germany.</t>
  </si>
  <si>
    <t>benjamin.rabe@awi.de; tomartin@geomar.de</t>
  </si>
  <si>
    <t>Solomon, Amy B/L-8988-2013; Martin, Torge/H-2613-2017; Jahn, Alexandra/C-6545-2008; Haumann, Alexander/J-6679-2014</t>
  </si>
  <si>
    <t>Jahn, Alexandra/0000-0002-6580-2579; Haumann, Alexander/0000-0002-8218-977X; SOLOMON, AMY/0000-0002-8966-6727</t>
  </si>
  <si>
    <t>World Climate Research Programme (WCRP); World Meteorological Organization (WMO); Climate and Ocean: Variability, Predictability, and Change (CLIVAR); Climate and Cryosphere (CliC); Scientific Committee on Antarctic Research (SCAR); Global Ocean Observing System (GOOS); Global Climate Observing System (GCOS); International Arctic Science Committee (IASC); Open Access Publication Funds of Alfred-Wegener-Institut Helmholtz-Zentrum fur Polar- und Meeresforschung</t>
  </si>
  <si>
    <t>We thank the following co-sponsors for support: World Climate Research Programme (WCRP), World Meteorological Organization (WMO), Climate and Ocean: Variability, Predictability, and Change (CLIVAR), Climate and Cryosphere (CliC), Scientific Committee on Antarctic Research (SCAR), Global Ocean Observing System (GOOS), and Global Climate Observing System (GCOS). The Zoom license was provided by our co-sponsor International Arctic Science Committee (IASC). We acknowledge support by the Open Access Publication Funds of Alfred-Wegener-Institut Helmholtz-Zentrum fur Polar- und Meeresforschung.</t>
  </si>
  <si>
    <t>AMER METEOROLOGICAL SOC</t>
  </si>
  <si>
    <t>BOSTON</t>
  </si>
  <si>
    <t>45 BEACON ST, BOSTON, MA 02108-3693, UNITED STATES</t>
  </si>
  <si>
    <t>0003-0007</t>
  </si>
  <si>
    <t>1520-0477</t>
  </si>
  <si>
    <t>B AM METEOROL SOC</t>
  </si>
  <si>
    <t>Bull. Amer. Meteorol. Soc.</t>
  </si>
  <si>
    <t>MAY</t>
  </si>
  <si>
    <t>E970</t>
  </si>
  <si>
    <t>E979</t>
  </si>
  <si>
    <t>10.1175/BAMS-D-23-0046.1</t>
  </si>
  <si>
    <t>Meteorology &amp; Atmospheric Sciences</t>
  </si>
  <si>
    <t>Science Citation Index Expanded (SCI-EXPANDED)</t>
  </si>
  <si>
    <t>H5GB6</t>
  </si>
  <si>
    <t>Green Accepted, Green Published, hybrid</t>
  </si>
  <si>
    <t>2024-04-21</t>
  </si>
  <si>
    <t>WOS:000996234500003</t>
  </si>
  <si>
    <t>Coppola, D; Lauritano, C; Zazo, G; Nuzzo, G; Fontana, A; Ianora, A; Costantini, M; Verde, C; Giordano, D</t>
  </si>
  <si>
    <t>Coppola, Daniela; Lauritano, Chiara; Zazo, Gianluca; Nuzzo, Genoveffa; Fontana, Angelo; Ianora, Adrianna; Costantini, Maria; Verde, Cinzia; Giordano, Daniela</t>
  </si>
  <si>
    <t>Biodiversity of UV-Resistant Bacteria in Antarctic Aquatic Environments</t>
  </si>
  <si>
    <t>JOURNAL OF MARINE SCIENCE AND ENGINEERING</t>
  </si>
  <si>
    <t>Article</t>
  </si>
  <si>
    <t>Antarctica; UV radiation; UV-C assay; UV-resistance; marine bacterium; lake microorganism; pigment</t>
  </si>
  <si>
    <t>SP NOV.; PSYCHROPHILIC BACTERIUM; HETEROTROPHIC BACTERIA; ARTHROBACTER-AGILIS; GENUS ARTHROBACTER; RED PIGMENT; DIVERSITY; STRAIN; CAROTENOIDS; RECLASSIFICATION</t>
  </si>
  <si>
    <t>Antarctica is an untapped reservoir of bacterial communities, which are able to adapt to a huge variety of strategies to cope with extreme conditions and, therefore, are capable of producing potentially valuable compounds for biotechnological applications. In this study, 31 UV-resistant bacteria collected from different Antarctic aquatic environments (surface sea waters/ice and shallow lake sediments) were isolated by UV-C assay and subsequently identified. A phylogenetic analysis based on 16S rRNA gene sequence similarities showed that the isolates were affiliated with Proteobacteria, Actinobacteria and Firmicutes phyla, and they were clustered into 15 bacterial genera, 5 of which were Gram negative (Brevundimonas, Qipengyuania, Sphingorhabdus, Sphingobium, and Psychrobacter) and 10 of which were Gram positive (Staphylococcus, Bacillus, Mesobacillus, Kocuria, Gordonia, Rhodococcus, Micrococcus, Arthrobacter, Agrococcus, and Salinibacterium). Strains belonging to Proteobacteria and Actinobacteria phyla were the most abundant species in all environments. The genus Psychrobacter was dominant in all collection sites, whereas bacteria belonging to Actinobacteria appeared to be the most diverse and rich in terms of species among the investigated sites. Many of these isolates (20 of 31 isolates) were pigmented. Bacterial pigments, which are generally carotenoid-type compounds, are often involved in the protection of cells against the negative effects of UV radiation. For this reason, these pigments may help bacteria to successfully tolerate Antarctic extreme conditions of low temperature and harmful levels of UV radiation.</t>
  </si>
  <si>
    <t>[Coppola, Daniela; Lauritano, Chiara; Ianora, Adrianna; Costantini, Maria; Verde, Cinzia; Giordano, Daniela] Stn Zool Anton Dohrn, Dept Ecosustainable Marine Biotechnol, Via Ammiraglio Ferdinando Acton 55, I-80133 Naples, Italy; [Zazo, Gianluca] Stn Zool Anton Dohrn, Dept Res Infrastruct Marine Biol Resources, I-80121 Naples, Italy; [Nuzzo, Genoveffa; Fontana, Angelo] Natl Res Council CNR, Ist Chim Biomol ICB, Via Campi Flegrei 34, I-80078 Naples, Italy; [Fontana, Angelo] Univ Naples Federico II, Dept Biol, Via Cinthia, I-80126 Naples, Italy; [Verde, Cinzia; Giordano, Daniela] Natl Res Council CNR, Inst Biosci &amp; BioResources IBBR, Via Pietro Castellino 111, I-80131 Naples, Italy</t>
  </si>
  <si>
    <t>Stazione Zoologica Anton Dohrn di Napoli; Stazione Zoologica Anton Dohrn di Napoli; Consiglio Nazionale delle Ricerche (CNR); Istituto di Chimica Biomolecolare (ICB-CNR); University of Naples Federico II; Consiglio Nazionale delle Ricerche (CNR); Istituto di Bioscienze e Biorisorse (IBBR-CNR)</t>
  </si>
  <si>
    <t>Giordano, D (corresponding author), Stn Zool Anton Dohrn, Dept Ecosustainable Marine Biotechnol, Via Ammiraglio Ferdinando Acton 55, I-80133 Naples, Italy.;Giordano, D (corresponding author), Natl Res Council CNR, Inst Biosci &amp; BioResources IBBR, Via Pietro Castellino 111, I-80131 Naples, Italy.</t>
  </si>
  <si>
    <t>daniela.coppola@szn.it; chiara.lauritano@szn.it; gianluca.zazo@szn.it; nuzzo.genoveffa@icb.cnr.it; afontana@icb.cnr.it; adrianna.ianora@szn.it; maria.costantini@szn.it; cinzia.verde@ibbr.cnr.it; daniela.giordano@ibbr.cnr.it</t>
  </si>
  <si>
    <t>Giordano, Daniela/AFK-7772-2022; Fontana, Angelo/C-3354-2012; Lauritano, Chiara/Q-4166-2018</t>
  </si>
  <si>
    <t>Giordano, Daniela/0000-0002-8891-6245; Nuzzo, Genoveffa/0000-0001-7065-2379; Fontana, Angelo/0000-0002-5453-461X; Costantini, Maria/0000-0003-3978-6170; Coppola, Daniela/0000-0001-6699-8967; Lauritano, Chiara/0000-0003-4580-9594</t>
  </si>
  <si>
    <t>National Programme of Antarctic Research (PNRA); Ministry of Universiy and Research (MUR) [PNRA16_00043]; Cosmeceuticals And Nutraceuticals From Antarctic biological REsources (CAN FARE)</t>
  </si>
  <si>
    <t>National Programme of Antarctic Research (PNRA); Ministry of Universiy and Research (MUR)(Ministry of Education, Universities and Research (MIUR)); Cosmeceuticals And Nutraceuticals From Antarctic biological REsources (CAN FARE)</t>
  </si>
  <si>
    <t>This research was supported by National Programme of Antarctic Research (PNRA), Ministry of Universiy and Research (MUR), PNRA16_00043 Cosmeceuticals And Nutraceuticals From Antarctic biological REsources (CAN FARE). It was carried out in the framework of the SCAR Programme Antarctic Thresholds-Ecosystem Resilience and Adaptation (AnT-ERA).</t>
  </si>
  <si>
    <t>MDPI</t>
  </si>
  <si>
    <t>BASEL</t>
  </si>
  <si>
    <t>ST ALBAN-ANLAGE 66, CH-4052 BASEL, SWITZERLAND</t>
  </si>
  <si>
    <t>2077-1312</t>
  </si>
  <si>
    <t>J MAR SCI ENG</t>
  </si>
  <si>
    <t>J. Mar. Sci. Eng.</t>
  </si>
  <si>
    <t>MAY 1</t>
  </si>
  <si>
    <t>10.3390/jmse11050968</t>
  </si>
  <si>
    <t>Engineering, Marine; Engineering, Ocean; Oceanography</t>
  </si>
  <si>
    <t>Engineering; Oceanography</t>
  </si>
  <si>
    <t>H6KJ7</t>
  </si>
  <si>
    <t>Green Published, gold</t>
  </si>
  <si>
    <t>WOS:000997027000001</t>
  </si>
  <si>
    <t>Burbine, TH; Buchanan, PC; Jercinovic, MJ; Greenwood, RC</t>
  </si>
  <si>
    <t>Burbine, T. H.; Buchanan, P. C.; Jercinovic, M. J.; Greenwood, R. C.</t>
  </si>
  <si>
    <t>Determining the Pyroxene Mineralogies of Vestoids</t>
  </si>
  <si>
    <t>PLANETARY SCIENCE JOURNAL</t>
  </si>
  <si>
    <t>V-TYPE ASTEROIDS; 4 VESTA; MAIN-BELT; SPECTRAL CHARACTERIZATION; BASALTIC ASTEROIDS; HED METEORITES; SPECTROSCOPIC SURVEY; POLYMICT BRECCIAS; PARENT BODIES; DAWN</t>
  </si>
  <si>
    <t>Bulk pyroxene compositions were calculated for a number of V-type asteroid spectra using formulae derived by Burbine et al. These formulae were derived by analyzing HED (howardite, eucrite, and diogenite) meteorites and calculate bulk Fs (mol%) and Wo (mol%) contents using derived band centers. Using HEDs with known bulk pyroxene compositions, the uncertainty in the predicted Fs contents was determined to be +/- 3 mol%, and the uncertainty in the predicted Wo contents was +/- 2 mol%. V-type asteroids tend to have interpreted pyroxene mineralogies consistent primarily with eucrites and howardites. We investigate why diogenitic mineralogies appear so rare among similar to 5-10 km V-type asteroids but are much more commonly present among HED meteorites. One possibility is that diogenitic intrusions are extremely thin but widespread in Vesta's eucritic crust. In this scenario, Vestoids (V-type asteroids thought to be derived from Vesta) would be expected to be solid fragments of Vesta. Another possibility is that Vesta's upper crust has been significantly shattered and diogenitic material would be much less common than the eucritic material in the crust. Vestoids would then be expected to be rubble piles. The belief that most asteroid families were shattered at least twice would argue that Vesta's crust is also shattered and that Vestoids are rubble piles.</t>
  </si>
  <si>
    <t>[Burbine, T. H.] Mt Holyoke Coll, Dept Astron, 50 Coll St, South Hadley, MA 01075 USA; [Burbine, T. H.] Planetary Sci Inst, 1700 East Ft Lowell,Suite 106, Tucson, AZ 85719 USA; [Buchanan, P. C.] Kilgore Coll, Dept Geol, Kilgore, TX 75662 USA; [Jercinovic, M. J.] Univ Massachusetts, Dept Geosci, Amherst, MA 01003 USA; [Greenwood, R. C.] Open Univ, Walton Hall, Milton Keynes MK7 6AA, England</t>
  </si>
  <si>
    <t>Mount Holyoke College; University of Massachusetts System; University of Massachusetts Amherst; Open University - UK</t>
  </si>
  <si>
    <t>Burbine, TH (corresponding author), Mt Holyoke Coll, Dept Astron, 50 Coll St, South Hadley, MA 01075 USA.;Burbine, TH (corresponding author), Planetary Sci Inst, 1700 East Ft Lowell,Suite 106, Tucson, AZ 85719 USA.</t>
  </si>
  <si>
    <t>tburbine@mtholyoke.edu</t>
  </si>
  <si>
    <t>Greenwood, Richard/0000-0002-5544-8027; Buchanan, Paul/0000-0003-1648-6079; Burbine, Thomas/0000-0001-8889-8692; Jercinovic, Michael/0000-0001-5917-9509</t>
  </si>
  <si>
    <t>NASA [80NSSC19M0215, 80HQTR19D0030]; UMASS Amherst; NSF; National Aeronautics and Space Administration [80NSSC18K0849]; NASA Planetary Data System</t>
  </si>
  <si>
    <t>NASA(National Aeronautics &amp; Space Administration (NASA)); UMASS Amherst; NSF(National Science Foundation (NSF)); National Aeronautics and Space Administration(National Aeronautics &amp; Space Administration (NASA)); NASA Planetary Data System</t>
  </si>
  <si>
    <t>T.H.B. would like to thank the Remote, In Situ, and Synchrotron Studies for Science and Exploration 2 (RISE2) Solar System Exploration Research Virtual Institute (SSERVI) (NASA grant 80NSSC19M0215) for support. T.H.B. would also like to thank a Research Support Fund grant from UMASS Amherst that funded the electron microprobe analyses. T.H.B. would like to thank the Meteorite Working Group for approving the meteorite request.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research utilizes meteorite reflectance spectra acquired at the NASA RELAB facility at Brown University. The authors would like to thank Takahiro Hiroi for acquiring the newly measured HED spectra. CCD and IRTF spectra were downloaded from both the NASA Planetary Data Systems (PDS) and the Small Main-Belt Asteroid Spectroscopic Survey (SMASS) websites. Part of the data utilized in this publication were obtained and made available by the MIT-Hawaii Near-Earth Object Spectroscopic Survey (MITHNEOS). The IRTF is operated by the University of Hawaii under contract 80HQTR19D0030 with the National Aeronautics and Space Administration. The MIT component of this work is supported by NASA grant 80NSSC18K0849. DeMeo also made available the spectra that were used in formulating the Bus-DeMeo taxonomy. This research has made use of the Small Bodies Data Ferret (https://sbnapps.psi.edu/ferret/), which is supported by the NASA Planetary Data System. The authors would like to thank the anonymous reviewers for their insightful comments that greatly improved the manuscript.</t>
  </si>
  <si>
    <t>IOP Publishing Ltd</t>
  </si>
  <si>
    <t>BRISTOL</t>
  </si>
  <si>
    <t>TEMPLE CIRCUS, TEMPLE WAY, BRISTOL BS1 6BE, ENGLAND</t>
  </si>
  <si>
    <t>2632-3338</t>
  </si>
  <si>
    <t>PLANET SCI J</t>
  </si>
  <si>
    <t>Planet. Sci. J.</t>
  </si>
  <si>
    <t>10.3847/PSJ/accb98</t>
  </si>
  <si>
    <t>Astronomy &amp; Astrophysics</t>
  </si>
  <si>
    <t>Emerging Sources Citation Index (ESCI)</t>
  </si>
  <si>
    <t>H3SY7</t>
  </si>
  <si>
    <t>gold, Green Accepted</t>
  </si>
  <si>
    <t>WOS:000995211200001</t>
  </si>
  <si>
    <t>Manucharova, NA; Kovalenko, MA; Alekseeva, MG; Babenko, AD; Stepanov, AL</t>
  </si>
  <si>
    <t>Manucharova, N. A.; Kovalenko, M. A.; Alekseeva, M. G.; Babenko, A. D.; Stepanov, A. L.</t>
  </si>
  <si>
    <t>Biotechnological Potential of Hydrolytic Prokaryotic Component in Soils</t>
  </si>
  <si>
    <t>EURASIAN SOIL SCIENCE</t>
  </si>
  <si>
    <t>bacteria; archaea; functional genes; hydrolytic community; oil; nitrogen cycle</t>
  </si>
  <si>
    <t>MICROBIAL COMMUNITIES; GEN. NOV.; BACTERIA; EXPRESSION; DIVERSITY; SEQUENCE; DATABASE; ORDERS</t>
  </si>
  <si>
    <t>The phylogenetic and functional diversity of the prokaryotic complex with a biotechnological potential (decomposing biopolymers and hydrocarbons; capable of synthesizing secondary metabolites; and involved in nitrogen fixation) in soils and associated ecosystems has been studied. In order to identify the specific features in the development of metabolically active prokaryotes with biotechnological potential, the patterns of their distribution and the dependence of functional activity on the main environmental factors have been established using molecular biological and bioinformatics approaches. The range of the studied samples includes modern soils (Volgograd, Tula, and Moscow oblasts; Siberia; and the northern part of Central Kamchatka), relict habitats (Volgograd oblast and Central Kamchatka), and permafrost soils of the Antarctic (King George Island). The impact of anthropogenic and abiogenic loads on the development of the prokaryotic community is considered. Along with a decrease in the diversity and abundance of prokaryotes, the number of genes marking the ability of community to biodegrade xenobiotics increases in the soils exposed to anthropogenic or abiogenic loads, as well as of the genes coding for nitrogen transformations and the level of metabolism of cofactors and vitamins. The bacterial complex is capable of nitrification at a high oil pollution of soil and its role increases in the lower layers of the soil profile. Archaea play a leading role in the nitrification in undisturbed soils. The observed patterns suggest a high metabolic potential of the prokaryotic component in the examined objects and open up the opportunities for biotechnological use of the strains isolated from relict habitats.</t>
  </si>
  <si>
    <t>[Manucharova, N. A.; Kovalenko, M. A.; Alekseeva, M. G.; Babenko, A. D.; Stepanov, A. L.] Lomonosov Moscow State Univ, Moscow 119991, Russia</t>
  </si>
  <si>
    <t>Lomonosov Moscow State University</t>
  </si>
  <si>
    <t>Manucharova, NA (corresponding author), Lomonosov Moscow State Univ, Moscow 119991, Russia.</t>
  </si>
  <si>
    <t>manucharova@mail.ru</t>
  </si>
  <si>
    <t>Russian Science Foundation [21-14-00076]; project Soil Microbiomes: Genomic Diversity, Functional Activity, Geography, and Biotechnological Potential [121040800174-6]; Faculty of Soil Science, Lomonosov Moscow State University, Government of the Russian Federation [122090800042-2, 2515-r]</t>
  </si>
  <si>
    <t>Russian Science Foundation(Russian Science Foundation (RSF)); project Soil Microbiomes: Genomic Diversity, Functional Activity, Geography, and Biotechnological Potential; Faculty of Soil Science, Lomonosov Moscow State University, Government of the Russian Federation</t>
  </si>
  <si>
    <t>This study was supported by the state budget (project no. 122090800042-2 of the Faculty of Soil Science, Lomonosov Moscow State University) according to the Executive Order of the Government of the Russian Federation no. 2515-r of September 2022 aimed at the implementation of an important innovation project of the state level in support of the development of national system for monitoring of climatically active substances. The microbiological research was supported by the Russian Science Foundation (project no. 21-14-00076). Sampling was performed under the budget project Soil Microbiomes: Genomic Diversity, Functional Activity, Geography, and Biotechnological Potential no. 121040800174-6.</t>
  </si>
  <si>
    <t>PLEIADES PUBLISHING INC</t>
  </si>
  <si>
    <t>NEW YORK</t>
  </si>
  <si>
    <t>PLEIADES HOUSE, 7 W 54 ST, NEW YORK, NY, UNITED STATES</t>
  </si>
  <si>
    <t>1064-2293</t>
  </si>
  <si>
    <t>1556-195X</t>
  </si>
  <si>
    <t>EURASIAN SOIL SCI+</t>
  </si>
  <si>
    <t>Eurasian Soil Sci.</t>
  </si>
  <si>
    <t>SI</t>
  </si>
  <si>
    <t>10.1134/S1064229323600082</t>
  </si>
  <si>
    <t>Soil Science</t>
  </si>
  <si>
    <t>Agriculture</t>
  </si>
  <si>
    <t>G0KQ5</t>
  </si>
  <si>
    <t>WOS:000986149000003</t>
  </si>
  <si>
    <t>Henschke, N; Espinasse, B; Stock, CA; Liu, X; Barrier, N; Pakhomov, EA</t>
  </si>
  <si>
    <t>Henschke, Natasha; Espinasse, Boris; Stock, Charles A.; Liu, Xiao; Barrier, Nicolas; Pakhomov, Evgeny A.</t>
  </si>
  <si>
    <t>The role of water mass advection in staging of the Southern Ocean Salpa thompsoni populations</t>
  </si>
  <si>
    <t>SCIENTIFIC REPORTS</t>
  </si>
  <si>
    <t>DISPERSAL; ECOSYSTEMS; TRENDS; LARVAE; SHELF; SEA</t>
  </si>
  <si>
    <t>Salpa thompsoni is an important grazer in the Southern Ocean. Their abundance in the western Antarctic Peninsula is highly variable, varying by up to 5000-fold inter-annually. Here, we use a particle-tracking model to simulate the potential dispersal of salp populations from a source location in the Antarctic Circumpolar Current (ACC) to the Palmer Long Term Ecological Research (PAL LTER) study area. Tracking simulations are run from 1998 to 2015, and compared against both a stationary salp population model simulated at the PAL LTER study area and observations from the PAL LTER program. The tracking simulation was able to recreate closely the long-term trend and the higher abundances at the slope stations. The higher abundances observed at slope stations are likely due to the advection of salp populations from a source location in the ACC, highlighting the significant role of water mass circulation in the distribution and abundance of Southern Ocean salp populations.</t>
  </si>
  <si>
    <t>[Henschke, Natasha; Pakhomov, Evgeny A.] Univ British Columbia, Dept Earth Ocean &amp; Atmospher Sci, Vancouver, BC, Canada; [Espinasse, Boris] UiT Arctic Univ Norway, Dept Arctic &amp; Marine Biol, Tromso, Norway; [Stock, Charles A.; Liu, Xiao] NOAA, Geophys Fluid Dynam Lab, 201 Forrestal Rd, Princeton, NJ 08540 USA; [Barrier, Nicolas] Univ Montpellier, MARBEC, CNRS, Ifremer,IRD, Sete, France; [Pakhomov, Evgeny A.] Univ British Columbia, Inst Oceans &amp; Fisheries, Vancouver, BC, Canada</t>
  </si>
  <si>
    <t>University of British Columbia; UiT The Arctic University of Tromso; National Oceanic Atmospheric Admin (NOAA) - USA; Ifremer; Universite de Montpellier; Centre National de la Recherche Scientifique (CNRS); Institut de Recherche pour le Developpement (IRD); University of British Columbia</t>
  </si>
  <si>
    <t>Henschke, N (corresponding author), Univ British Columbia, Dept Earth Ocean &amp; Atmospher Sci, Vancouver, BC, Canada.</t>
  </si>
  <si>
    <t>natashahenschke@gmail.com</t>
  </si>
  <si>
    <t>Barrier, Nicolas/JME-3194-2023</t>
  </si>
  <si>
    <t>Barrier, Nicolas/0000-0002-1693-4719</t>
  </si>
  <si>
    <t>NATURE PORTFOLIO</t>
  </si>
  <si>
    <t>BERLIN</t>
  </si>
  <si>
    <t>HEIDELBERGER PLATZ 3, BERLIN, 14197, GERMANY</t>
  </si>
  <si>
    <t>2045-2322</t>
  </si>
  <si>
    <t>SCI REP-UK</t>
  </si>
  <si>
    <t>Sci Rep</t>
  </si>
  <si>
    <t>10.1038/s41598-023-34231-7</t>
  </si>
  <si>
    <t>Multidisciplinary Sciences</t>
  </si>
  <si>
    <t>Science &amp; Technology - Other Topics</t>
  </si>
  <si>
    <t>F8JF7</t>
  </si>
  <si>
    <t>WOS:000984749800027</t>
  </si>
  <si>
    <t>Gabis, IP</t>
  </si>
  <si>
    <t>Gabis, I. P.</t>
  </si>
  <si>
    <t>Quasi-biennial modulation of total ozone distribution from equator to polar regions based on observations</t>
  </si>
  <si>
    <t>JOURNAL OF ATMOSPHERIC AND SOLAR-TERRESTRIAL PHYSICS</t>
  </si>
  <si>
    <t>Quasi-biennial oscillation (QBO); Total column ozone; Seasonal synchronization; Equatorial stratosphere; Interhemispheric asymmetry</t>
  </si>
  <si>
    <t>OSCILLATION QBO; ANNUAL CYCLE; GLOBAL QBO; STRATOSPHERIC QBO; CIRCULATION; SYNCHRONIZATION; MODEL; TRANSPORT; WINTER; DEPENDENCE</t>
  </si>
  <si>
    <t>The modulation of total ozone (TOZ) by the quasi-biennial oscillation (QBO) not only at the equator, but also at subtropics, middle , high latitudes has long been known. As well, a large number of studies have shown seasonal synchronization and interhemispheric asymmetry of QBO effects in the TOZ in extratropical regions. However, the proposed mechanisms of seasonality and asymmetry as a consequence of the interaction of the quasi-biennial and annual cycles are not well understood. A great problem in comparing model simulations with observations and, hence, in verifying theoretical assumptions about the mechanism of extratropical ozone QBO, is the continually changing phase relationship between the annual and quasi-biennial cycles. This issue is exacerbated by the fact that, as is commonly believed, the wind QBO period is not constant, but varies irregularly from one cycle to another. In this study the influence of the QBO of equatorial stratospheric wind on the global distribution of the TOZ has been analyzed using the SBUV Merged Ozone Data Set (MOD). The investigation of the QBO effects in the TOZ in the subtropics, middle and high latitudes of both hemispheres is based on ac-counting for the seasonal regularities of the wind QBO, which leads to a limited number of only certain com-binations of the quasi-biennial and annual cycles that can be realized. The smaller variability serves to clarify the nature of changes in extratropical ozone. A detailed analysis of the TOZ data for 1970-2021 showed that the interannual TOZ variability at subtropics, middle and high latitudes depends on the alternation of wind QBO cycles of different scenarios. The key moments of the TOZ variations are clearly associated with certain points in time during the downward propagation of the easterly and westerly QBO wind regimes and the seasonally dependent QBO circulation produced by them. These results contradict the general view that it is difficult to isolate the effect of QBO on the TOZ in extratropics because of the irregularly varying QBO period , can be used in comparing simulated and observed extratropical ozone QBO, as well as in long-term forecast of variations in the TOZ distribution.</t>
  </si>
  <si>
    <t>[Gabis, I. P.] Arctic &amp; Antarctic Res Inst, 38 Str Bering, St Petersburg 199397, Russia</t>
  </si>
  <si>
    <t>Arctic &amp; Antarctic Research Institute</t>
  </si>
  <si>
    <t>Gabis, IP (corresponding author), Arctic &amp; Antarctic Res Inst, 38 Str Bering, St Petersburg 199397, Russia.</t>
  </si>
  <si>
    <t>gabis@aari.ru</t>
  </si>
  <si>
    <t>PERGAMON-ELSEVIER SCIENCE LTD</t>
  </si>
  <si>
    <t>OXFORD</t>
  </si>
  <si>
    <t>THE BOULEVARD, LANGFORD LANE, KIDLINGTON, OXFORD OX5 1GB, ENGLAND</t>
  </si>
  <si>
    <t>1364-6826</t>
  </si>
  <si>
    <t>1879-1824</t>
  </si>
  <si>
    <t>J ATMOS SOL-TERR PHY</t>
  </si>
  <si>
    <t>J. Atmos. Sol.-Terr. Phys.</t>
  </si>
  <si>
    <t>JUN</t>
  </si>
  <si>
    <t>10.1016/j.jastp.2023.106076</t>
  </si>
  <si>
    <t>MAY 2023</t>
  </si>
  <si>
    <t>Geochemistry &amp; Geophysics; Meteorology &amp; Atmospheric Sciences</t>
  </si>
  <si>
    <t>G8JQ8</t>
  </si>
  <si>
    <t>WOS:000991559700001</t>
  </si>
  <si>
    <t>Vinogradov, EV; Metelkin, DV; Abashev, VV; Vernikovsky, VA; Matushkin, NY; Mikhaltsov, NE</t>
  </si>
  <si>
    <t>Vinogradov, E. V.; Metelkin, D. V.; Abashev, V. V.; Vernikovsky, V. A.; Matushkin, N. Yu.; Mikhaltsov, N. E.</t>
  </si>
  <si>
    <t>Paleomagnetism of the Taseeva Group (Yenisei Ridge): on the Issue of the Geomagnetic Field Configuration at the Precambrian-Phanerozoic Boundary</t>
  </si>
  <si>
    <t>RUSSIAN GEOLOGY AND GEOPHYSICS</t>
  </si>
  <si>
    <t>paleomagnetism; geocentric axial dipole model; anomalous geomagnetic field; paleopole; Ediacaran; Taseeva Group; Yenisei Ridge</t>
  </si>
  <si>
    <t>SIBERIAN PLATFORM; WESTERN MARGIN; NEOPROTEROZOIC EVOLUTION; FOLD TEST; CRATON; PALEOCONTINENT; CONSTRAINTS; DIRECTIONS; MAGMATISM; ISOTOPE</t>
  </si>
  <si>
    <t>We report results of a detailed study of the paleomagnetic record in the sedimentary rocks of the Taseeva Group of the Yenisei Ridge in three typical sections in the lower courses of the Angara, Taseeva and Irkineeva rivers. Our results confirm that the geomagnetic field was in an anomalous state at the Precambrian-Phanerozoic boundary. It is well known that Ediacaran rocks in general have preserved several different paleomagnetic directions that do not conform to the geocentric axial dipole model. For example, Siberian sections display two equally valid groups of paleopoles that cause many debates over the geometry of the geomagnetic field and whether any of the components correspond to its dipole configuration. The paleomagnetic record we studied is unique in that the rocks of the Chistyakovka and Moshakovka formations have captured both these components, which is factual evidence of a synchronous existence of two sources. To explain these findings, we propose an original hypothesis in which the bipolar component that is widely present in the rocks and corresponds to the Madagascar group of paleomagnetic poles is associated to the field of the geocentric axial dipole. The less widespread monopolar component corresponding to the Australian-Antarctic group of poles is reflective of a stationary anomalous source. The recording of this source became possible due to the abrupt decrease in the strength of the virtual dipole moment that probably was at its lowest during the accumulation of the Chistyakovka and Moshakovka formations. The new paleomagnetic pole calculated for the bipolar component - 39.2 degrees N, 61.1 degrees E - plots on the apparent polar wander path for Siberia and can be considered a key determination for the age similar to 570 Ma.</t>
  </si>
  <si>
    <t>[Vinogradov, E. V.; Metelkin, D. V.; Abashev, V. V.; Vernikovsky, V. A.; Matushkin, N. Yu.; Mikhaltsov, N. E.] Novosibirsk State Univ, Ul Pirogova 1, Novosibirsk 630090, Russia; [Vinogradov, E. V.; Metelkin, D. V.; Abashev, V. V.; Vernikovsky, V. A.; Matushkin, N. Yu.; Mikhaltsov, N. E.] Russian Acad Sci, Trofimuk Inst Petr Geol &amp; Geophys, Siberian Branch, Pr Akademika Koptyuga 3, Novosibirsk 630090, Russia</t>
  </si>
  <si>
    <t>Novosibirsk State University; Russian Academy of Sciences; Trofimuk Institute of Petroleum Geology &amp; Geophysics</t>
  </si>
  <si>
    <t>Vinogradov, EV (corresponding author), Novosibirsk State Univ, Ul Pirogova 1, Novosibirsk 630090, Russia.;Vinogradov, EV (corresponding author), Russian Acad Sci, Trofimuk Inst Petr Geol &amp; Geophys, Siberian Branch, Pr Akademika Koptyuga 3, Novosibirsk 630090, Russia.</t>
  </si>
  <si>
    <t>e.vinogradov@g.nsu.ru</t>
  </si>
  <si>
    <t>Metelkin, Dmitry/E-2413-2014; Vinogradov, Evgeny/KHW-5369-2024</t>
  </si>
  <si>
    <t>Russian Science Foundation [19-17-00091-P, 21-17-00052]</t>
  </si>
  <si>
    <t>Russian Science Foundation(Russian Science Foundation (RSF))</t>
  </si>
  <si>
    <t>This work was financially supported by the Russian Science Foundation projects 19-17-00091-P (geostructural analysis) and 21-17-00052 (paleomagnetic experiments).</t>
  </si>
  <si>
    <t>GEOSCIENCEWORLD</t>
  </si>
  <si>
    <t>MCLEAN</t>
  </si>
  <si>
    <t>1750 TYSONS BOULEVARD, SUITE 1500, MCLEAN, VA, UNITED STATES</t>
  </si>
  <si>
    <t>1068-7971</t>
  </si>
  <si>
    <t>1878-030X</t>
  </si>
  <si>
    <t>RUSS GEOL GEOPHYS+</t>
  </si>
  <si>
    <t>Russ. Geol. Geophys.</t>
  </si>
  <si>
    <t>10.2113/RGG20224542</t>
  </si>
  <si>
    <t>Geosciences, Multidisciplinary</t>
  </si>
  <si>
    <t>Geology</t>
  </si>
  <si>
    <t>E7XX4</t>
  </si>
  <si>
    <t>WOS:000977639100003</t>
  </si>
  <si>
    <t>Orr, A; Deb, P; Clem, KR; Gilbert, E; Bromwich, DH; Boberg, F; Colwell, S; Hansen, N; Lazzara, MA; Mooney, PA; Mottram, R; Niwano, M; Phillips, T; Pishniak, D; Reijmer, CH; van de Berg, WJ; Webster, S; Zou, X</t>
  </si>
  <si>
    <t>Orr, Andrew; Deb, Pranab; Clem, Kyle R.; Gilbert, Ella; Bromwich, David H.; Boberg, Fredrik; Colwell, Steve; Hansen, Nicolaj; Lazzara, Matthew A.; Mooney, Priscilla A.; Mottram, Ruth; Niwano, Masashi; Phillips, Tony; Pishniak, Denys; Reijmer, Carleen H.; Van De Berg, Willem Jan; Webster, Stuart; Zou, Xun</t>
  </si>
  <si>
    <t>Characteristics of Surface ?Melt Potential? over Antarctic Ice Shelves based on Regional Atmospheric Model Simulations of Summer Air Temperature Extremes from 1979/80 to 2018/19</t>
  </si>
  <si>
    <t>JOURNAL OF CLIMATE</t>
  </si>
  <si>
    <t>Extreme events; Antarctica; Ice shelves; El Nino; Snowmelt; icemelt; Climate models</t>
  </si>
  <si>
    <t>EXTRATROPICAL CYCLONE BEHAVIOR; SOUTHERN ANNULAR MODE; EL-NINO; WEST ANTARCTICA; BREAK-UP; CLIMATE; PENINSULA; MELTWATER; VARIABILITY; DRIVERS</t>
  </si>
  <si>
    <t>We calculate a regional surface melt potential index (MPI) over Antarctic ice shelves that describes the frequency (MPI-freq; %) and intensity (MPI-int; K) of daily maximum summer temperatures exceeding a melt threshold of 273.15 K. This is used to determine which ice shelves are vulnerable to melt-induced hydrofracture and is calculated using near-surface temperature output for each summer from 1979/80 to 2018/19 from two high-resolution regional atmospheric model hindcasts (using the MetUM and HIRHAM5). MPI is highest for Antarctic Peninsula ice shelves (MPI-freq 23%-35%, MPI-int 1.2-2.1 K), lowest (2%-3%, ,0 K) for the Ronne-Filchner and Ross ice shelves, and around 10%-24% and 0.6-1.7 K for the other West and East Antarctic ice shelves. Hotspots of MPI are apparent over many ice shelves, and they also show a decreasing trend in MPI-freq. The regional circulation patterns associated with high MPI values over West and East Antarctic ice shelves are remarkably consistent for their respective region but tied to different large-scale climate forcings. The West Antarctic circulation resembles the central Pacific El Nino pattern with a stationary Rossby wave and a strong anticyclone over the high-latitude South Pacific. By contrast, the East Antarctic circulation comprises a zonally symmetric negative Southern Annular Mode pattern with a strong regional anticyclone on the plateau and enhanced coastal easterlies/weakened Southern Ocean westerlies. Values of MPI are 3-4 times larger for a lower temperature/melt threshold of 271.15 K used in a sensitivity test, as melting can occur at temperatures lower than 273.15 K depending on snowpack properties.</t>
  </si>
  <si>
    <t>[Orr, Andrew; Gilbert, Ella; Colwell, Steve; Phillips, Tony] British Antarctic Survey, Cambridge, England; [Deb, Pranab] Indian Inst Technol, Kharagpur, India; [Clem, Kyle R.] Victoria Univ Wellington, Wellington, New Zealand; [Bromwich, David H.; Zou, Xun] Ohio State Univ, Byrd Polar &amp; Climate Res Ctr, Columbus, OH USA; [Boberg, Fredrik; Hansen, Nicolaj; Mottram, Ruth] Danish Meteorol Inst, Copenhagen, Denmark; [Hansen, Nicolaj] Tech Univ Denmark, Geodesy &amp; Earth Observat, DTU Space, Lyngby, Denmark; [Lazzara, Matthew A.] Univ Wisconsin, Madison, WI USA; [Lazzara, Matthew A.] Madison Area Tech Coll, Madison, WI USA; [Mooney, Priscilla A.] NORCE Norwegian Res Ctr, Bjerknes Ctr Climate Res, Bergen, Norway; [Niwano, Masashi] Japan Meteorol Agcy, Meteorol Res Inst, Tsukuba, Japan; [Pishniak, Denys] Natl Antarctic Sci Ctr, Kiev, Ukraine; [Reijmer, Carleen H.; Van De Berg, Willem Jan] Univ Utrecht, Utrecht, Netherlands; [Webster, Stuart] Met Off, Exeter, England; [Zou, Xun] Scripps Inst Oceanog, La Jolla, CA USA</t>
  </si>
  <si>
    <t>UK Research &amp; Innovation (UKRI); Natural Environment Research Council (NERC); NERC British Antarctic Survey; Indian Institute of Technology System (IIT System); Indian Institute of Technology (IIT) - Kharagpur; Victoria University Wellington; University System of Ohio; Ohio State University; Danish Meteorological Institute DMI; Technical University of Denmark; University of Wisconsin System; University of Wisconsin Madison; Bjerknes Centre for Climate Research; Norwegian Research Centre (NORCE); Meteorological Research Institute - Japan; Japan Meteorological Agency; Ministry of Education &amp; Science of Ukraine; State Institution National Antarctic Scientific Center; Utrecht University; Met Office - UK; University of California System; University of California San Diego; Scripps Institution of Oceanography</t>
  </si>
  <si>
    <t>Orr, A (corresponding author), British Antarctic Survey, Cambridge, England.</t>
  </si>
  <si>
    <t>anmcr@bas.ac.uk</t>
  </si>
  <si>
    <t>van de Berg, Willem Jan/H-4385-2011; Clem, Kyle/AAG-6626-2021; Hansen, Nicolaj/AAP-8709-2021; Niwano, Masashi/N-6723-2016; zou, xun/I-2438-2015</t>
  </si>
  <si>
    <t>van de Berg, Willem Jan/0000-0002-8232-2040; Clem, Kyle/0000-0002-1419-2758; Hansen, Nicolaj/0000-0002-4448-8891; Niwano, Masashi/0000-0003-3121-3802; zou, xun/0000-0003-1620-3198</t>
  </si>
  <si>
    <t>European Union [101003590]; Japan Society for the Promotion of Science [JP18H05054, JP20H04982]; Indian Institute of Technology Kharagpur; Royal Society of New Zealand Marsden Fund [MFP-VUW2010]; NSF [1823135, 1924730]; Ministry of Education, Govt. of India; Grants-in-Aid for Scientific Research [20H04982] Funding Source: KAKEN</t>
  </si>
  <si>
    <t>European Union(European Union (EU)); Japan Society for the Promotion of Science(Ministry of Education, Culture, Sports, Science and Technology, Japan (MEXT)Japan Society for the Promotion of Science); Indian Institute of Technology Kharagpur; Royal Society of New Zealand Marsden Fund(Royal Society of New ZealandMarsden Fund (NZ)); NSF(National Science Foundation (NSF)); Ministry of Education, Govt. of India; Grants-in-Aid for Scientific Research(Ministry of Education, Culture, Sports, Science and Technology, Japan (MEXT)Japan Society for the Promotion of ScienceGrants-in-Aid for Scientific Research (KAKENHI))</t>
  </si>
  <si>
    <t>We are grateful for the expert comments by three anonymous referees on an earlier version of this article, which significantly improved it, in particular by suggesting the need to investigate the sensitivity of the results to the choice of temperature/melt threshold. AO, FB,EG, PM, RM, DP, and WJB are supported by the European Union's Horizon 2020 research and innovation framework programme under Grant Agreement 101003590 (PolarRES).MN is supported by the Japan Society for the Promotion of Science through Grants-in-Aid for Scientific Research numbers JP18H05054 and JP20H04982. PD is supported by Indian Institute of Technology Kharagpur and the Ministry of Education, Govt. of India. KC is supported by Royal Society of New Zealand Marsden Fund Grant MFP-VUW2010.ML is supported by NSF Grant 1924730. DB and XZ are supported by NSF Grant 1823135</t>
  </si>
  <si>
    <t>0894-8755</t>
  </si>
  <si>
    <t>1520-0442</t>
  </si>
  <si>
    <t>J CLIMATE</t>
  </si>
  <si>
    <t>J. Clim.</t>
  </si>
  <si>
    <t>10.1175/JCLI-D-22-0386.1</t>
  </si>
  <si>
    <t>F6ED0</t>
  </si>
  <si>
    <t>Green Published, Green Accepted, Green Submitted, hybrid</t>
  </si>
  <si>
    <t>WOS:000983246300001</t>
  </si>
  <si>
    <t>Burton-Johnson, A; Bastias, J; Kraus, S</t>
  </si>
  <si>
    <t>Burton-Johnson, Alex; Bastias, Joaquin; Kraus, Stefan</t>
  </si>
  <si>
    <t>Breaking the Ring of Fire: How Ridge Collision, Slab Age, and Convergence Rate Narrowed and Terminated the Antarctic Continental Arc</t>
  </si>
  <si>
    <t>TECTONICS</t>
  </si>
  <si>
    <t>arc magmatism; tectono-magmatism; Antarctica; South Shetland Islands; Andean arc; dykes</t>
  </si>
  <si>
    <t>SOUTH SHETLAND ISLANDS; KING GEORGE ISLAND; SUBDUCTION HISTORY; GEODYNAMIC HISTORY; VOLCANIC-ROCKS; DRAKE PASSAGE; PENINSULA; PACIFIC; EVOLUTION; TRENCH</t>
  </si>
  <si>
    <t>The geometry of the Antarctic-Phoenix Plate system, with the Antarctic Plate forming both the overriding plate and the conjugate to the subducting oceanic plate, allows quantification of slab age and convergence rate back to the Paleocene and direct comparison with the associated magmatic arc. New Ar-Ar data from Cape Melville (South Shetland Islands, SSI) and collated geochronology shows Antarctic arc magmatism ceased at similar to 19 Ma. Since the Cretaceous, the arc front remained similar to 100 km from the trench whilst its rear migrated trenchward at 6 km/Myr. South of the SSI, arc magmatism ceased similar to 8-5 Myr prior to each ridge-trench collision, whilst on the SSI (where no collision occurred) the end of arc magmatism predates the end of subduction by similar to 16 Myr. Despite the narrowing and successive cessation of the arc, geochemical and dyke orientation data shows the arc remained in a consistently transitional state of compressional continental arc and extensional backarc tectonics. Numerically relating slab age, convergence rate, and slab dip to the Antarctic-Phoenix Plate system, we conclude that the narrowing of the arc and the cessation of magmatism south of the SSI was primarily in response to the subduction of progressively younger oceanic crust, and secondarily to the decreasing convergence rate. Increased slab dip beneath the SSI migrated the final magmatism offshore. Comparable changes in the geometry and composition are observed on the Andean arc, suggesting slab age and convergence rate may affect magmatic arc geometry and composition in settings currently attributed to slab dip variation.</t>
  </si>
  <si>
    <t>[Burton-Johnson, Alex] British Antarctic Survey, Cambridge, England; [Bastias, Joaquin] Trinity Coll Dublin, Dept Geol, Dublin, Ireland; [Bastias, Joaquin] Univ Andres Bello, Fac Ingn, Carrera Geol, Santiago, Chile; [Kraus, Stefan] CDM Smith SE, Nurnberg, Germany</t>
  </si>
  <si>
    <t>UK Research &amp; Innovation (UKRI); Natural Environment Research Council (NERC); NERC British Antarctic Survey; Trinity College Dublin; Universidad Andres Bello</t>
  </si>
  <si>
    <t>Burton-Johnson, A (corresponding author), British Antarctic Survey, Cambridge, England.</t>
  </si>
  <si>
    <t>alerto@bas.ac.uk</t>
  </si>
  <si>
    <t>Bastias, Joaquin/A-6995-2016</t>
  </si>
  <si>
    <t>Bastias, Joaquin/0000-0001-6678-3173; Burton-Johnson, Alex/0000-0003-2208-0075; Kraus, Stefan/0000-0001-5017-9940</t>
  </si>
  <si>
    <t>Natural Environment Research Council; Trans-Antarctic Association; Instituto Antartico Chileno (INACH) [RT-06-14]; Swiss National Science Foundation [P500PN_202847]; Swiss National Science Foundation (SNF) [P500PN_202847] Funding Source: Swiss National Science Foundation (SNF)</t>
  </si>
  <si>
    <t>Natural Environment Research Council(UK Research &amp; Innovation (UKRI)Natural Environment Research Council (NERC)); Trans-Antarctic Association; Instituto Antartico Chileno (INACH); Swiss National Science Foundation(Swiss National Science Foundation (SNSF)); Swiss National Science Foundation (SNF)(Swiss National Science Foundation (SNSF))</t>
  </si>
  <si>
    <t>We thank two anonymous reviewers for taking the time to review the manuscript, and Jonathan Aitchison for handling the manuscript as its editor. We thank the Royal Navy ship, HMS Protector for fieldwork support. This study is part of the British Antarctic Survey Polar Science for Planet Earth programme, funded by the Natural Environment Research Council. 40Ar/39Ar analyses were funded by the Trans-Antarctic Association. Thanks to Alison Halton and Sarah Sherlock at Open University for conducting the 40Ar/39Ar analyses, to Valentina Magni for discussions on numerical modeling and subduction zone dynamics, and to Rob Larter for comments on our manuscript. Joaquin Bastias was funded by the Instituto Antartico Chileno (INACH, project RT-06-14) and the Swiss National Science Foundation (project P500PN_202847).</t>
  </si>
  <si>
    <t>AMER GEOPHYSICAL UNION</t>
  </si>
  <si>
    <t>WASHINGTON</t>
  </si>
  <si>
    <t>2000 FLORIDA AVE NW, WASHINGTON, DC 20009 USA</t>
  </si>
  <si>
    <t>0278-7407</t>
  </si>
  <si>
    <t>1944-9194</t>
  </si>
  <si>
    <t>Tectonics</t>
  </si>
  <si>
    <t>e2022TC007634</t>
  </si>
  <si>
    <t>10.1029/2022TC007634</t>
  </si>
  <si>
    <t>Geochemistry &amp; Geophysics</t>
  </si>
  <si>
    <t>F1KR7</t>
  </si>
  <si>
    <t>Green Accepted, hybrid</t>
  </si>
  <si>
    <t>WOS:000980010400001</t>
  </si>
  <si>
    <t>Ohail, TS; Olmes, RMH; Zika, JD</t>
  </si>
  <si>
    <t>Ohail, T. S.; Olmes, R. M. H.; Zika, J. D.</t>
  </si>
  <si>
    <t>Water-Mass Coordinates Isolate the Historical Ocean Warming Signal</t>
  </si>
  <si>
    <t>Climate variability; Heating; Salinity; Oceanic variability; Data science; Dimensionality reduction</t>
  </si>
  <si>
    <t>HEAT-CONTENT; TEMPERATURE; VARIABILITY</t>
  </si>
  <si>
    <t>Persistent warming and water cycle change due to anthropogenic climate change modifies the temperature and salinity distribution of the ocean over time. This forced signal of temperature and salinity change is often masked by the background internal variability of the climate system. Analyzing temperature and salinity change in water-mass-based coordinate systems has been proposed as an alternative to traditional Eulerian (e.g., fixed-depth, zonally averaged) coordi-nate systems. The impact of internal variability is thought to be reduced in water-mass coordinates, enabling a cleaner separation of the forced signal from background variability -or a higher signal-to-noise ratio. Building on previous analyses comparing Eulerian and water-mass-based one-dimensional coordinates, here we recast two-dimensional co-ordinate systems-temperature-salinity (T-S), latitude-longitude, and latitude-depth-onto a directly comparable equal-volume framework. We compare the internal variability, or noise in temperature and salinity between these remapped two-dimensional coordinate systems in a 500-yr preindustrial control run from a CMIP6 climate model. We find that the median internal variability is lowest (and roughly equivalent) in T-S and latitude-depth space, compared with latitude-longitude coordinates. A large proportion of variability in T-S and latitude-depth space can be attributed to processes that operate over a time scale greater than 10 years. Overall, the signal-to-noise ratio in T-S coordinates is roughly comparable to latitude-depth coordinates, but is greater in regions of high historical temperature change. Con-versely, latitude-depth coordinates have greater signal-to-noise ratio in regions of historical salinity change. Thus, we con-clude that the climatic temperature change signal can be more robustly identified in water-mass coordinates.</t>
  </si>
  <si>
    <t>[Ohail, T. S.; Zika, J. D.] Univ New South Wales, Sch Math &amp; Stat, Sydney, Australia; [Olmes, R. M. H.; Zika, J. D.] Univ New South Wales, Australian Ctr Excellence Antarctic Sci, Sydney, NSW, Australia; [Olmes, R. M. H.] Univ Sydney, Sch Geosci, Sydney, Australia; [Zika, J. D.] Univ New South Wales, UNSW Data Sci Hub, Sydney, Australia</t>
  </si>
  <si>
    <t>University of New South Wales Sydney; University of New South Wales Sydney; University of Sydney; University of New South Wales Sydney</t>
  </si>
  <si>
    <t>Ohail, TS (corresponding author), Univ New South Wales, Sch Math &amp; Stat, Sydney, Australia.</t>
  </si>
  <si>
    <t>t.sohail@unsw.edu.au</t>
  </si>
  <si>
    <t>Sohail, Taimoor/T-3785-2018</t>
  </si>
  <si>
    <t>Sohail, Taimoor/0000-0002-4162-3269; Zika, Jan/0000-0003-3462-3559</t>
  </si>
  <si>
    <t>World Climate Research Programme (WCRP); CMIP6 climate modeling groups for producing and making available their model output; Earth System Grid Federation (ESGF); Commonwealth of Australia; Australian Research Council (ARC) Centre of Excellence for Climate Extremes (CLEX); Australian Centre for Excellence in Antarctic Science (ACEAS); ARC [DP190101173, DE21010004]</t>
  </si>
  <si>
    <t>World Climate Research Programme (WCRP); CMIP6 climate modeling groups for producing and making available their model output; Earth System Grid Federation (ESGF); Commonwealth of Australia(Australian Government); Australian Research Council (ARC) Centre of Excellence for Climate Extremes (CLEX)(Australian Research Council); Australian Centre for Excellence in Antarctic Science (ACEAS); ARC(Australian Research Council)</t>
  </si>
  <si>
    <t>We acknowledge the World Climate Research Programme (WCRP), the CMIP6 climate modeling groups for producing and making available their model output, and the Earth System Grid Federation (ESGF) as well as the funding agencies that support the WCRP, CMIP6, and ESGF. All data analysis was conducted at facilities which form part of the National Computational Infrastructure (NCI), which is supported by the Commonwealth of Australia. The authors are supported by the Australian Research Council (ARC) Centre of Excellence for Climate Extremes (CLEX), the Australian Centre for Excellence in Antarctic Science (ACEAS), and the ARC Discovery Project Scheme DP190101173. We acknowledge support from ARC Award DE21010004. We thank Dr. John A. Church for assistance in the interpretation of results, and the Climate Modelling Support (CMS) team at CLEX for assistance in developing the BSP binning algorithm. We thank reviewers Yona Silvy and Jonas Nycander for their thorough comments and feedback.</t>
  </si>
  <si>
    <t>10.1175/JCLI-D-22-0363.1</t>
  </si>
  <si>
    <t>D7HD6</t>
  </si>
  <si>
    <t>Bronze</t>
  </si>
  <si>
    <t>WOS:000970391100001</t>
  </si>
  <si>
    <t>Wang, SY; Liu, JP; Cheng, X; Yang, DX; Kerzenmacher, T; Li, XQ; Hu, YY; Braesicke, P</t>
  </si>
  <si>
    <t>Wang, Shaoyin; Liu, Jiping; Cheng, Xiao; Yang, Dongxia; Kerzenmacher, Tobias; Li, Xinqing; Hu, Yongyun; Braesicke, Peter</t>
  </si>
  <si>
    <t>Contribution of the deepened Amundsen sea low to the record low Antarctic sea ice extent in February 2022</t>
  </si>
  <si>
    <t>ENVIRONMENTAL RESEARCH LETTERS</t>
  </si>
  <si>
    <t>Antarctic sea ice; Amundsen sea low; wind-driven ice drift; ice-ocean albedo feedback; CMIP6</t>
  </si>
  <si>
    <t>SOUTHERN-HEMISPHERE; WEST ANTARCTICA; CIRCULATION; SENSITIVITY; SYSTEM; OCEAN</t>
  </si>
  <si>
    <t>The annual minimum Antarctic sea ice extent (SIE) in February 2022 hits a record low in the satellite era, with less than 2 million square kilometres observed on 25 February 2022, contrasting with the slightly positive trend in the Antarctic SIE prior to 2014. However, the preceding Amundsen Sea Low (ASL) in austral spring 2021 was the deepest since 1950. According to a linear regression model, the very low ASL contributed about 60% to the record low SIE in 2022. This study further investigates the underlying mechanism. The investigation of the lagged impact of the ASL on Antarctic SIE is based on observational data and state-of-the-art simulations. We found that (a) the deepened ASL associated with strengthened southerly winds accelerates the sea ice export away from the western Antarctic continent in spring, leading to the expansion of coastal polynyas (open water areas); (b) through the positive ice-ocean albedo feedback, the lack of the sea ice off the coastline enhances solar heating in the upper ocean and further sea ice melting in summer can occur. Specifically, in spring 2021, the deepest ASL is accompanied by a large sea-ice area flux of about 17.6 x 10(3) km(2) across 70 degrees S over the Ross Sea in October and November, contributing to a significant increase in net surface radiation of 20-30 W m(-2) and upper ocean warming of about 0.5 K in summer. Therefore, the deepened ASL in spring 2021 plays a crucial role for the record low Antarctic SIE in February 2022. In addition, it is found that both the La Nina conditions and the strong stratospheric polar vortex contributed significantly to the very strong ASL in 2021. Currently, nearly 2/3 of Earth system models in the Coupled Model Intercomparison Project Phase 6 have difficulties capturing the relationship between the ASL and the Antarctic SIE.</t>
  </si>
  <si>
    <t>[Wang, Shaoyin; Cheng, Xiao; Li, Xinqing] Sun Yat Sen Univ, Sch Geospatial Engn &amp; Sci, Southern Marine Sci &amp; Engn Guangdong Lab Zhuhai, Zhuhai, Peoples R China; [Wang, Shaoyin; Cheng, Xiao] Sun Yat Sen Univ, Key Lab Comprehens Observat Polar Environm, Minist Educ, PeoplesRepubl China, Zhuhai, Peoples R China; [Liu, Jiping] SUNY Albany, Dept Atmospher &amp; Environm Sci, Albany, NY USA; [Yang, Dongxia] Univ Melbourne, ARC Ctr Excellence Climate Extremes, Melbourne, Vic, Australia; [Kerzenmacher, Tobias; Braesicke, Peter] Karlsruhe Inst Technol, Inst Meteorol &amp; Climate Res, Karlsruhe, Germany; [Hu, Yongyun] Peking Univ, Sch Phys, Dept Atmospher &amp; Ocean Sci, Beijing, Peoples R China; [Yang, Dongxia] Analycia Pty Ltd, Melbourne, Vic, Australia; [Wang, Shaoyin; Cheng, Xiao; Li, Xinqing] Univ Corp Polar Res, Zhuhai, Peoples R China</t>
  </si>
  <si>
    <t>Sun Yat Sen University; Southern Marine Science &amp; Engineering Guangdong Laboratory; Southern Marine Science &amp; Engineering Guangdong Laboratory (Zhuhai); Sun Yat Sen University; State University of New York (SUNY) System; State University of New York (SUNY) Albany; Melbourne Genomics Health Alliance; University of Melbourne; Helmholtz Association; Karlsruhe Institute of Technology; Peking University; Melbourne Genomics Health Alliance</t>
  </si>
  <si>
    <t>Cheng, X (corresponding author), Sun Yat Sen Univ, Sch Geospatial Engn &amp; Sci, Southern Marine Sci &amp; Engn Guangdong Lab Zhuhai, Zhuhai, Peoples R China.;Cheng, X (corresponding author), Sun Yat Sen Univ, Key Lab Comprehens Observat Polar Environm, Minist Educ, PeoplesRepubl China, Zhuhai, Peoples R China.;Cheng, X (corresponding author), Univ Corp Polar Res, Zhuhai, Peoples R China.</t>
  </si>
  <si>
    <t>chengxiao9@mail.sysu.edu.cn</t>
  </si>
  <si>
    <t>Braesicke, Peter/D-8330-2016; Hu, Yongyun/B-6786-2016; Kerzenmacher, Tobias/AGN-7243-2022</t>
  </si>
  <si>
    <t>Braesicke, Peter/0000-0003-1423-0619; Hu, Yongyun/0000-0002-4003-4630; Kerzenmacher, Tobias/0000-0001-8413-0539</t>
  </si>
  <si>
    <t>National Natural Science Foundation of China [42206251]; Innovation Group Project of Southern Marine Science and Engineering Guangdong Laboratory (Zhuhai) [311021008]</t>
  </si>
  <si>
    <t>National Natural Science Foundation of China(National Natural Science Foundation of China (NSFC)); Innovation Group Project of Southern Marine Science and Engineering Guangdong Laboratory (Zhuhai)</t>
  </si>
  <si>
    <t>AcknowledgmentsWe thank two anonymous reviewers for their valuable and constructive comments. This work was supported by the National Natural Science Foundation of China (No. 41830536), the National Natural Science Foundation of China (No. 42206251), and Innovation Group Project of Southern Marine Science and Engineering Guangdong Laboratory (Zhuhai) (No. 311021008).</t>
  </si>
  <si>
    <t>1748-9326</t>
  </si>
  <si>
    <t>ENVIRON RES LETT</t>
  </si>
  <si>
    <t>Environ. Res. Lett.</t>
  </si>
  <si>
    <t>10.1088/1748-9326/acc9d6</t>
  </si>
  <si>
    <t>Environmental Sciences; Meteorology &amp; Atmospheric Sciences</t>
  </si>
  <si>
    <t>Environmental Sciences &amp; Ecology; Meteorology &amp; Atmospheric Sciences</t>
  </si>
  <si>
    <t>D7QM8</t>
  </si>
  <si>
    <t>gold</t>
  </si>
  <si>
    <t>WOS:000970636700001</t>
  </si>
  <si>
    <t>Waller, RG; Goode, S; Tracey, D; Johnstone, J; Mercier, A</t>
  </si>
  <si>
    <t>Waller, Rhian G.; Goode, Savannah; Tracey, Di; Johnstone, Julia; Mercier, Annie</t>
  </si>
  <si>
    <t>A review of current knowledge on reproductive and larval processes of deep-sea corals</t>
  </si>
  <si>
    <t>MARINE BIOLOGY</t>
  </si>
  <si>
    <t>Review</t>
  </si>
  <si>
    <t>Deep-sea corals; Gametogenesis; Oogenesis; Spermatogenesis; Larval development; Periodicity; Seasonality</t>
  </si>
  <si>
    <t>FUNGIACYATHUS-MARENZELLERI VAUGHAN; VULNERABLE MARINE ECOSYSTEMS; GROWTH-RATES; SCLERACTINIAN CORAL; SEXUAL REPRODUCTION; GENETIC-STRUCTURE; CLONAL PROPAGATION; LOPHELIA-PERTUSA; TEMPERATE CORAL; BLACK CORALS</t>
  </si>
  <si>
    <t>The presence of corals living in deep waters around the globe has been documented in various publications since the late 1800s, when the first research vessels set sail on multi-year voyages. Ecological research on these species, however, only truly began some 100 years later. We now know that many species of deep-sea coral provide ecosystem services by creating complex habitat for thousands of associated species, and thus are major contributors to global marine biodiversity. Among the many vital ecological processes, reproduction provides a fundamental link between individuals and populations of these sessile organisms that enables the maintenance of current populations and provides means for expansion to new areas. While research on reproduction of deep-sea corals has increased in pace over the last 20 years, the field is still vastly understudied, with less than 4% of all known species having any aspect of reproduction reported. This knowledge gap is significant, because information on reproduction is critical to our understanding of species-specific capacity to recover from disturbances (e.g., fishing impacts, ocean warming, and seafloor mining). It is important, therefore, to examine the current state of knowledge regarding deep-sea coral reproduction to identify recent advances and potential research priorities, which was the aim of the present study. Specifically, this review synthesizes the research carried out to date on reproduction in deep-living species of corals in the orders Alcyonacea, Scleractinia, Antipatharia, Pennatulacea (class Anthozoa), and family Stylasteridae (class Hydrozoa).</t>
  </si>
  <si>
    <t>[Waller, Rhian G.] Univ Gothenburg, Tjarno Marine Lab, Gothenburg, Sweden; [Goode, Savannah; Tracey, Di] Natl Inst Water &amp; Atmospher Res, Wellington, New Zealand; [Goode, Savannah] Victoria Univ Wellington, Sch Biol Sci, Wellington, New Zealand; [Johnstone, Julia] NOAA, Hollings Marine Lab, Natl Ctr Coastal Ocean Sci, Charleston, SC USA; [Mercier, Annie] Mem Univ Newfoundland, Dept Ocean Sci, St John, NF, Canada</t>
  </si>
  <si>
    <t>University of Gothenburg; National Institute of Water &amp; Atmospheric Research (NIWA) - New Zealand; Victoria University Wellington; National Oceanic Atmospheric Admin (NOAA) - USA; National Ocean Service, NOAA; National Centers for Coastal Ocean Science (NOOCS); Memorial University Newfoundland</t>
  </si>
  <si>
    <t>Waller, RG (corresponding author), Univ Gothenburg, Tjarno Marine Lab, Gothenburg, Sweden.</t>
  </si>
  <si>
    <t>rhian.waller@gu.se</t>
  </si>
  <si>
    <t>Mercier, Annie/B-4254-2012</t>
  </si>
  <si>
    <t>New Zealand Department of Conservation (DOC) [DOC19305]</t>
  </si>
  <si>
    <t>New Zealand Department of Conservation (DOC)</t>
  </si>
  <si>
    <t>AcknowledgementsThis review article could not have been put together without extensive help from our colleagues and collaborators. We thank Mark Costello for sharing marine biogeographic realms shapefiles published in Costello et al. (2017) and available for download here: https://auckland.figshare.com/articles/dataset/GIS_shape_files_of_realm_maps/5596840/1, as these files aided us in creating Figure 1. We also thank staff members at the National Institute of Water and Atmospheric Research (NIWA), in particular Jennifer Beaumont for summarizing in prep. information on Goniocorella dumosa brooding, Erika Mackay for her provision of digital illustrations (Figures 2 and 6), and Kevin Mackay for helping with the OBIS extraction of coral records. We also thank Susie Balser (formerly of Illinois Wesleyan University) for images taken during an Antarctic cruise that made up Fig. 8. Funding from the New Zealand Department of Conservation (DOC) to prepare an earlier review of protected corals is acknowledged (Funding code DOC19305), and in particular, we thank Lyndsey Holland (DOC) for her on-going support of this research. Finally, we thank our editor and anonymous reviewers for the helpful comments improving this manuscript.</t>
  </si>
  <si>
    <t>SPRINGER HEIDELBERG</t>
  </si>
  <si>
    <t>HEIDELBERG</t>
  </si>
  <si>
    <t>TIERGARTENSTRASSE 17, D-69121 HEIDELBERG, GERMANY</t>
  </si>
  <si>
    <t>0025-3162</t>
  </si>
  <si>
    <t>1432-1793</t>
  </si>
  <si>
    <t>MAR BIOL</t>
  </si>
  <si>
    <t>Mar. Biol.</t>
  </si>
  <si>
    <t>10.1007/s00227-023-04182-8</t>
  </si>
  <si>
    <t>Marine &amp; Freshwater Biology</t>
  </si>
  <si>
    <t>C5UP6</t>
  </si>
  <si>
    <t>hybrid</t>
  </si>
  <si>
    <t>WOS:000962566700001</t>
  </si>
  <si>
    <t>Liu, Z; He, C; An, MY; Buizert, C; Otto-bliesner, BL; Lu, F; Zeng, C</t>
  </si>
  <si>
    <t>Liu, Z.; He, C.; An, M. y; Buizert, C.; Otto-bliesner, B. L.; Lu, F.; Zeng, C.</t>
  </si>
  <si>
    <t>Reconstruction of Past Antarctic Temperature Using Present Seasonal d18O-Inversion Layer Temperature: Unified Slope Equations and Applications</t>
  </si>
  <si>
    <t>Atmosphere; Inversions; Climate records; Isotopic analysis</t>
  </si>
  <si>
    <t>STABLE-ISOTOPES; TIME-VARIATION; DELTA-D; PRECIPITATION; GREENLAND; DEUTERIUM; SPACE; O-18</t>
  </si>
  <si>
    <t>Reconstructing the history of polar temperature from ice core water isotope (618O) calibration has remained a challenge in paleoclimate research, because of our incomplete understanding of various temperature-618O relationships. This paper resolves this classical problem in a new framework called the unified slope equations (USE), which illustrates the general relations among spatial and temporal 618O-surface temperature slopes. The USE is applied to the Antarctica temper-ature change during the last deglaciation in model simulations and observations. It is shown that the comparable Antarctica -mean spatial slope with deglacial temporal slope in 618O-surface temperature reconstruction is caused, accidentally, by the compensation responses between the 618O-inversion layer temperature relation and the inversion layer temperature itself. Furthermore, in light of the USE, we propose that the present seasonal slope of 618O-inversion layer temperature is an opti-mal paleothermometer that is more accurate and robust than the spatial slope. This optimal slope suggests the possibility of reconstructing past Antarctic temperature changes using present and future instrumental observations.</t>
  </si>
  <si>
    <t>[Liu, Z.; An, M. y] Ohio State Univ, Dept Geog, Columbus, OH 43210 USA; [Liu, Z.; He, C.; Zeng, C.] Laoshan Lab, Qingdao, Peoples R China; [Liu, Z.; He, C.] Nanjing Univ Informat Sci &amp; Technol, Coll Atmospher Sci, Nanjing, Peoples R China; [Zeng, C.] Nanjing Normal Univ, Coll Geog Sci, Nanjing, Peoples R China; [Buizert, C.] Oregon State Univ, Coll Earth Ocean &amp; Atmospher Sci, Corvallis, OR USA; [Otto-bliesner, B. L.] Natl Ctr Atmospher Res, Climate &amp; Global Dynam Lab, Boulder, CO USA; [Lu, F.] NOAA, Geophys Fluid Dynam Lab, Princeton, NJ USA</t>
  </si>
  <si>
    <t>University System of Ohio; Ohio State University; Laoshan Laboratory; Nanjing University of Information Science &amp; Technology; Nanjing Normal University; Oregon State University; National Center Atmospheric Research (NCAR) - USA; National Oceanic Atmospheric Admin (NOAA) - USA</t>
  </si>
  <si>
    <t>Liu, Z (corresponding author), Ohio State Univ, Dept Geog, Columbus, OH 43210 USA.;Liu, Z; He, C (corresponding author), Laoshan Lab, Qingdao, Peoples R China.;Liu, Z; He, C (corresponding author), Nanjing Univ Informat Sci &amp; Technol, Coll Atmospher Sci, Nanjing, Peoples R China.</t>
  </si>
  <si>
    <t>liu.7022@osu.edu; cxh1079@rsmas.miami.edu</t>
  </si>
  <si>
    <t>Laoshan Laboratory Project [LSKJ202203300]; U.S. NSF [2002506, 2002521, 2019719]; Directorate For Geosciences; Div Atmospheric &amp; Geospace Sciences [2002521] Funding Source: National Science Foundation; Directorate For Geosciences; Division Of Earth Sciences [2002506] Funding Source: National Science Foundation</t>
  </si>
  <si>
    <t>Laoshan Laboratory Project; U.S. NSF(National Science Foundation (NSF)); Directorate For Geosciences; Div Atmospheric &amp; Geospace Sciences(National Science Foundation (NSF)NSF - Directorate for Geosciences (GEO)); Directorate For Geosciences; Division Of Earth Sciences(National Science Foundation (NSF)NSF - Directorate for Geosciences (GEO))</t>
  </si>
  <si>
    <t>We thank Drs. E. Mosley -Thompson, L. Thompson, D. Bromwich, D. Noone, J. Nusbaumer, and J. Severinghaus for helpful discussions. We are also grateful to two anonymous reviewers for careful review and constructive comments, which improved the presentation of the paper sub- stantially. This work is supported by Laoshan Laboratory Project LSKJ202203300, U.S. NSF 2002506, 2002521, and 2019719 (the Center for Oldest Ice Exploration, an NSF Science and</t>
  </si>
  <si>
    <t>10.1175/JCLI-D-22-0012.1</t>
  </si>
  <si>
    <t>C4XY9</t>
  </si>
  <si>
    <t>WOS:000961974300001</t>
  </si>
  <si>
    <t>Kavan, J; Hrbacek, F; Stringer, CD</t>
  </si>
  <si>
    <t>Kavan, Jan; Hrbacek, Filip; Stringer, Christopher D.</t>
  </si>
  <si>
    <t>Proglacial streams runoff dynamics in Devil′s Bay, Vega Island, Antarctica</t>
  </si>
  <si>
    <t>HYDROLOGICAL SCIENCES JOURNAL</t>
  </si>
  <si>
    <t>runoff; water temperature; glaciers; eastern Antarctic Peninsula; atmospheric conditions</t>
  </si>
  <si>
    <t>JAMES-ROSS-ISLAND; MCMURDO DRY VALLEYS; BAHIA-DEL-DIABLO; WATER TEMPERATURE; MASS-BALANCE; RIVER DISCHARGE; TAYLOR GLACIER; VARIABILITY; CATCHMENT; PENINSULA</t>
  </si>
  <si>
    <t>Increasing temperatures in Antarctica have resulted in the enlargement of proglacial regions on the Antarctic Peninsula, following glacier melt. This melt has increased river activity yet direct runoff measurements remain scarce in Antarctica, despite it acting as a proxy for glacial ablation. Here, we present discharge and water temperature data from 2013 for three streams on Vega Island and discuss their relationship with air temperature. The average discharge at the largest stream was 0.523 m(3)s(-1) with a maximum of 5.510 m(3)s(-1) - among the highest recorded in Antarctica. The rivers continued to flow even when temperatures dropped to -7 degrees C, indicating that a large proportion of the total runoff originated sub-glacially. This is supported by the one-day time lag between air and water temperatures. Using river discharge as a proxy, we measured 124.5 +/- 14.4 mm w.e. of ablation. This indirect measurement proved an effective tool to complement classic glaciological observations.</t>
  </si>
  <si>
    <t>[Kavan, Jan; Hrbacek, Filip] Masaryk Univ, Fac Sci, Dept Geog, Brno, Czech Republic; [Kavan, Jan] Univ Wroclaw, Inst Geog &amp; Reg Dev, Alfred Jahn Cold Reg Res Ctr, Wroclaw, Poland; [Stringer, Christopher D.] Univ Leeds, Sch Geog, Leeds, England</t>
  </si>
  <si>
    <t>Masaryk University Brno; University of Wroclaw; University of Leeds</t>
  </si>
  <si>
    <t>Kavan, J (corresponding author), Masaryk Univ, Fac Sci, Dept Geog, Brno, Czech Republic.</t>
  </si>
  <si>
    <t>jan.kavan.cb@gmail.com</t>
  </si>
  <si>
    <t>Kavan, Jan/ACU-4986-2022</t>
  </si>
  <si>
    <t>Stringer, Christopher David/0000-0002-2902-9435; Kavan, Jan/0000-0003-4524-3009</t>
  </si>
  <si>
    <t>TAYLOR &amp; FRANCIS LTD</t>
  </si>
  <si>
    <t>ABINGDON</t>
  </si>
  <si>
    <t>2-4 PARK SQUARE, MILTON PARK, ABINGDON OR14 4RN, OXON, ENGLAND</t>
  </si>
  <si>
    <t>0262-6667</t>
  </si>
  <si>
    <t>2150-3435</t>
  </si>
  <si>
    <t>HYDROLOG SCI J</t>
  </si>
  <si>
    <t>Hydrol. Sci. J.</t>
  </si>
  <si>
    <t>MAY 19</t>
  </si>
  <si>
    <t>10.1080/02626667.2023.2195559</t>
  </si>
  <si>
    <t>APR 2023</t>
  </si>
  <si>
    <t>Water Resources</t>
  </si>
  <si>
    <t>H8YY2</t>
  </si>
  <si>
    <t>hybrid, Green Published</t>
  </si>
  <si>
    <t>WOS:000980299200001</t>
  </si>
  <si>
    <t>Lambert, JE; Linsley, BK; Abell, JT; Bova, SC; Winckler, G; Rosenthal, Y; Weiss, TL; Huang, W</t>
  </si>
  <si>
    <t>Lambert, Jonathan E.; Linsley, Braddock K.; Abell, Jordan T.; Bova, Samantha C.; Winckler, Gisela; Rosenthal, Yair; Weiss, Thomas L.; Huang, Wei</t>
  </si>
  <si>
    <t>Obliquity-driven subtropical forcing of the thermocline after 240 ka in the southern sector of the Western Pacific Warm Pool</t>
  </si>
  <si>
    <t>PALAEOGEOGRAPHY PALAEOCLIMATOLOGY PALAEOECOLOGY</t>
  </si>
  <si>
    <t>Western Pacific Warm Pool; obliquity; thermocline; western boundary currents; Globorotalia tumida; IODP Site U1486</t>
  </si>
  <si>
    <t>ANTARCTIC INTERMEDIATE WATER; EASTERN EQUATORIAL PACIFIC; TROPICAL PACIFIC; SEA-SURFACE; ISOTOPIC COMPOSITION; CLIMATE VARIABILITY; GLOBAL CLIMATE; EL-NINO; FORAMINIFERA; CIRCULATION</t>
  </si>
  <si>
    <t>Changes in vertical geochemical gradients within the Western Pacific Warm Pool (WPWP) are important indicators of the region's upper ocean response to climate changes and to the oceanographic coupling between the thermocline and surface mixed layer. Here, we reconstruct temperature and delta O-18(sw) at International Ocean Discovery Program Site U1486 (1332 m water depth, 2.22' S, 144. 36' E) located in the Bismarck Sea in the southern sector of the WPWP. A 670-kyr record of Delta delta O-18 between the surface-dwelling foraminifera Globigerinoides ruber sensu stricto and the thermocline-dwelling foraminifera Pulleniatina obliquiloculata and Globorotalia tumida (when combined with Mg/Ca-based temperature and d18Osw estimates) suggests long-term thermocline shoaling and a progressively increasing vertical salinity gradient commencing near 240 ka. Through a detailed comparison to other Pacific records, it becomes clear this is not solely a local phenomenon, as we identify widespread cooling of the thermocline in the low-latitude Pacific after similar to 240 ka. After examining our temperature reconstructions alongside new delta O-18(sw) and constant flux proxy-derived focusing factor records, we potentially also validate previous models which find obliquity-induced strengthening of low-latitude Pacific currents. We extend this to support periods of increased transport of high-salinity thermocline water masses through the South Pacific low-latitude western boundary current system. These results indicate greater variability in thermocline circulation given amplified obliquity and strengthen previous evidence that variability in the WPWP thermocline is independent from the drivers of WPWP surface variability.</t>
  </si>
  <si>
    <t>[Lambert, Jonathan E.; Linsley, Braddock K.; Winckler, Gisela; Weiss, Thomas L.; Huang, Wei] Lamont Doherty Earth Observ, 61 Route 9W, Palisades, NY 10964 USA; [Lambert, Jonathan E.; Winckler, Gisela; Weiss, Thomas L.] Columbia Univ, Dept Earth &amp; Environm Sci, 557 Schermerhorn Hall Extens,Morningside Campus, New York, NY 10027 USA; [Abell, Jordan T.] Univ Arizona, Dept Geosci, 1040 E 4 th St, Tucson, AZ 85721 USA; [Bova, Samantha C.] San Diego State Univ, Dept Geol Sci, 5500 Campanile Dr, San Diego, CA 92182 USA; [Rosenthal, Yair] Rutgers State Univ, Dept Marine &amp; Coastal Sci, 71 Dudley Rd, New Brunswick, NJ 09801 USA; [Lambert, Jonathan E.] Conservat Int, 2011 Crystal Dr Suite 500, Arlington, VA 22202 USA; [Weiss, Thomas L.] Univ Galway, Geog Dept, Univ Rd Co, Galway H91 CF50, Ireland</t>
  </si>
  <si>
    <t>Columbia University; Columbia University; University of Arizona; California State University System; San Diego State University; Rutgers University System; Rutgers University New Brunswick; Conservation International</t>
  </si>
  <si>
    <t>Lambert, JE (corresponding author), Lamont Doherty Earth Observ, 61 Route 9W, Palisades, NY 10964 USA.;Lambert, JE (corresponding author), Columbia Univ, Dept Earth &amp; Environm Sci, 557 Schermerhorn Hall Extens,Morningside Campus, New York, NY 10027 USA.;Lambert, JE (corresponding author), Conservat Int, 2011 Crystal Dr Suite 500, Arlington, VA 22202 USA.</t>
  </si>
  <si>
    <t>jel2195@columbia.edu</t>
  </si>
  <si>
    <t>Abell, Jordan/0000-0002-2458-8844; Bova, Samantha/0000-0002-5064-8775; Linsley, Braddock/0000-0003-2085-0662</t>
  </si>
  <si>
    <t>US Science Support Program Post-Expedition Activity Awards [363]; Lamont-Doherty Earth Observatory Climate Center; National Science Foundation [OCE-1834208]; Vetlesen Foundation</t>
  </si>
  <si>
    <t>US Science Support Program Post-Expedition Activity Awards; Lamont-Doherty Earth Observatory Climate Center; National Science Foundation(National Science Foundation (NSF)); Vetlesen Foundation</t>
  </si>
  <si>
    <t>This work was supported by US Science Support Program Post-Expedition Activity Awards for Exp. 363 to B.K.L. It was also supported by a funding from the Lamont-Doherty Earth Observatory Climate Center to B.K.L. and J.E.L., and by National Science Foundation grant #OCE-1834208 to Y.R. Support for B.K.L.'s time was partially provided by the Vetlesen Foundation via a gift to the Lamont-Doherty Earth Observatory. We thank Joselyne Chavez, Roseanne Schwartz, Elkan Bruha, Raphael Aublin, Thomas Decugis, Roman dias Pinto, and Jonthan Vasquez for analytical assistance.</t>
  </si>
  <si>
    <t>ELSEVIER</t>
  </si>
  <si>
    <t>AMSTERDAM</t>
  </si>
  <si>
    <t>RADARWEG 29, 1043 NX AMSTERDAM, NETHERLANDS</t>
  </si>
  <si>
    <t>0031-0182</t>
  </si>
  <si>
    <t>1872-616X</t>
  </si>
  <si>
    <t>PALAEOGEOGR PALAEOCL</t>
  </si>
  <si>
    <t>Paleogeogr. Paleoclimatol. Paleoecol.</t>
  </si>
  <si>
    <t>JUL 1</t>
  </si>
  <si>
    <t>10.1016/j.palaeo.2023.111578</t>
  </si>
  <si>
    <t>Geography, Physical; Geosciences, Multidisciplinary; Paleontology</t>
  </si>
  <si>
    <t>Physical Geography; Geology; Paleontology</t>
  </si>
  <si>
    <t>R5CH4</t>
  </si>
  <si>
    <t>WOS:001064522800001</t>
  </si>
  <si>
    <t>Beck, A; Casanova-Katny, A; Gerasimova, J</t>
  </si>
  <si>
    <t>Beck, Andreas; Casanova-Katny, Angelica; Gerasimova, Julia</t>
  </si>
  <si>
    <t>Metabarcoding of Antarctic Lichens from Areas with Different Deglaciation Times Reveals a High Diversity of Lichen-Associated Communities</t>
  </si>
  <si>
    <t>GENES</t>
  </si>
  <si>
    <t>Himantormia; Placopsis; Ramalina; lichen-associated eukaryotes; deglaciation time</t>
  </si>
  <si>
    <t>LICHENICOLOUS FUNGI; EXTRAPOLATION; RAREFACTION; GENOME; CARBON; ALGAL; IDENTIFICATION</t>
  </si>
  <si>
    <t>Lichens have developed numerous adaptations to optimise their survival under harsh abiotic stress, colonise different substrates, and reach substantial population sizes and high coverage in ice-free Antarctic areas, benefiting from a symbiotic lifestyle. As lichen thalli represent consortia with an unknown number of participants, it is important to know about the accessory organisms and their relationships with various environmental conditions. To this end, we analysed lichen-associated communities from Himantormia lugubris, Placopsis antarctica, P. contortuplicata, and Ramalina terebrata, collected from soils with differing deglaciation times, using a metabarcoding approach. In general, many more Ascomycete taxa are associated with the investigated lichens compared to Basidiomycota. Given our sampling, a consistently higher number of lichen-associated eukaryotes are estimated to be present in areas with deglaciation times of longer than 5000 years compared to more recently deglaciated areas. Thus far, members of Dothideomycetes, Leotiomycetes, and Arthoniomycetes have been restricted to the Placopsis specimens from areas with deglaciation times longer than 5000 years. Striking differences between the associated organisms of R. terebrata and H. lugubris have also been discovered. Thus, a species-specific basidiomycete, Tremella, was revealed for R. terebrata, as was a member of Capnodiales for H. lugubris. Our study provides further understanding of the complex terricolous lichen-associated mycobiome using the metabarcoding approach. It also illustrates the necessity to extend our knowledge of complex lichen symbiosis and further improve the coverage of microbial eukaryotes in DNA barcode libraries, including more extended sampling.</t>
  </si>
  <si>
    <t>[Beck, Andreas; Gerasimova, Julia] SNSB Bot Staatssammlung Munchen, D-80638 Munich, Germany; [Beck, Andreas] Ludwig Maximilians Univ Munchen, GeoBio Ctr, D-80333 Munich, Germany; [Casanova-Katny, Angelica] Univ Catolica Temuco, Fac Recursos Nat, Lab Ecofisiol Vegetal &amp; Cambio Climat, Temuco 4780000, Chile</t>
  </si>
  <si>
    <t>University of Munich; Universidad Catolica de Temuco</t>
  </si>
  <si>
    <t>Beck, A (corresponding author), SNSB Bot Staatssammlung Munchen, D-80638 Munich, Germany.;Beck, A (corresponding author), Ludwig Maximilians Univ Munchen, GeoBio Ctr, D-80333 Munich, Germany.</t>
  </si>
  <si>
    <t>beck@snsb.de</t>
  </si>
  <si>
    <t>; Casanova-Katny, Angelica/M-3994-2014</t>
  </si>
  <si>
    <t>V. Gerasimova, Julia/0000-0002-3212-3596; Casanova-Katny, Angelica/0000-0003-3860-1445</t>
  </si>
  <si>
    <t>Staatliche Naturwissenschaftliche Sammlungen Bayerns (SNSBinnovativ); National Fund for Scientific and Technological Development [ANID-FONDECYT 1118745]; Instituto Antartico Chileno [INACH RT-2716]; DFG [SPP 1158]</t>
  </si>
  <si>
    <t>Staatliche Naturwissenschaftliche Sammlungen Bayerns (SNSBinnovativ); National Fund for Scientific and Technological Development(Comision Nacional de Investigacion Cientifica y Tecnologica (CONICYT)CONICYT FONDECYT); Instituto Antartico Chileno; DFG(German Research Foundation (DFG))</t>
  </si>
  <si>
    <t>The molecular part of this work was supported by the Staatliche Naturwissenschaftliche Sammlungen Bayerns (SNSBinnovativ to AB). Logistic support was provided by the National Fund for Scientific and Technological Development (ANID-FONDECYT 1118745 to AC-K) and the Instituto Antartico Chileno (INACH RT-2716 to AC-K). Financial support was also provided by the DFG to AB for attending the SPP 1158 Topic Workshop Polar Genomics, held from the 16 to 18 May 2022 in Bielefeld, Germany, under the DFG Priority Program 1158, Antarctic Research with Comparative Investigations in Arctic Ice Areas.</t>
  </si>
  <si>
    <t>2073-4425</t>
  </si>
  <si>
    <t>GENES-BASEL</t>
  </si>
  <si>
    <t>Genes</t>
  </si>
  <si>
    <t>APR 29</t>
  </si>
  <si>
    <t>10.3390/genes14051019</t>
  </si>
  <si>
    <t>Genetics &amp; Heredity</t>
  </si>
  <si>
    <t>H6HX4</t>
  </si>
  <si>
    <t>WOS:000996962700001</t>
  </si>
  <si>
    <t>Li, XC; Chen, XY; Wu, BY; Cheng, X; Ding, MH; Lei, RB; Qi, D; Sun, QZ; Wang, XY; Zhong, WL; Zheng, L; Xin, MJ; Shen, XC; Song, CT; Hou, YR</t>
  </si>
  <si>
    <t>Li, Xichen; Chen, Xianyao; Wu, Bingyi; Cheng, Xiao; Ding, Minghu; Lei, Ruibo; Qi, Di; Sun, Qizhen; Wang, Xiaoyu; Zhong, Wenli; Zheng, Lei; Xin, Meijiao; Shen, Xiaocen; Song, Chentao; Hou, Yurong</t>
  </si>
  <si>
    <t>China's Recent Progresses in Polar Climate Change and Its Interactions with the Global Climate System</t>
  </si>
  <si>
    <t>ADVANCES IN ATMOSPHERIC SCIENCES</t>
  </si>
  <si>
    <t>polar climate change; recent progress in China; Arctic amplification; tropical-polar interactions; global sea level rise; stratospheric circulation</t>
  </si>
  <si>
    <t>ARCTIC SEA-ICE; ANTARCTIC INTERMEDIATE WATER; EURASIAN SNOW COVER; SURFACE-TEMPERATURE; ATMOSPHERIC CIRCULATION; STRATOSPHERIC OZONE; SOUTHERN-OCEAN; LEVEL RISE; INTERANNUAL VARIABILITY; ATLANTIC-OCEAN</t>
  </si>
  <si>
    <t>During the recent four decades since 1980, a series of modern climate satellites were launched, allowing for the measurement and record-keeping of multiple climate parameters, especially over the polar regions where traditional observations are difficult to obtain. China has been actively engaging in polar expeditions. Many observations were conducted during this period, accompanied by improved Earth climate models, leading to a series of insightful understandings concerning Arctic and Antarctic climate changes. Here, we review the recent progress China has made concerning Arctic and Antarctic climate change research over the past decade. The Arctic temperature increase is much higher than the global-mean warming rate, associated with a rapid decline in sea ice, a phenomenon called the Arctic Amplification. The Antarctic climate changes showed a zonally asymmetric pattern over the past four decades, with most of the fastest changes occurring over West Antarctica and the Antarctic Peninsula. The Arctic and Antarctic climate changes were driven by anthropogenic greenhouse gas emissions and ozone loss, while tropical-polar teleconnections play important roles in driving the regional climate changes and extreme events over the polar regions. Polar climate changes may also feedback to the entire Earth climate system. The adjustment of the circulation in both the troposphere and the stratosphere contributed to the interactions between the polar climate changes and lower latitudes. Climate change has also driven rapid Arctic and Southern ocean acidification. Chinese researchers have made a series of advances in understanding these processes, as reviewed in this paper.</t>
  </si>
  <si>
    <t>[Li, Xichen; Xin, Meijiao; Shen, Xiaocen; Song, Chentao; Hou, Yurong] Chinese Acad Sci, Inst Atmospher Phys, Beijing 100029, Peoples R China; [Chen, Xianyao; Wang, Xiaoyu; Zhong, Wenli] Ocean Univ China, Frontier Sci Ctr Deep Ocean Multispheres &amp; Earth S, Qingdao 266100, Peoples R China; [Chen, Xianyao; Wang, Xiaoyu; Zhong, Wenli] Ocean Univ China, Phys Oceanog Lab, Qingdao 266100, Peoples R China; [Chen, Xianyao; Wang, Xiaoyu; Zhong, Wenli] Qingdao Natl Lab Marine Sci &amp; Technol, Qingdao 266061, Peoples R China; [Wu, Bingyi] Fudan Univ, Inst Atmospher Sci, Dept Atmospher &amp; Ocean Sci, Shanghai 200438, Peoples R China; [Wu, Bingyi] CMA, FDU Joint Lab Marine Meteorol, Shanghai 200438, Peoples R China; [Cheng, Xiao; Zheng, Lei] Sun Yat Sen Univ, Sch Geospatial Engn &amp; Sci, Southern Marine Sci &amp; Engn Guangdong Lab Zhuhai, Zhuhai 519082, Peoples R China; [Ding, Minghu] Chinese Acad Meteorol Sci, State Key Lab Severe Weather, Beijing 100081, Peoples R China; [Lei, Ruibo] Polar Res Inst China, Key Lab Polar Sci MNR, Shanghai 200136, Peoples R China; [Qi, Di] Jimei Univ, Polar &amp; Marine Res Inst, Xiamen 361021, Peoples R China; [Sun, Qizhen] Natl Marine Environm Forecasting Ctr, Polar Res &amp; Forecasting Div, Beijing 100081, Peoples R China; Univ Chinese Acad Sci, Coll Earth &amp; Planetary Sci, Beijing 100049, Peoples R China</t>
  </si>
  <si>
    <t>Chinese Academy of Sciences; Institute of Atmospheric Physics, CAS; Ocean University of China; Ocean University of China; Laoshan Laboratory; Fudan University; China Meteorological Administration; Southern Marine Science &amp; Engineering Guangdong Laboratory; Southern Marine Science &amp; Engineering Guangdong Laboratory (Zhuhai); Sun Yat Sen University; China Meteorological Administration; Chinese Academy of Meteorological Sciences (CAMS); Polar Research Institute of China; Jimei University; National Marine Environmental Forecasting Center; Chinese Academy of Sciences; University of Chinese Academy of Sciences, CAS</t>
  </si>
  <si>
    <t>Li, XC (corresponding author), Chinese Acad Sci, Inst Atmospher Phys, Beijing 100029, Peoples R China.</t>
  </si>
  <si>
    <t>lixichen@mail.iap.ac.cn</t>
  </si>
  <si>
    <t>Sun, Qizhen/JCE-6070-2023; Li, Xichen/ISB-4663-2023; Shen, Xiaocen/IAP-5593-2023; Ding, Minghu/AFU-3600-2022; Wang, Xiaoyu/GXM-3262-2022</t>
  </si>
  <si>
    <t>Ding, Minghu/0000-0002-1142-6598; Shen, Xiaocen/0009-0003-7116-1397</t>
  </si>
  <si>
    <t>National Key Research and Development Program of China [2019YFC1509100, 2018YFA0605703]; National Natural Science Foundation of China [42122047, 42105036, 41976193, 42176243, 41730959]; National Science Foundation of China [41825012]; Major Program of the National Natural Science Foundation of China [41790472]; National Key Basic Research Project of China [2019YFA0607 002]; Innovation Group Project of Southern Marine Science and Engineering Guangdong Laboratory (Zhuhai) [311021008]; Basic Research Fund of the Chinese Academy of Meteorological Sciences [2021Y021, 2021Z006]; National Key R&amp;D Program of China [2022YFE0106300]</t>
  </si>
  <si>
    <t>National Key Research and Development Program of China; National Natural Science Foundation of China(National Natural Science Foundation of China (NSFC)); National Science Foundation of China(National Natural Science Foundation of China (NSFC)); Major Program of the National Natural Science Foundation of China(National Natural Science Foundation of China (NSFC)); National Key Basic Research Project of China(National Basic Research Program of China); Innovation Group Project of Southern Marine Science and Engineering Guangdong Laboratory (Zhuhai); Basic Research Fund of the Chinese Academy of Meteorological Sciences; National Key R&amp;D Program of China</t>
  </si>
  <si>
    <t>X. LI was supported by the National Key Research and Development Program of China (2018YFA0605703), the National Natural Science Foundation of China (No. 41976193 and No. 42176243). X. CHEN was supported by the National Key Research and Development Program of China (2019YFC1509100) and the National Science Foundation of China (No. 41825012). B. WU was supported by the Major Program of the National Natural Science Foundation of China (41790472), the National Key Basic Research Project of China (2019YFA0607 002), and the National Natural Science Foundation of China (41730959). X. CHENG was funded by the Innovation Group Project of Southern Marine Science and Engineering Guangdong Laboratory (Zhuhai) (Grant No. 311021008). M. DING was supported by the National Natural Science Foundation of China (42122047 and 42105036) and the Basic Research Fund of the Chinese Academy of Meteorological Sciences (2021Y021 and 2021Z006). Q. SUN was supported by the National Key R&amp;D Program of China (No. 2022YFE0106300).</t>
  </si>
  <si>
    <t>SCIENCE PRESS</t>
  </si>
  <si>
    <t>BEIJING</t>
  </si>
  <si>
    <t>16 DONGHUANGCHENGGEN NORTH ST, BEIJING 100717, PEOPLES R CHINA</t>
  </si>
  <si>
    <t>0256-1530</t>
  </si>
  <si>
    <t>1861-9533</t>
  </si>
  <si>
    <t>ADV ATMOS SCI</t>
  </si>
  <si>
    <t>Adv. Atmos. Sci.</t>
  </si>
  <si>
    <t>AUG</t>
  </si>
  <si>
    <t>10.1007/s00376-023-2323-3</t>
  </si>
  <si>
    <t>L4HP8</t>
  </si>
  <si>
    <t>WOS:000978316200001</t>
  </si>
  <si>
    <t>Musialowski, M; Kowalewska, L; Stasiuk, R; Krucon, T; Debiec-Andrzejewska, K</t>
  </si>
  <si>
    <t>Musialowski, M.; Kowalewska, L.; Stasiuk, R.; Krucon, T.; Debiec-Andrzejewska, K.</t>
  </si>
  <si>
    <t>Metabolically versatile psychrotolerant Antarctic bacterium Pseudomonas sp. ANT_H12B is an efficient producer of siderophores and accompanying metabolites (SAM) useful for agricultural purposes</t>
  </si>
  <si>
    <t>MICROBIAL CELL FACTORIES</t>
  </si>
  <si>
    <t>Siderophores; Pyoverdine; Psychrotolerant bacteria; Plant-growth promotion; Agriculture; Bacterial metabolites</t>
  </si>
  <si>
    <t>ORGANIC-ACIDS; IRON ACQUISITION; SOIL FERTILITY; FE-PYOVERDINE; FATTY-ACIDS; GROWTH; AUXIN; ROLES; AERUGINOSA; GERMINATION</t>
  </si>
  <si>
    <t>BackgroundBacterial siderophores are chelating compounds with the potential of application in agriculture, due to their plant growth-promoting (PGP) properties, however, high production and purification costs are limiting factors for their wider application. Cost-efficiency of the production could be increased by omitting purification processes, especially since siderophores accompanying metabolites (SAM) often also possess PGP traits. In this study, the metabolism versatility of Pseudomonas sp. ANT_H12B was used for the optimization of siderophores production and the potential of these metabolites and SAM was characterized in the context of PGP properties.ResultsThe metabolic diversity of ANT_H12B was examined through genomic analysis and phenotype microarrays. The strain was found to be able to use numerous C, N, P, and S sources, which allowed for the design of novel media suitable for efficient production of siderophores in the form of pyoverdine (223.50-512.60 mu M). Moreover, depending on the culture medium, the pH of the siderophores and SAM solutions varied from acidic (pH &lt; 5) to alkaline (pH &gt; 8). In a germination test, siderophores and SAM were shown to have a positive effect on plants, with a significant increase in germination percentage observed in beetroot, pea, and tobacco. The PGP potential of SAM was further elucidated through GC/MS analysis, which revealed other compounds with PGP potential, such as indolic acetic acids, organic acids, fatty acids, sugars and alcohols. These compounds not only improved seed germination but could also potentially be beneficial for plant fitness and soil quality.ConclusionsPseudomonas sp. ANT_H12B was presented as an efficient producer of siderophores and SAM which exhibit PGP potential. It was also shown that omitting downstream processes could not only limit the costs of siderophores production but also improve their agricultural potential.</t>
  </si>
  <si>
    <t>[Musialowski, M.; Stasiuk, R.; Debiec-Andrzejewska, K.] Univ Warsaw, Inst Microbiol, Fac Biol, Dept Geomicrobiol, Miecznikowa 1, PL-02096 Warsaw, Poland; [Kowalewska, L.] Univ Warsaw, Inst Expt Plant Biol &amp; Biotechnol, Fac Biol, Dept Plant Anat &amp; Cytol, PL-02096 Warsaw, Poland; [Krucon, T.] Univ Warsaw, Inst Microbiol, Fac Biol, Dept Environm Microbiol &amp; Biotechnol, Miecznikowa 1, PL-02096 Warsaw, Poland</t>
  </si>
  <si>
    <t>University of Warsaw; University of Warsaw; University of Warsaw</t>
  </si>
  <si>
    <t>Debiec-Andrzejewska, K (corresponding author), Univ Warsaw, Inst Microbiol, Fac Biol, Dept Geomicrobiol, Miecznikowa 1, PL-02096 Warsaw, Poland.</t>
  </si>
  <si>
    <t>klaudia.debiec@uw.edu.pl</t>
  </si>
  <si>
    <t>Debiec-Andrzejewska, Klaudia/M-4394-2017</t>
  </si>
  <si>
    <t>Debiec-Andrzejewska, Klaudia/0000-0002-3214-0732; Stasiuk, Robert/0000-0001-8795-5341; Kowalewska, Lucja/0000-0002-4090-6291; Krucon, Tomasz/0000-0001-6366-5235</t>
  </si>
  <si>
    <t>BMC</t>
  </si>
  <si>
    <t>LONDON</t>
  </si>
  <si>
    <t>CAMPUS, 4 CRINAN ST, LONDON N1 9XW, ENGLAND</t>
  </si>
  <si>
    <t>1475-2859</t>
  </si>
  <si>
    <t>MICROB CELL FACT</t>
  </si>
  <si>
    <t>Microb. Cell. Fact.</t>
  </si>
  <si>
    <t>10.1186/s12934-023-02105-2</t>
  </si>
  <si>
    <t>Biotechnology &amp; Applied Microbiology</t>
  </si>
  <si>
    <t>E9FP2</t>
  </si>
  <si>
    <t>gold, Green Published, Green Submitted</t>
  </si>
  <si>
    <t>WOS:000978517600002</t>
  </si>
  <si>
    <t>Pang, ZP; Chi, XP; Song, ZH; Li, HB; Chen, YY; Yang, G</t>
  </si>
  <si>
    <t>Pang, Zhipeng; Chi, Xupeng; Song, Zhihui; Li, Haibo; Chen, Yunyan; Yang, Guang</t>
  </si>
  <si>
    <t>Degree of ontogenetic diet shift and trophic niche partitioning of Euphausia superba and Thysanoessa macrura are influenced by food availability</t>
  </si>
  <si>
    <t>JOURNAL OF OCEANOLOGY AND LIMNOLOGY</t>
  </si>
  <si>
    <t>Antarctic krill; feeding strategies; fatty acids; stable isotopes; trophodynamics; Southern Ocean</t>
  </si>
  <si>
    <t>FATTY-ACID BIOMARKER; ANTARCTIC KRILL; ENERGY BUDGETS; SCOTIA SEA; PRYDZ BAY; WINTER; CRYSTALLOROPHIAS; PHYTOPLANKTON; INSIGHTS; STOMACH</t>
  </si>
  <si>
    <t>Euphausia superba and Thysanoessa macrura are dominant krill species in the Southern Ocean and their habitats are often overlapped reportedly. Studies of the feeding strategies of these two krill species will help us better understand the coexistence mechanisms and estimate the roles that krill played in the food web of the Southern Ocean. The trophodynamics of E. superba and T. macrura at different ontogenetic stages (furcilia, juvenile, adult) were studied using fatty acid and stable isotope biomarkers in the samples collected in Amundsen Sea during austral summer of 2017/2018 and 2018/2019. Diatoms like Fragilariopsis spp. was the most abundant phytoplankton species in the summer of 2017/2018, while the abundance of phytoplankton in the summer of 2018/2019 was dominated by Phaeocystis sp. The gradual increase of the carnivorous index 18:1n-9/18:1n-7 with ontogeny of both species in 2018/2019 indicated more carnivorous feeding of adults compared with juveniles and larvae. Meanwhile, greater delta N-15 values of T. macrura than that of E. superba were more significant in the juvenile and adult stages during the summer of 2018/2019. Our results indicate that the trophic niche differentiation between the two krill species appeared in postlarval stage and can be influenced by food availability. Compared with E. superba, T. macrura was more prone to feed omnivorously or carnivorously responding to food availability.</t>
  </si>
  <si>
    <t>[Pang, Zhipeng; Song, Zhihui] Qingdao Univ Sci &amp; Technol, Coll Environm &amp; Safety Engn, Qingdao 266061, Peoples R China; [Pang, Zhipeng; Chi, Xupeng; Li, Haibo; Yang, Guang] Chinese Acad Sci, Inst Oceanol, Key Lab Marine Ecol &amp; Environm Sci, Qingdao 266071, Peoples R China; [Chi, Xupeng; Li, Haibo; Yang, Guang] Pilot Natl Lab Marine Sci &amp; Technol Qingdao, Lab Marine Ecol &amp; Environm Sci, Qingdao 266237, Peoples R China; [Chi, Xupeng; Li, Haibo; Yang, Guang] Chinese Acad Sci, Ctr Ocean Mega Sci, Qingdao 266071, Peoples R China; [Chen, Yunyan] Chinese Acad Sci, Qingdao Inst Bioenergy &amp; Bioproc Technol, Qingdao 266101, Peoples R China</t>
  </si>
  <si>
    <t>Qingdao University of Science &amp; Technology; Chinese Academy of Sciences; Institute of Oceanology, CAS; Laoshan Laboratory; Chinese Academy of Sciences; Chinese Academy of Sciences; Qingdao Institute of Bioenergy &amp; Bioprocess Technology, CAS</t>
  </si>
  <si>
    <t>Yang, G (corresponding author), Chinese Acad Sci, Inst Oceanol, Key Lab Marine Ecol &amp; Environm Sci, Qingdao 266071, Peoples R China.;Yang, G (corresponding author), Pilot Natl Lab Marine Sci &amp; Technol Qingdao, Lab Marine Ecol &amp; Environm Sci, Qingdao 266237, Peoples R China.;Yang, G (corresponding author), Chinese Acad Sci, Ctr Ocean Mega Sci, Qingdao 266071, Peoples R China.</t>
  </si>
  <si>
    <t>yangguang@qdio.ac.cn</t>
  </si>
  <si>
    <t>16 DONGHUANGCHENGGEN NORTH ST, Building 5, Room 411, BEIJING, 100009, PEOPLES R CHINA</t>
  </si>
  <si>
    <t>2096-5508</t>
  </si>
  <si>
    <t>2523-3521</t>
  </si>
  <si>
    <t>J OCEANOL LIMNOL</t>
  </si>
  <si>
    <t>J. Oceanol. Limnol.</t>
  </si>
  <si>
    <t>10.1007/s00343-022-2067-4</t>
  </si>
  <si>
    <t>Limnology; Oceanography</t>
  </si>
  <si>
    <t>Marine &amp; Freshwater Biology; Oceanography</t>
  </si>
  <si>
    <t>N8YY7</t>
  </si>
  <si>
    <t>WOS:000978534600002</t>
  </si>
  <si>
    <t>Zhu, YG; Zheng, SY; Kang, B; Reygondeau, G; Sun, Y; Zhao, QS; Wang, YF; Cheung, WWL; Chu, JS</t>
  </si>
  <si>
    <t>Zhu, Yugui; Zheng, Shiyao; Kang, Bin; Reygondeau, Gabriel; Sun, Yan; Zhao, Qianshuo; Wang, Yunfeng; Cheung, William W. L.; Chu, Jiansong</t>
  </si>
  <si>
    <t>Predicting impacts of climate change on the biogeographic patterns of representative species richness in Prydz Bay-Amery Ice Shelf</t>
  </si>
  <si>
    <t>climate change; species richness; biogeographic pattern; marine protected areas; Prydz Bay-Amery Ice Shelf</t>
  </si>
  <si>
    <t>ICEFISH CHAENODRACO-WILSONI; KRILL EUPHAUSIA-SUPERBA; ANTARCTIC SEA-ICE; SOUTHERN-OCEAN; PLEURAGRAMMA-ANTARCTICUM; LATE-PLEISTOCENE; WARMING LEADS; LIFE-CYCLE; FISH; FISHERIES</t>
  </si>
  <si>
    <t>The research on the biological ecology of the Prydz Bay-Amery Ice Shelf in East Antarctica is inadequate under the increasing threat from climate change, especially for Antarctic fish and krill. The Dynamic Bioclimatic Envelope Model (DBEM) has been widely used in predicting the variation of species distribution and abundance in ocean and land under climate change; it can quantify the spatiotemporal changes of multi population under different climate emission scenarios by identifying the environmental preferences of species. The species richness and geographical pattern of six Antarctic representative species around Prydz Bay-Amery ice shelf were studied under RCP 8.5 and RCP 2.6 emission scenarios from 1970 to 2060 using Geophysical Fluid Dynamics Laboratory (GFDL), Institut Pierre Simon Laplace (IPSL), and Max Planck Institute (MPI) earth system models. The results showed that the species richness decreased as a whole, and the latitude gradient moved to the pole. The reason is that ocean warming, sea ice melting, and human activities accelerate the distribution changes of species biogeographical pattern, and the habitat range of krill, silverfish, and other organisms is gradually limited, which further leads to the change of species composition and the decrease of biomass. It is obvious that priority should be given to Prydz Bay-Amery ice shelf in the planning of Marine Protected Areas (MPAs) in East Antarctica.</t>
  </si>
  <si>
    <t>[Zhu, Yugui; Zheng, Shiyao; Kang, Bin] Ocean Univ China, Coll Fisheries, Key Lab Mariculture, Minist Educ, Qingdao 266003, Peoples R China; [Zhu, Yugui; Chu, Jiansong] Southern Marine Sci &amp; Engn Guangdong Lab, Guangzhou 511458, Peoples R China; [Reygondeau, Gabriel; Cheung, William W. L.] Univ British Columbia, Inst Oceans &amp; Fisheries, Changing Ocean Res Unit, Vancouver, BC V5K 0A1, Canada; [Reygondeau, Gabriel] Yale Univ, Yale Ctr Biodivers Movement &amp; Global Change, Dept Ecol &amp; Evolutionary Biol Max Planck, New Haven, CT 06501 USA; [Sun, Yan; Zhao, Qianshuo; Chu, Jiansong] Ocean Univ China, Coll Marine Life Sci, Qingdao 266003, Peoples R China; [Wang, Yunfeng] Chinese Acad Sci, Inst Oceanol, Qingdao 266071, Peoples R China</t>
  </si>
  <si>
    <t>Ocean University of China; Southern Marine Science &amp; Engineering Guangdong Laboratory; Southern Marine Science &amp; Engineering Guangdong Laboratory (Guangzhou); University of British Columbia; Yale University; Ocean University of China; Chinese Academy of Sciences; Institute of Oceanology, CAS</t>
  </si>
  <si>
    <t>Chu, JS (corresponding author), Southern Marine Sci &amp; Engn Guangdong Lab, Guangzhou 511458, Peoples R China.;Cheung, WWL (corresponding author), Univ British Columbia, Inst Oceans &amp; Fisheries, Changing Ocean Res Unit, Vancouver, BC V5K 0A1, Canada.;Chu, JS (corresponding author), Ocean Univ China, Coll Marine Life Sci, Qingdao 266003, Peoples R China.</t>
  </si>
  <si>
    <t>w.cheung@oceans.ubc.ca; oucjs@ouc.edu.cn</t>
  </si>
  <si>
    <t>Cheung, William/F-5104-2013; Reygondeau, Gabriel/G-1903-2017</t>
  </si>
  <si>
    <t>National Natural Science Foundation of China [42176234]; Chinese Arctic and Antarctic Creative Program [JDB20210211]; Key Special Project for Introduced Talents Team of Southern Marine Science and Engineering Guangdong Laboratory (Guangzhou) [GML2019ZD0402]</t>
  </si>
  <si>
    <t>National Natural Science Foundation of China(National Natural Science Foundation of China (NSFC)); Chinese Arctic and Antarctic Creative Program; Key Special Project for Introduced Talents Team of Southern Marine Science and Engineering Guangdong Laboratory (Guangzhou)</t>
  </si>
  <si>
    <t>Supported by the National Natural Science Foundation of China (No.42176234), the Chinese Arctic and Antarctic Creative Program (No.JDB20210211), and the Key Special Project for Introduced Talents Team of Southern Marine Science and Engineering Guangdong Laboratory (Guangzhou) (No. GML2019ZD0402)</t>
  </si>
  <si>
    <t>JUL</t>
  </si>
  <si>
    <t>10.1007/s00343-022-2068-3</t>
  </si>
  <si>
    <t>R8UZ9</t>
  </si>
  <si>
    <t>WOS:000978534600001</t>
  </si>
  <si>
    <t>Guo, YC; Zhang, SH</t>
  </si>
  <si>
    <t>Guo, Yuchan; Zhang, Shuhong</t>
  </si>
  <si>
    <t>Potential Effects of Methane Metabolic Microbial Communities on the Glacial Methane Budget in the Northwestern Tibetan Plateau</t>
  </si>
  <si>
    <t>SUSTAINABILITY</t>
  </si>
  <si>
    <t>methane budget; Tibetan Plateau; glacier terminus; methanogen; methanotroph</t>
  </si>
  <si>
    <t>16S RIBOSOMAL-RNA; QUANTITATIVE PCR; ZOIGE WETLAND; MCRA GENE; ICE CORE; METHANOTROPHS; BENEATH; CARBON; DIVERSITY; ECOLOGY</t>
  </si>
  <si>
    <t>With global warming, the dramatic retreat of glaciers in the Tibetan Plateau (TP) might accelerate release of stored methane (CH4) into the atmosphere; thus, this region might become a new source of CH4. CH4-metabolic microbial communities can produce or consume CH4 in the environment, which is critical for evaluating the CH4 budget of glaciers. However, studies on the influence of CH4-metabolic microbial communities on the CH4 budget during glacier retreat in the TP remain scarce. In this work, ice samples were collected at the terminus of the Guliya Ice Cap in the northwestern TP. The community composition of CH4-metabolic microorganisms, including methanogens and methanotrophs, was determined using genomic analysis, and the metabolic rates of the two microorganisms were further estimated. The abundance of methanotrophs in Guliya was one order of magnitude higher than that of methanogens. The CH4 consumption flux by the combined action of the two microorganisms was ca. 1.42 x 10(3) pmol(.)mL(-1.)d(-1), suggesting that CH4 metabolic microbial communities in the glacier might be an important CH4 sink, and can reduce subglacial CH4 emission during glacier retreat. This is important for predicting the CH4 budget in glaciers on the TP and corresponding climate impacts during glacier retreat.</t>
  </si>
  <si>
    <t>[Guo, Yuchan] Nanjing Univ, Sch Geog &amp; Ocean Sci, Nanjing 210023, Peoples R China; [Zhang, Shuhong] Shangqiu Normal Univ, Coll Biol &amp; Food, Shangqiu 476000, Peoples R China</t>
  </si>
  <si>
    <t>Nanjing University; Shangqiu Normal University</t>
  </si>
  <si>
    <t>Guo, YC (corresponding author), Nanjing Univ, Sch Geog &amp; Ocean Sci, Nanjing 210023, Peoples R China.</t>
  </si>
  <si>
    <t>yuchanguo@163.com</t>
  </si>
  <si>
    <t>zhang, shuhong/0000-0002-2739-6856</t>
  </si>
  <si>
    <t>Chinese Arctic and Antarctic Administration [CXPT2020012]; 333 Project of Jiangsu Province [BRA2020030]; National Natural Science Foundation of China [41830644, 91837102, 41771031, 41622605]</t>
  </si>
  <si>
    <t>Chinese Arctic and Antarctic Administration; 333 Project of Jiangsu Province(Natural Science Foundation of Jiangsu Province); National Natural Science Foundation of China(National Natural Science Foundation of China (NSFC))</t>
  </si>
  <si>
    <t>This research was funded by the Chinese Arctic and Antarctic Administration (CXPT2020012), the 333 Project of Jiangsu Province (BRA2020030), National Natural Science Foundation of China (41830644, 91837102, 41771031, 41622605).</t>
  </si>
  <si>
    <t>2071-1050</t>
  </si>
  <si>
    <t>SUSTAINABILITY-BASEL</t>
  </si>
  <si>
    <t>Sustainability</t>
  </si>
  <si>
    <t>APR 28</t>
  </si>
  <si>
    <t>10.3390/su15097352</t>
  </si>
  <si>
    <t>Green &amp; Sustainable Science &amp; Technology; Environmental Sciences; Environmental Studies</t>
  </si>
  <si>
    <t>Science Citation Index Expanded (SCI-EXPANDED); Social Science Citation Index (SSCI)</t>
  </si>
  <si>
    <t>Science &amp; Technology - Other Topics; Environmental Sciences &amp; Ecology</t>
  </si>
  <si>
    <t>G2YX6</t>
  </si>
  <si>
    <t>WOS:000987884800001</t>
  </si>
  <si>
    <t>Minhas, BF; Beck, EA; Cheng, CHC; Catchen, J</t>
  </si>
  <si>
    <t>Minhas, Bushra Fazal; Beck, Emily A.; Cheng, C. -H. Christina; Catchen, Julian</t>
  </si>
  <si>
    <t>Novel mitochondrial genome rearrangements including duplications and extensive heteroplasmy could underlie temperature adaptations in Antarctic notothenioid fishes</t>
  </si>
  <si>
    <t>CONTROL REGION TRANSLOCATION; GENE REARRANGEMENTS; CONCERTED EVOLUTION; HIGH-ALTITUDE; DNA; ICEFISH; SEQUENCE; MUSCLE; ORIGIN; MTDNA</t>
  </si>
  <si>
    <t>Mitochondrial genomes are known for their compact size and conserved gene order, however, recent studies employing long-read sequencing technologies have revealed the presence of atypical mitogenomes in some species. In this study, we assembled and annotated the mitogenomes of five Antarctic notothenioids, including four icefishes (Champsocephalus gunnari, C. esox, Chaenocephalus aceratus, and Pseudochaenichthys georgianus) and the cold-specialized Trematomus borchgrevinki. Antarctic notothenioids are known to harbor some rearrangements in their mt genomes, however the extensive duplications in icefishes observed in our study have never been reported before. In the icefishes, we observed duplications of the protein coding gene ND6, two transfer RNAs, and the control region with different copy number variants present within the same individuals and with some ND6 duplications appearing to follow the canonical Duplication-Degeneration-Complementation (DDC) model in C. esox and C. gunnari. In addition, using long-read sequencing and k-mer analysis, we were able to detect extensive heteroplasmy in C. aceratus and C. esox. We also observed a large inversion in the mitogenome of T. borchgrevinki, along with the presence of tandem repeats in its control region. This study is the first in using long-read sequencing to assemble and identify structural variants and heteroplasmy in notothenioid mitogenomes and signifies the importance of long-reads in resolving complex mitochondrial architectures. Identification of such wide-ranging structural variants in the mitogenomes of these fishes could provide insight into the genetic basis of the atypical icefish mitochondrial physiology and more generally may provide insights about their potential role in cold adaptation.</t>
  </si>
  <si>
    <t>[Minhas, Bushra Fazal; Catchen, Julian] Univ Illinois, Informat Programs, Urbana, IL 61820 USA; [Beck, Emily A.] Univ Oregon, Data Sci Initiat, Eugene, OR USA; [Cheng, C. -H. Christina; Catchen, Julian] Univ Illinois, Dept Evolut Ecol &amp; Behav, Urbana, IL 61820 USA</t>
  </si>
  <si>
    <t>University of Illinois System; University of Illinois Urbana-Champaign; University of Oregon; University of Illinois System; University of Illinois Urbana-Champaign</t>
  </si>
  <si>
    <t>Catchen, J (corresponding author), Univ Illinois, Informat Programs, Urbana, IL 61820 USA.;Catchen, J (corresponding author), Univ Illinois, Dept Evolut Ecol &amp; Behav, Urbana, IL 61820 USA.</t>
  </si>
  <si>
    <t>jcatchen@illinois.edu</t>
  </si>
  <si>
    <t>Catchen, Julian/0000-0002-4798-660X</t>
  </si>
  <si>
    <t>NSF OPP [1645087]; NSF; [ANT 11-42158]</t>
  </si>
  <si>
    <t>NSF OPP(National Science Foundation (NSF)NSF - Directorate for Geosciences (GEO)); NSF(National Science Foundation (NSF));</t>
  </si>
  <si>
    <t>We thank Angel G. Rivera-Colon, and Niraj Rayamajhi for their support and feedback during our project. This work was supported by NSF OPP Grant 1645087 to JC and NSF ANT 11-42158 to C-HCC.</t>
  </si>
  <si>
    <t>10.1038/s41598-023-34237-1</t>
  </si>
  <si>
    <t>G0BN1</t>
  </si>
  <si>
    <t>gold, Green Published</t>
  </si>
  <si>
    <t>WOS:000985908500078</t>
  </si>
  <si>
    <t>Han, SL; Zhu, GP</t>
  </si>
  <si>
    <t>Han, Shulin; Zhu, Guoping</t>
  </si>
  <si>
    <t>Niche separation, dynamics, and transport pattern of trace elements along Antarctic krill (Euphausia superba) to its exclusive predator, mackerel icefish (Champsocephalus gunnari)</t>
  </si>
  <si>
    <t>MARINE POLLUTION BULLETIN</t>
  </si>
  <si>
    <t>Ecological niche; Bioaccumulation; Trophic level; Biomagnification; Antarctic ecosystem</t>
  </si>
  <si>
    <t>STABLE-ISOTOPE ANALYSIS; RAINBOW-TROUT; HEAVY-METAL; BIOMAGNIFICATION; BIOACCUMULATION; CARBON; WATER; CU; ECOSYSTEM; MERCURY</t>
  </si>
  <si>
    <t>In this study, the dynamics of the trophic niches and the accumulation and transfer of four trace elements-Cu, Cd, Zn, and Pb-from Antarctic krill (Euphausia superba) to mackerel icefish (Champsocephalus gunnari) were investigated. The results demonstrated that the average concentrations of Zn, Cu, Cd, and Pb in E. superba were significantly higher than those of the corresponding elements in C. gunnari. These trace elements have a bio-dilution effect through E. superba to C. gunnari, and Cu has the lowest biomagnification factor among those four trace elements. It is observed that the Cu concentration in E. superba is correlated with its delta 15N and delta 13C, and the enrichment of Pb in C. gunnari is affected by its delta 15N.</t>
  </si>
  <si>
    <t>[Han, Shulin; Zhu, Guoping] Shanghai Ocean Univ, Coll Marine Sci, Shanghai 201306, Peoples R China; [Zhu, Guoping] Shanghai Ocean Univ, Ctr Polar Res, Shanghai 201306, Peoples R China; [Zhu, Guoping] Minist Educ, Key Lab Sustainable Exploitat Ocean Fisheries Reso, Polar Marine Ecosyst Grp, Shanghai 201306, Peoples R China; [Zhu, Guoping] Natl Engn Res Ctr Ocean Fisheries, Shanghai 201306, Peoples R China</t>
  </si>
  <si>
    <t>Shanghai Ocean University; Shanghai Ocean University; National Engineering Research Center for Oceanic Fisheries</t>
  </si>
  <si>
    <t>Zhu, GP (corresponding author), Shanghai Ocean Univ, Coll Marine Sci, Shanghai 201306, Peoples R China.</t>
  </si>
  <si>
    <t>gpzhu@shou.edu.cn</t>
  </si>
  <si>
    <t>Zhu, Guoping/0000-0001-6081-7811</t>
  </si>
  <si>
    <t>College of Marine Sciences at Shanghai Ocean University; National Science Foundation of China [41776185]; International Science and Technology Cooperation Key Special Project of the National Key Research and Development Program of China [2022YFE0130100]</t>
  </si>
  <si>
    <t>College of Marine Sciences at Shanghai Ocean University; National Science Foundation of China(National Natural Science Foundation of China (NSFC)); International Science and Technology Cooperation Key Special Project of the National Key Research and Development Program of China</t>
  </si>
  <si>
    <t>We are grateful to the owners and the captains of large-scale trawler Furonghai and the scientific observers onboard the vessel for fish sam-pling and processing. Team members of the Polar Marine Ecosystem Laboratory, Shanghai Ocean University deserves special recognition for their efforts in the laboratory. We thank Ms. Yuwen Chen to help pro-duce the Fig. 1. We also thank the College of Marine Sciences at Shanghai Ocean University for providing the facilities in the laboratory that make this study happen. Funding was provided by the National Science Foundation of China (grant no 41776185 to G.P.Z.) , and the International Science and Technology Cooperation Key Special Project of the National Key Research and Development Program of China (grant no 2022YFE0130100 to GPZ) . We finally thank the referees who pro-vided detailed comments that greatly improved the manuscript.</t>
  </si>
  <si>
    <t>0025-326X</t>
  </si>
  <si>
    <t>1879-3363</t>
  </si>
  <si>
    <t>MAR POLLUT BULL</t>
  </si>
  <si>
    <t>Mar. Pollut. Bull.</t>
  </si>
  <si>
    <t>10.1016/j.marpolbul.2023.114956</t>
  </si>
  <si>
    <t>Environmental Sciences; Marine &amp; Freshwater Biology</t>
  </si>
  <si>
    <t>Environmental Sciences &amp; Ecology; Marine &amp; Freshwater Biology</t>
  </si>
  <si>
    <t>G7ER3</t>
  </si>
  <si>
    <t>WOS:000990752300001</t>
  </si>
  <si>
    <t>Marcheggiani, A; Robson, J; Monerie, PA; Bracegirdle, TJ; Smith, D</t>
  </si>
  <si>
    <t>Marcheggiani, Andrea; Robson, Jon; Monerie, Paul-Arthur; Bracegirdle, Thomas J.; Smith, Doug</t>
  </si>
  <si>
    <t>Decadal Predictability of the North Atlantic Eddy-Driven Jet in Winter</t>
  </si>
  <si>
    <t>GEOPHYSICAL RESEARCH LETTERS</t>
  </si>
  <si>
    <t>predictability; eddy-driven jet; decadal; winter; CMIP6</t>
  </si>
  <si>
    <t>HEAT-FLUX; OSCILLATION; CLIMATE; VARIABILITY; TEMPERATURE; SENSITIVITY; PREDICTION; HEMISPHERE; VERSION; TRENDS</t>
  </si>
  <si>
    <t>This paper expands on work showing that the winter North Atlantic Oscillation (NAO) is predictable on decadal timescales to quantify the skill in capturing the North Atlantic eddy-driven jet's location and speed. By focusing on decadal predictions made for years 2-9 from the sixth Coupled Model Intercomparison Project over 1960-2005 we find that there is significant skill in jet latitude and, especially, jet speed associated with the skill in the NAO. However, the skill in the NAO, jet latitude and speed indices appears to be sensitive to the period over which it is assessed. In particular, skill drops considerably when evaluating hindcasts up to the present day as models fail to capture the recent observed northern shift and strengthening of the winter eddy-driven jet, and more thus positive NAO. We suggest that the drop in atmospheric circulation skill is related to reduced skill in North Atlantic sea surface temperatures.</t>
  </si>
  <si>
    <t>[Marcheggiani, Andrea; Robson, Jon; Monerie, Paul-Arthur] Univ Reading, Natl Ctr Atmospher Sci, Dept Meteorol, Reading, England; [Marcheggiani, Andrea] Univ Bergen, Geophys Inst, Bergen, Norway; [Marcheggiani, Andrea] Bjerknes Ctr Climate Res, Bergen, Norway; [Bracegirdle, Thomas J.] British Antarctic Survey, Cambridge, England; [Smith, Doug] Met Off, Exeter, England</t>
  </si>
  <si>
    <t>UK Research &amp; Innovation (UKRI); Natural Environment Research Council (NERC); NERC National Centre for Atmospheric Science; University of Reading; University of Bergen; Bjerknes Centre for Climate Research; UK Research &amp; Innovation (UKRI); Natural Environment Research Council (NERC); NERC British Antarctic Survey; Met Office - UK</t>
  </si>
  <si>
    <t>Marcheggiani, A; Robson, J (corresponding author), Univ Reading, Natl Ctr Atmospher Sci, Dept Meteorol, Reading, England.;Marcheggiani, A (corresponding author), Univ Bergen, Geophys Inst, Bergen, Norway.;Marcheggiani, A (corresponding author), Bjerknes Ctr Climate Res, Bergen, Norway.</t>
  </si>
  <si>
    <t>andrea.marcheggiani@reading.ac.uk; j.i.robson@reading.ac.uk</t>
  </si>
  <si>
    <t>Monerie, Paul-Arthur/G-6121-2016; Robson, Jon/A-7677-2012</t>
  </si>
  <si>
    <t>Monerie, Paul-Arthur/0000-0002-5304-9559; Robson, Jon/0000-0002-3467-018X; Smith, Doug/0000-0001-5708-694X; Marcheggiani, Andrea/0000-0002-3571-608X; Bracegirdle, Thomas/0000-0002-8868-4739</t>
  </si>
  <si>
    <t>Natural Environment Research Council (NERC) via the ACSIS project [NE/N018001/1, NE/N018028/1]; Research Council of Norway (NFR) via the BALMCAST project (NFR Project) [324081]; NERC [NE/T013516/1, NE/W004984/1]; NERC via NCAS; NERC British Antarctic Survey research program Polar Science for Planet Earth; Met Office Hadley Centre Climate Programme - BEIS; Defra</t>
  </si>
  <si>
    <t>Natural Environment Research Council (NERC) via the ACSIS project(UK Research &amp; Innovation (UKRI)Natural Environment Research Council (NERC)); Research Council of Norway (NFR) via the BALMCAST project (NFR Project); NERC(UK Research &amp; Innovation (UKRI)Natural Environment Research Council (NERC)); NERC via NCAS; NERC British Antarctic Survey research program Polar Science for Planet Earth; Met Office Hadley Centre Climate Programme - BEIS; Defra(Department for Environment, Food &amp; Rural Affairs (DEFRA))</t>
  </si>
  <si>
    <t>We thank three anonymous reviewers for their insightful comments which helped improve the original manuscript. This work was funded by the Natural Environment Research Council (NERC) via the ACSIS project (NE/N018001/1 and NE/N018028/1). AM was additionally supported by the Research Council of Norway (NFR) via the BALMCAST project (NFR Project 324081). JR was additionally funded by NERC via the WISHBONE (NE/T013516/1) and CANARI (NE/W004984/1) projects, and via NCAS. TJB was additionally supported through the NERC British Antarctic Survey research program Polar Science for Planet Earth. DS was supported by the Met Office Hadley Centre Climate Programme funded by BEIS and Defra. We acknowledge the World Climate Research Programme, which, through its Working Group on Coupled Modelling, coordinated and promoted CMIP6. We thank the climate modeling groups for producing and making available their model output, the Earth System Grid Federation (ESGF) for archiving the data and providing access, and the multiple funding agencies who support CMIP6 and ESGF. This work used JASMIN, the UK collaborative data analysis facility.</t>
  </si>
  <si>
    <t>0094-8276</t>
  </si>
  <si>
    <t>1944-8007</t>
  </si>
  <si>
    <t>GEOPHYS RES LETT</t>
  </si>
  <si>
    <t>Geophys. Res. Lett.</t>
  </si>
  <si>
    <t>e2022GL102071</t>
  </si>
  <si>
    <t>10.1029/2022GL102071</t>
  </si>
  <si>
    <t>I0NQ7</t>
  </si>
  <si>
    <t>hybrid, Green Published, Green Accepted</t>
  </si>
  <si>
    <t>WOS:000999832800001</t>
  </si>
  <si>
    <t>Xu, M; Yang, QH; Clem, KR; Yu, LJ; Hu, XM</t>
  </si>
  <si>
    <t>Xu, Min; Yang, Qinghua; Clem, Kyle R. R.; Yu, Lejiang; Hu, Xiaoming</t>
  </si>
  <si>
    <t>On the Seasonal and Spatial Dependence of Extreme Warm Days in Antarctica</t>
  </si>
  <si>
    <t>Antarctic temperature; warm extremes</t>
  </si>
  <si>
    <t>TEMPERATURE; INDEXES; TREND</t>
  </si>
  <si>
    <t>The spatial distribution of trends in temperature extremes over Antarctica remains largely unknown. Here we investigate the seasonal and spatial characteristics of extreme warm occurrence across Antarctica. The Antarctic inland areas show significant positive trends in the number of extreme warm days in austral spring and summer. The trends in the seasonal mean of daily maximum temperature show strong coherence with the trends in extreme warm occurrences. In addition, the long-term longwave radiation, water vapor flux and regional atmospheric circulation changes are closely connected to the trends of extreme warm days in all seasons outside of summer; the summer longwave radiation and interior wind trends show little coherence with warm extreme trends, indicating other processes at play driving extreme warm days in summer.</t>
  </si>
  <si>
    <t>[Xu, Min; Yang, Qinghua; Hu, Xiaoming] Sun Yat Sen Univ, Sch Atmospher Sci, Zhuhai, Peoples R China; [Xu, Min; Yang, Qinghua; Hu, Xiaoming] Southern Marine Sci &amp; Engn Guangdong Lab, Zhuhai, Peoples R China; [Clem, Kyle R. R.] Victoria Univ Wellington, Sch Geog Environm &amp; Earth Sci, Wellington, New Zealand; [Yu, Lejiang] Polar Res Inst China, MNR Key Lab Polar Sci, Shanghai, Peoples R China</t>
  </si>
  <si>
    <t>Sun Yat Sen University; Southern Marine Science &amp; Engineering Guangdong Laboratory; Victoria University Wellington; Polar Research Institute of China</t>
  </si>
  <si>
    <t>Yang, QH (corresponding author), Sun Yat Sen Univ, Sch Atmospher Sci, Zhuhai, Peoples R China.;Yang, QH (corresponding author), Southern Marine Sci &amp; Engn Guangdong Lab, Zhuhai, Peoples R China.</t>
  </si>
  <si>
    <t>yangqh25@mail.sysu.edu.cn</t>
  </si>
  <si>
    <t>Clem, Kyle/AAG-6626-2021</t>
  </si>
  <si>
    <t>Clem, Kyle/0000-0002-1419-2758</t>
  </si>
  <si>
    <t>National Key Research and Development Program of China [2022YFE0106300]; National Natural Science Foundation of China [41941009]; Guangdong Basic and Applied Basic Research Foundation [2020B1515020025, 328886]; Royal Society of New Zealand Marsden Fund [MFP-VUW2010]</t>
  </si>
  <si>
    <t>National Key Research and Development Program of China; National Natural Science Foundation of China(National Natural Science Foundation of China (NSFC)); Guangdong Basic and Applied Basic Research Foundation; Royal Society of New Zealand Marsden Fund(Royal Society of New ZealandMarsden Fund (NZ))</t>
  </si>
  <si>
    <t>This study is supported by the National Key Research and Development Program of China (No. 2022YFE0106300), the National Natural Science Foundation of China (No. 41941009), the Guangdong Basic and Applied Basic Research Foundation (No. 2020B1515020025), and the Norges Forskningsrad (Grant 328886). K.R.C. acknowledges funding from the Royal Society of New Zealand Marsden Fund Grant MFP-VUW2010. We thank the National Supercomputer Center in Guangzhou for providing computing resources and the European Centre for Medium-Range Weather Forecasts (ECMWF) for the ERA5 reanalysis data. This is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 We thank Felix Pithan at Alfred Wegener Institute, the handling editor and two anonymous reviewers for their constructive comments that improved the manuscript.</t>
  </si>
  <si>
    <t>e2022GL102472</t>
  </si>
  <si>
    <t>10.1029/2022GL102472</t>
  </si>
  <si>
    <t>I0MW9</t>
  </si>
  <si>
    <t>WOS:000999812800001</t>
  </si>
  <si>
    <t>Martínez, D; Oyarzún-Salazar, R; Quilapi, AM; Coronado, J; Enriquez, R; Vargas-Lagos, C; Oliver, C; Santibañez, N; Godoy, M; Muñoz, JL; Vargas-Chacoff, L; Romero, A</t>
  </si>
  <si>
    <t>Martinez, Danixa; Oyarzun-Salazar, Ricardo; Quilapi, Ana Maria; Coronado, Jose; Enriquez, Ricardo; Vargas-Lagos, Carolina; Oliver, Cristian; Santibanez, Natacha; Godoy, Marcos; Munoz, Jose Luis; Vargas-Chacoff, Luis; Romero, Alex</t>
  </si>
  <si>
    <t>Live and inactivated Piscirickettsia salmonis activated nutritional immunity in Atlantic salmon (Salmo salar)</t>
  </si>
  <si>
    <t>FRONTIERS IN IMMUNOLOGY</t>
  </si>
  <si>
    <t>nutritional immunity; Piscirickettsia salmonis; Salmo salar; iron; zinc; manganese; Atlantic salmon</t>
  </si>
  <si>
    <t>ZINC UPTAKE; FULL VIRULENCE; IRON; SYSTEM; GROWTH; FISH; MANGANESE; ENVIRONMENTS; TRANSPORTER; HOMEOSTASIS</t>
  </si>
  <si>
    <t>Nutritional immunity regulates the homeostasis of micronutrients such as iron, manganese, and zinc at the systemic and cellular levels, preventing the invading microorganisms from gaining access and thereby limiting their growth. Therefore, the objective of this study was to evaluate the activation of nutritional immunity in specimens of Atlantic salmon (Salmo salar) that are intraperitoneally stimulated with both live and inactivated Piscirickettsia salmonis. The study used liver tissue and blood/plasma samples on days 3, 7, and 14 post-injections (dpi) for the analysis. Genetic material (DNA) of P. salmonis was detected in the liver tissue of fish stimulated with both live and inactivated P. salmonis at 14 dpi. Additionally, the hematocrit percentage decreased at 3 and 7 dpi in fish stimulated with live P. salmonis, unchanged in fish challenged with inactivated P. salmonis. On the other hand, plasma iron content decreased during the experimental course in fish stimulated with both live and inactivated P. salmonis, although this decrease was statistically significant only at 3 dpi. Regarding the immune-nutritional markers such as tfr1, dmt1, and ireg1 were modulated in the two experimental conditions, compared to zip8, ft-h, and hamp, which were down-regulated in fish stimulated with live and inactivated P. salmonis during the course experimental. Finally, the intracellular iron content in the liver increased at 7 and 14 dpi in fish stimulated with live and inactivated P. salmonis, while the zinc content decreased at 14 dpi under both experimental conditions. However, stimulation with live and inactivated P. salmonis did not alter the manganese content in the fish. The results suggest that nutritional immunity does not distinguish between live and inactivated P. salmonis and elicits a similar immune response. Probably, this immune mechanism would be self-activated with the detection of PAMPs, instead of a sequestration and/or competition of micronutrients by the living microorganism.</t>
  </si>
  <si>
    <t>[Martinez, Danixa; Oyarzun-Salazar, Ricardo; Godoy, Marcos] Univ San Sebastian, Fac Ciencias Nat, Lab Inst Invest, Puerto Montt, Chile; [Martinez, Danixa; Coronado, Jose; Enriquez, Ricardo; Oliver, Cristian; Santibanez, Natacha; Romero, Alex] Univ Austral Chile, Fac Ciencias Vet, Lab Inmunol &amp; Estres Organismos Acuat, Valdivia, Chile; [Quilapi, Ana Maria; Vargas-Lagos, Carolina] Univ Santo Tomas, Escuela Tecnol Med, Fac Salud, Osorno, Chile; [Godoy, Marcos] Ctr Invest Biol Aplicadas CIBA, Puerto Montt, Chile; [Munoz, Jose Luis] Univ Lagos, Ctr Invest &amp; Desarrollo i mar, Puerto Montt, Chile; [Vargas-Chacoff, Luis] Univ Austral Chile, Fac Ciencias, Inst Ciencias Marinas &amp; Limnol, Valdivia, Chile; [Vargas-Chacoff, Luis] Univ Austral Chile, Ctr Fondap Invest Altas Latitudes IDEAL, Valdivia, Chile; [Vargas-Chacoff, Luis] Univ Austral Chile, Millennium Inst Biodivers Antarctic &amp; Subantarct E, Biodivers Antarctic &amp; Subantarct Ecosyst BASE, Valdivia, Chile; [Romero, Alex] Univ Concepcion, Ctr Fondap Interdisciplinary Ctr Aquaculture Res I, Concepcion, Chile</t>
  </si>
  <si>
    <t>Universidad San Sebastian; Universidad Austral de Chile; Universidad Santo Tomas; Universidad de Los Lagos; Universidad Austral de Chile; Universidad Austral de Chile; Universidad Austral de Chile; Universidad de Concepcion</t>
  </si>
  <si>
    <t>Martínez, D (corresponding author), Univ San Sebastian, Fac Ciencias Nat, Lab Inst Invest, Puerto Montt, Chile.;Martínez, D; Romero, A (corresponding author), Univ Austral Chile, Fac Ciencias Vet, Lab Inmunol &amp; Estres Organismos Acuat, Valdivia, Chile.;Vargas-Chacoff, L (corresponding author), Univ Austral Chile, Fac Ciencias, Inst Ciencias Marinas &amp; Limnol, Valdivia, Chile.;Vargas-Chacoff, L (corresponding author), Univ Austral Chile, Ctr Fondap Invest Altas Latitudes IDEAL, Valdivia, Chile.;Vargas-Chacoff, L (corresponding author), Univ Austral Chile, Millennium Inst Biodivers Antarctic &amp; Subantarct E, Biodivers Antarctic &amp; Subantarct Ecosyst BASE, Valdivia, Chile.;Romero, A (corresponding author), Univ Concepcion, Ctr Fondap Interdisciplinary Ctr Aquaculture Res I, Concepcion, Chile.</t>
  </si>
  <si>
    <t>danixa.martinez@uss.cl; luis.vargas@uach.cl; alexromero@uach.cl</t>
  </si>
  <si>
    <t>Perez, Jose Luis JLP munoz Muñoz/D-7774-2013; Romero, Alejandro/R-4565-2019; Godoy, Marcos/Q-9774-2019; Santibañez, Natacha/IAR-1401-2023</t>
  </si>
  <si>
    <t>Romero, Alejandro/0000-0002-9343-3352; Godoy, Marcos/0000-0003-0523-7536; Munoz Perez, Jose Luis/0000-0002-4645-0176</t>
  </si>
  <si>
    <t>Fondecyt-Postdoctoral [3200418]; Fondap-Ideal Grant [15150003]; ANID-Millennium Science Initiative Program-Center ICM-ANID [ICN2021_002]; Fondap-ANID [1522A0004]</t>
  </si>
  <si>
    <t>Fondecyt-Postdoctoral(Comision Nacional de Investigacion Cientifica y Tecnologica (CONICYT)CONICYT FONDECYT); Fondap-Ideal Grant; ANID-Millennium Science Initiative Program-Center ICM-ANID; Fondap-ANID</t>
  </si>
  <si>
    <t>This study received financial assistance from Fondecyt-Postdoctoral No 3200418 to DM, Fondap-Ideal Grant No 15150003 to LV-C, ANID-Millennium Science Initiative Program-Center ICM-ANID ICN2021_002 to LV-C, and Fondap-ANID No 1522A0004 to AR.</t>
  </si>
  <si>
    <t>FRONTIERS MEDIA SA</t>
  </si>
  <si>
    <t>LAUSANNE</t>
  </si>
  <si>
    <t>AVENUE DU TRIBUNAL FEDERAL 34, LAUSANNE, CH-1015, SWITZERLAND</t>
  </si>
  <si>
    <t>1664-3224</t>
  </si>
  <si>
    <t>FRONT IMMUNOL</t>
  </si>
  <si>
    <t>Front. Immunol.</t>
  </si>
  <si>
    <t>10.3389/fimmu.2023.1187209</t>
  </si>
  <si>
    <t>Immunology</t>
  </si>
  <si>
    <t>G0FC7</t>
  </si>
  <si>
    <t>WOS:000986004100001</t>
  </si>
  <si>
    <t>Pei, WL; Wang, JY; Wang, XL; Du, L; Wang, YP; Fan, YJ; Zhang, R; Li, TG; Russell, J; Zhang, F; Yu, XX; Liu, ZY; Guan, ML; Han, Q</t>
  </si>
  <si>
    <t>Pei, Wenlong; Wang, Jiayue; Wang, Xinling; Du, Liang; Wang, Yipeng; Fan, Yujin; Zhang, Rui; Li, Tiegang; Russell, James; Zhang, Fan; Yu, Xiaoxiao; Liu, Zhiyong; Guan, Minglei; Han, Qi</t>
  </si>
  <si>
    <t>Late Pleistocene zinc isotopic indices of paleoproductivity variations in the tropical West Pacific</t>
  </si>
  <si>
    <t>CATENA</t>
  </si>
  <si>
    <t>Paleoproductivity; Zn isotopes; Carbonates; ENSO; Nutricline</t>
  </si>
  <si>
    <t>EASTERN EQUATORIAL PACIFIC; OCEANIC PRIMARY PRODUCTION; WARM POOL; EMILIANIA-HUXLEYI; CARBON-DIOXIDE; CO-LIMITATION; SURFACE-WATER; EL-NINO; ZN; SEA</t>
  </si>
  <si>
    <t>The tropical western Pacific (TWP) plays a significant role in modulating the global climate, with solar radiation, sea surface temperature, and monsoon circulation. Marine prime productivity fluctuations in the TWP can change the global carbon cycle. However, isotopic geochemical evidence reconstructing the changes of pro-ductivity in the western Pacific warm pool (WPWP) is currently lacking. The forcing mechanism that changes productivity in the WPWP remains uncertain. Here, we used the Zinc isotope (delta 66Zn) composition in sediment carbonate with Ba/Ti ratios and differences in foraminiferal carbon isotopes between the surface, and thermo-cline obtained from the Ocean Drilling Program (ODP) Site 807A to reconstruct paleoproductivity and nutricline depth over the last 550 ka period. The Zn isotopic composition signal exhibited a generally fluctuating increase, which is similar in a trend found in the Ba/Ti records. In a periodogram of marine productivity tracing, delta 66Zn and Ba/Ti showed periodicities of 33 and 31 ka, respectively, suggesting the influence of long-term El Nin similar to o Southern Oscillation (ENSO)-like forcing. Good coherence between the paleoproductivity records and the nutricline suggests that nutricline changes could be the primary controlling factor in changes in paleoproductivity. During El Nin similar to o-like conditions, the shallow nutricline in the WPWP can result in high prime productivity accompanied by high delta 66Zn values. In addition, the higher productivity and shallower nutricline coeval with the occurrence of low CO2 concentrations in the Antarctic ice core might indicate that biological export production at low latitudes could act as a significant sink in the global carbon cycle and modify atmospheric CO2 concentrations. Our new datasets of sedimentary carbonates in the tropical ocean can provide better insight and constrain on marine Zn biogeochemical cycle and a strong potential tracer in paleoproductivity.</t>
  </si>
  <si>
    <t>[Zhang, Rui] Jiangsu Ocean Univ, Coinnovat Ctr Jiangsu Marine Bioind Technol, Lianyungang 222005, Jiangsu, Peoples R China; [Zhang, Rui] Jiangsu Ocean Univ, Jiangsu Key Lab Marine Bioresources &amp; Environm, Lianyungang 222005, Jiangsu, Peoples R China; [Pei, Wenlong; Wang, Jiayue; Wang, Xinling; Wang, Yipeng; Fan, Yujin; Zhang, Rui] Jiangsu Ocean Univ, Sch Marine Technol &amp; Geomat, Lianyungang 222005, Jiangsu, Peoples R China; [Du, Liang] Jiangsu Ocean Univ, Sch Civil &amp; Ocean Engn, Lianyungang 222005, Jiangsu, Peoples R China; [Zhang, Rui; Russell, James] Brown Univ, Dept Earth Environm &amp; Planetary Sci, Providence, RI 02912 USA; [Li, Tiegang] Minist Nat Resources, Inst Oceanog 1, Qingdao 266061, Shandong, Peoples R China; [Li, Tiegang] Qingdao Natl Lab Marine Sci &amp; Technol, Lab Marine Geol, Qingdao 266061, Peoples R China; [Li, Tiegang] Univ Chinese Acad Sci, Beijing 100049, Peoples R China; [Zhang, Fan] Jiangsu Ocean Univ, Dept Chem Engn, Lianyungang 222005, Jiangsu, Peoples R China; [Yu, Xiaoxiao] Chinese Acad Sci, Guangzhou Inst Geochem, State Key Lab Isotope Geochem, Guangzhou 510640, Peoples R China; [Liu, Zhiyong] Soochow Univ, Med Coll, Sch Radiat Med &amp; Protect, Suzhou 215123, Jiangsu, Peoples R China; [Guan, Minglei] Shenzhen Polytech, Shenzhen 518055, Guangdong, Peoples R China; [Han, Qi] China Univ Geosci, Sch Ocean Sci, Beijing 100083, Peoples R China</t>
  </si>
  <si>
    <t>Jiangsu Ocean University; Jiangsu Ocean University; Jiangsu Ocean University; Jiangsu Ocean University; Brown University; Ministry of Natural Resources of the People's Republic of China; First Institute of Oceanography, Ministry of Natural Resources; Laoshan Laboratory; Chinese Academy of Sciences; University of Chinese Academy of Sciences, CAS; Jiangsu Ocean University; Chinese Academy of Sciences; Guangzhou Institute of Geochemistry, CAS; Soochow University - China; Shenzhen Polytechnic University; China University of Geosciences</t>
  </si>
  <si>
    <t>Zhang, R (corresponding author), Jiangsu Ocean Univ, Coinnovat Ctr Jiangsu Marine Bioind Technol, Lianyungang 222005, Jiangsu, Peoples R China.;Li, TG (corresponding author), Minist Nat Resources, Inst Oceanog 1, Qingdao 266061, Shandong, Peoples R China.</t>
  </si>
  <si>
    <t>rzhang_838@163.com; tgli@fio.org.cn</t>
  </si>
  <si>
    <t>National Natural Science Foundation of China [U1906211, 42176059, 91958108, 41830539, 41406055, 41506106, 41230959, 41476043]; Strategic Priority Research Program of the Chinese Academy of Sciences [XDA11030104]; International Postdoctoral Exchange Fellowship Program [BE2016701]; Natural Science Foundation of Jiangsu Province [BE2016701, BK20170451]; Six talent peaks project in Jiangsu Province [JNHB-143]; 521talent peaks project in Lianyungang City [LYG52105-2018044]; Project of Innovation for Undergraduate in Jiangsu Province [SZ202211641632003, SZ202211641632004]</t>
  </si>
  <si>
    <t>National Natural Science Foundation of China(National Natural Science Foundation of China (NSFC)); Strategic Priority Research Program of the Chinese Academy of Sciences(Chinese Academy of Sciences); International Postdoctoral Exchange Fellowship Program; Natural Science Foundation of Jiangsu Province(Natural Science Foundation of Jiangsu Province); Six talent peaks project in Jiangsu Province; 521talent peaks project in Lianyungang City; Project of Innovation for Undergraduate in Jiangsu Province</t>
  </si>
  <si>
    <t>We are grateful to Editor Professor Arnaud Temme and anonymous reviewers for their insightful comments, which have greatly improved the manuscript. This work was financed by the National Natural Science Foundation of China (U1906211, 42176059, 91958108, 41830539, 41406055, 41506106, 41230959, 41476043) , the Strategic Priority Research Program of the Chinese Academy of Sciences (XDA11030104) , the project of Global Change and Air-Sea Interaction (GASI-GEOGE-06-02, GASI-GEOGE-04) , International Postdoctoral Exchange Fellowship Program (20160073) , Natural Science Foundation of Jiangsu Province (BK20170451, BE2016701) , Six talent peaks project in Jiangsu Province (JNHB-143) , 521talent peaks project in Lianyungang City (LYG52105-2018044) , Project of Innovation for Undergraduate in Jiangsu Province (SZ202211641632003, SZ202211641632004) . We are also grateful to Qing Lan Project of Jiangsu Provincial Department of Education, Sea Swallow Project of Lianyungang City and Priority Academic Program Development of Jiangsu Higher Education Institutions (PAPD) .</t>
  </si>
  <si>
    <t>0341-8162</t>
  </si>
  <si>
    <t>1872-6887</t>
  </si>
  <si>
    <t>Catena</t>
  </si>
  <si>
    <t>10.1016/j.catena.2023.107128</t>
  </si>
  <si>
    <t>Geosciences, Multidisciplinary; Soil Science; Water Resources</t>
  </si>
  <si>
    <t>Geology; Agriculture; Water Resources</t>
  </si>
  <si>
    <t>G6MX7</t>
  </si>
  <si>
    <t>WOS:000990288000001</t>
  </si>
  <si>
    <t>Cui, LL; Chen, XS; An, JC; Yao, CL; Su, Y; Zhu, CK; Li, Y</t>
  </si>
  <si>
    <t>Cui, Lilu; Chen, Xiusheng; An, Jiachun; Yao, Chaolong; Su, Yong; Zhu, Chengkang; Li, Yu</t>
  </si>
  <si>
    <t>Spatiotemporal Variation Characteristics of Droughts and Their Connection to Climate Variability and Human Activity in the Pearl River Basin, South China</t>
  </si>
  <si>
    <t>WATER</t>
  </si>
  <si>
    <t>WSDI; Pearl River basin; climate variability; human activity; droughts</t>
  </si>
  <si>
    <t>WATER STORAGE DEFICIT; HYDROLOGICAL DROUGHT; GRACE; PRECIPITATION; ENSO; STREAMFLOW; PATTERNS; EXTREMES; RAINFALL; IMPACTS</t>
  </si>
  <si>
    <t>Droughts have damaging impacts on human society and ecological environments. Therefore, studying the impacts of climate variability and human activity on droughts has very important scientific value and social significance in order to understand drought warnings and weaken the adverse impacts of droughts. In this study, we used a combined drought index based on five Gravity Recovery and Climate Experiment (GRACE) and GRACE Follow-On solutions to characterize droughts in the Pearl River basin (PRB) and its sub-basins during 2003 and 2020. Then, we accurately quantified the impact of climate variability and human activity on droughts in the PRB and seven sub-basins by combining the hydrometeorological climate index and in situ human activity data. The results show that 14 droughts were identified in the PRB, particularly the North River basin with the most drought months (52.78%). The El Nino-Southern Oscillation and the Indian Ocean Dipole were found to have important impacts on droughts in the PRB. They affect the operation of the atmospheric circulation, as well as the East Asia summer monsoon, resulting in a decrease in precipitation in the PRB. This impact shows a significant east-west difference on the spatial scale. The middle and upper reaches of the PRB were found to be dominated by SM, while the lower reaches were found to be dominated by GW. Human activity was found to mainly exacerbate droughts in the PRB, but also plays a significant role in reducing peak magnitude. The sub-basins with a higher proportion of total water consumption experienced more droughts (more than 11), and vice versa. The Pearl River Delta showed the highest drought intensification. Reservoir storage significantly reduces the drought peak and severity, but the impact effect depends on its application and balance with the total water consumption. Our study provides a reference for analyzing the drought characteristics, causes, and impacts of sub-basins on a global scale.</t>
  </si>
  <si>
    <t>[Cui, Lilu; Chen, Xiusheng; Zhu, Chengkang; Li, Yu] Chengdu Univ, Sch Architecture &amp; Civil Engn, Chengdu 610106, Peoples R China; [An, Jiachun] Wuhan Univ, Chinese Antarctic Ctr Surveying &amp; Mapping, Wuhan 430079, Peoples R China; [An, Jiachun] Hubei Luojia Lab, Wuhan 430079, Peoples R China; [Yao, Chaolong] South China Agr Univ, Coll Nat Resources &amp; Environm, Guangzhou 510642, Peoples R China; [Su, Yong] Southwest Petr Univ, Sch Civil Engn &amp; Geomat, Chengdu 610500, Peoples R China</t>
  </si>
  <si>
    <t>Chengdu University; Wuhan University; South China Agricultural University; Southwest Petroleum University</t>
  </si>
  <si>
    <t>An, JC (corresponding author), Wuhan Univ, Chinese Antarctic Ctr Surveying &amp; Mapping, Wuhan 430079, Peoples R China.;An, JC (corresponding author), Hubei Luojia Lab, Wuhan 430079, Peoples R China.</t>
  </si>
  <si>
    <t>cuililu@cdu.edu.cn; jcan@whu.edu.cn</t>
  </si>
  <si>
    <t>zhang, xu/JXX-7692-2024; guo, yi/KHC-4669-2024; wang, KiKi/JFZ-3334-2023; zhao, weiwei/JUU-6585-2023; su, lin/KHC-5034-2024; FENG, X/JPL-4188-2023; cui, lilu/IXL-0105-2023; Li, Huizhen/JPX-2563-2023; zhang, ling/JXW-6931-2024; Li, Ren/JVZ-9153-2024; li, lan/KCJ-5061-2024; Zhang, Wenkai/JWO-2030-2024; wang, ya/HQZ-7558-2023; chen, yue/JXW-9556-2024; wang, jiaqi/JSL-7112-2023; zhang, jiayue/JUF-0129-2023; yang, yy/KBR-1536-2024; Chen, Jin/KBQ-0163-2024; Wang, zhenhua/KFA-8731-2024; Wang, Xingyu/JNE-0602-2023; he, xi/JXN-3817-2024; Liu, qi/JZT-5038-2024; lin, yuan/JXL-9592-2024; Li, Wenjuan/KDN-8450-2024; Zhang, yuxuan/JXM-9935-2024</t>
  </si>
  <si>
    <t>Li, Ren/0000-0002-2579-2580; Chen, Jin/0009-0005-5844-635X; cui, lilu/0000-0002-7694-2972; An, Jiachun/0000-0002-3106-0714; Su, Yong/0000-0003-1067-7712</t>
  </si>
  <si>
    <t>National Natural Science Foundation of China [42171141, 42004013]; LIESMARS Special Research Funding, Guangdong Basic and Applied Basic Research Foundation [2022A1515010469]; Guangzhou Science and Technology Project [202102020526]; Natural Science Foundation of Sichuan Province [2022NSFSC1047]; Open Fund of Hubei Luojia Laboratory [220100045]; State Key Laboratory of Geodesy and Earth's Dynamics (Innovation Academy for Precision Measurement Science and Technology, CAS) [SKLGED2022-1-1]</t>
  </si>
  <si>
    <t>National Natural Science Foundation of China(National Natural Science Foundation of China (NSFC)); LIESMARS Special Research Funding, Guangdong Basic and Applied Basic Research Foundation; Guangzhou Science and Technology Project; Natural Science Foundation of Sichuan Province; Open Fund of Hubei Luojia Laboratory; State Key Laboratory of Geodesy and Earth's Dynamics (Innovation Academy for Precision Measurement Science and Technology, CAS)</t>
  </si>
  <si>
    <t>This research was funded by the National Natural Science Foundation of China (42171141, 42004013); LIESMARS Special Research Funding, Guangdong Basic and Applied Basic Research Foundation (2022A1515010469); Guangzhou Science and Technology Project (202102020526); the Natural Science Foundation of Sichuan Province (2022NSFSC1047); the Open Fund of Hubei Luojia Laboratory (220100045); and the State Key Laboratory of Geodesy and Earth's Dynamics (Innovation Academy for Precision Measurement Science and Technology, CAS) (SKLGED2022-1-1).</t>
  </si>
  <si>
    <t>2073-4441</t>
  </si>
  <si>
    <t>WATER-SUI</t>
  </si>
  <si>
    <t>Water</t>
  </si>
  <si>
    <t>10.3390/w15091720</t>
  </si>
  <si>
    <t>Environmental Sciences; Water Resources</t>
  </si>
  <si>
    <t>Environmental Sciences &amp; Ecology; Water Resources</t>
  </si>
  <si>
    <t>G2VH8</t>
  </si>
  <si>
    <t>WOS:000987790900001</t>
  </si>
  <si>
    <t>Evans, CW; Patel, S; Matzke, NJ; Millar, CD</t>
  </si>
  <si>
    <t>Evans, Clive W.; Patel, Selina; Matzke, Nicholas J.; Millar, Craig D.</t>
  </si>
  <si>
    <t>Cryoxcellia borchgrevinki gen. nov., sp. nov., a new parasitic X-cell species in an Antarctic nototheniid fish, the bald notothen Trematomus borchgrevinki</t>
  </si>
  <si>
    <t>POLAR BIOLOGY</t>
  </si>
  <si>
    <t>Antarctica; McMurdo Sound; Perkinsozoa; X-cell disease; Xcellidae; 18S</t>
  </si>
  <si>
    <t>PAGOTHENIA-BORCHGREVINKI; GILL DISEASE; TELEOST; TUMORS</t>
  </si>
  <si>
    <t>X-cells were first described as an unknown cell type in northern hemisphere flatfish in 1969. Almost a decade later they were described in an Antarctic fish, the bald notothen Trematomus borchgrevinki, thus demonstrating their global distribution. Since this time, X-cells from various northern hemisphere fish species and from three other Antarctic fishes, the emerald notothen Trematomus bernacchii, the crowned notothen Trematomus scotti, and the painted notothen Nototheniops larseni have been identified as perkinsozoan parasites of the Family Xcellidae. Currently there are seven X-cell species described within this family. Here we report the morphology of X-cells isolated from the gill filaments of the bald notothen and include details of some of its division forms. Using short-read high-throughput DNA sequencing technology we have sequenced, assembled, and verified a 5347-bp region of the X-cell rRNA repeat unit that includes the complete 18S gene. In all cases, phylogenetic analyses identified this sequence as a distinct taxon and placed it among the perkinsozoan alveolates alongside other previously identified species in the X-cell family. Using a combination of morphological and genetic evidence we now describe a new X-cell genus and species, Cryoxcellia borchgrevinki gen. nov., sp. nov., from McMurdo Sound, Antarctica.</t>
  </si>
  <si>
    <t>[Evans, Clive W.; Patel, Selina; Matzke, Nicholas J.; Millar, Craig D.] Univ Auckland, Sch Biol Sci, Private Bag 92019, Auckland 1142, New Zealand</t>
  </si>
  <si>
    <t>University of Auckland</t>
  </si>
  <si>
    <t>Evans, CW (corresponding author), Univ Auckland, Sch Biol Sci, Private Bag 92019, Auckland 1142, New Zealand.</t>
  </si>
  <si>
    <t>c.evans@auckland.ac.nz</t>
  </si>
  <si>
    <t>Evans, Clive/0000-0003-2888-842X</t>
  </si>
  <si>
    <t>SPRINGER</t>
  </si>
  <si>
    <t>ONE NEW YORK PLAZA, SUITE 4600, NEW YORK, NY, UNITED STATES</t>
  </si>
  <si>
    <t>0722-4060</t>
  </si>
  <si>
    <t>1432-2056</t>
  </si>
  <si>
    <t>POLAR BIOL</t>
  </si>
  <si>
    <t>Polar Biol.</t>
  </si>
  <si>
    <t>10.1007/s00300-023-03132-w</t>
  </si>
  <si>
    <t>Biodiversity Conservation; Ecology</t>
  </si>
  <si>
    <t>Biodiversity &amp; Conservation; Environmental Sciences &amp; Ecology</t>
  </si>
  <si>
    <t>G9DF3</t>
  </si>
  <si>
    <t>WOS:000975971900001</t>
  </si>
  <si>
    <t>Balco, G; Brown, N; Nichols, K; Venturelli, RA; Adams, J; Braddock, S; Campbell, S; Goehring, B; Johnson, JS; Rood, DH; Wilcken, K; Hall, B; Woodward, J</t>
  </si>
  <si>
    <t>Balco, Greg; Brown, Nathan; Nichols, Keir; Venturelli, Ryan A.; Adams, Jonathan; Braddock, Scott; Campbell, Seth; Goehring, Brent; Johnson, Joanne S.; Rood, Dylan H.; Wilcken, Klaus; Hall, Brenda; Woodward, John</t>
  </si>
  <si>
    <t>Reversible ice sheet thinning in the Amundsen Sea Embayment during the Late Holocene</t>
  </si>
  <si>
    <t>CRYOSPHERE</t>
  </si>
  <si>
    <t>PINE ISLAND GLACIER; MARIE-BYRD-LAND; EXPOSURE AGES; WEDDELL SEA; PRESSURE; EROSION; MAXIMUM; RETREAT; BE-10; LEVEL</t>
  </si>
  <si>
    <t>Cosmogenic-nuclide concentrations in subglacial bedrock cores show that the West Antarctic Ice Sheet (WAIS) at a site between Thwaites and Pope glaciers was at least 35 m thinner than present in the past several thousand years and then subsequently thickened. This is important because of concern that present thinning and grounding line retreat at these and nearby glaciers in the Amundsen Sea Embayment may irreversibly lead to deglaciation of significant portions of the WAIS, with decimeter- to meter-scale sea level rise within decades to centuries. A past episode of ice sheet thinning that took place in a similar, although not identical, climate was not irreversible. We propose that the past thinning-thickening cycle was due to a glacioisostatic rebound feedback, similar to that invoked as a possible stabilizing mechanism for current grounding line retreat, in which isostatic uplift caused by Early Holocene thinning led to relative sea level fall favoring grounding line advance.</t>
  </si>
  <si>
    <t>[Balco, Greg] Berkeley Geochronol Ctr, Berkeley, CA 94709 USA; [Brown, Nathan] Univ Texas Arlington, Earth &amp; Environm Sci, Arlington, TX USA; [Nichols, Keir; Adams, Jonathan] Imperial Coll London, Earth Sci &amp; Engn, London, England; [Venturelli, Ryan A.] Colorado Sch Mines, Geol &amp; Geol Engn, Golden, CO USA; [Braddock, Scott; Campbell, Seth; Hall, Brenda] Univ Maine, Sch Earth &amp; Climate Sci, Orono, ME USA; [Adams, Jonathan; Johnson, Joanne S.] British Antarctic Survey, Cambridge, England; [Goehring, Brent] Tulane Univ, Earth &amp; Environm Sci, New Orleans, LA USA; [Goehring, Brent] Los Alamos Natl Lab, Earth &amp; Environm Sci Div, Los Alamos, NM USA; [Wilcken, Klaus] Australian Natl Sci &amp; Technol Org ANSTO, Lucas Heights, NSW, Australia; [Woodward, John] Northumbria Univ, Geog &amp; Environm Sci, Newcastle Upon Tyne, England</t>
  </si>
  <si>
    <t>Berkeley Geochronolgy Center; University of Texas System; University of Texas Arlington; Imperial College London; Colorado School of Mines; University of Maine System; University of Maine Orono; UK Research &amp; Innovation (UKRI); Natural Environment Research Council (NERC); NERC British Antarctic Survey; Tulane University; United States Department of Energy (DOE); Los Alamos National Laboratory; Australian Nuclear Science &amp; Technology Organisation; Northumbria University</t>
  </si>
  <si>
    <t>Balco, G (corresponding author), Berkeley Geochronol Ctr, Berkeley, CA 94709 USA.</t>
  </si>
  <si>
    <t>balcs@bgc.org</t>
  </si>
  <si>
    <t>Brown, Nathan David/HZL-7906-2023</t>
  </si>
  <si>
    <t>Brown, Nathan David/0000-0002-7385-8679; Braddock, Scott/0000-0003-2944-0379; Woodward, John/0000-0002-4980-4080</t>
  </si>
  <si>
    <t>USNational Science Foundation Office of Polar Programs [OPP-1738989, EAR-1806629]; UK National Environment Research Council [NE/S006710/1, NE/S00663X/1, NE/S006753/1]; Ann and Gordon Getty Foundation; NERC [NE/S00663X/1, NE/S006710/1, NE/S006753/1] Funding Source: UKRI</t>
  </si>
  <si>
    <t>USNational Science Foundation Office of Polar Programs(National Science Foundation (NSF)); UK National Environment Research Council(UK Research &amp; Innovation (UKRI)Natural Environment Research Council (NERC)); Ann and Gordon Getty Foundation; NERC(UK Research &amp; Innovation (UKRI)Natural Environment Research Council (NERC))</t>
  </si>
  <si>
    <t>This research has been supported by the USNational Science Foundation Office of Polar Programs (grant nos.OPP-1738989 and EAR-1806629), the UK National Environment Research Council (grant nos. NE/S006710/1, NE/S00663X/1, and NE/S006753/1), and the Ann and Gordon Getty Foundation</t>
  </si>
  <si>
    <t>COPERNICUS GESELLSCHAFT MBH</t>
  </si>
  <si>
    <t>GOTTINGEN</t>
  </si>
  <si>
    <t>BAHNHOFSALLEE 1E, GOTTINGEN, 37081, GERMANY</t>
  </si>
  <si>
    <t>1994-0416</t>
  </si>
  <si>
    <t>1994-0424</t>
  </si>
  <si>
    <t>Cryosphere</t>
  </si>
  <si>
    <t>10.5194/tc-17-1787-2023</t>
  </si>
  <si>
    <t>Geography, Physical; Geosciences, Multidisciplinary</t>
  </si>
  <si>
    <t>Physical Geography; Geology</t>
  </si>
  <si>
    <t>E8IM8</t>
  </si>
  <si>
    <t>Green Published, gold, Green Accepted</t>
  </si>
  <si>
    <t>WOS:000977915200001</t>
  </si>
  <si>
    <t>Holland, PR; Bevan, SL; Luckman, AJ</t>
  </si>
  <si>
    <t>Holland, Paul R.; Bevan, Suzanne L.; Luckman, Adrian J.</t>
  </si>
  <si>
    <t>Strong Ocean Melting Feedback During the Recent Retreat of Thwaites Glacier</t>
  </si>
  <si>
    <t>ice-ocean interaction; sea-level rise; Southern Ocean; Antarctic Ice Sheet; Thwaites Glacier</t>
  </si>
  <si>
    <t>AMUNDSEN SEA EMBAYMENT; GROUNDING LINE RETREAT; ICE-SHELF; WEST ANTARCTICA; PINE ISLAND; DRIVEN; VARIABILITY; TOPOGRAPHY; WIDESPREAD</t>
  </si>
  <si>
    <t>Accelerating ice loss from Thwaites Glacier is contributing approximately 5% of global sea-level rise, and could add tens of centimeters to sea level over the coming centuries. We use an ocean model to calculate sub-ice melting for a succession of Digital Elevation Models of the main trunk of Thwaites Glacier from 2011 to 2022. The ice evolution during this period induces a strong geometrical feedback onto melting. Ice thinning and retreat provides a larger melting area, thicker and better-connected sub-ice water column, and steeper ice base. This leads to stronger sub-ice ocean currents, increasing melting by over 30% without any change in forcing from wider ocean conditions. This geometrical feedback over just 12 years is comparable to melting changes arising from plausible century-scale changes in ocean conditions and subglacial meltwater inflow. These findings imply that ocean-driven ice loss from Thwaites Glacier may only be weakly influenced by anthropogenic emissions mitigation.</t>
  </si>
  <si>
    <t>[Holland, Paul R.] British Antarctic Survey, Cambridge, England; [Bevan, Suzanne L.; Luckman, Adrian J.] Swansea Univ, Swansea, Wales</t>
  </si>
  <si>
    <t>UK Research &amp; Innovation (UKRI); Natural Environment Research Council (NERC); NERC British Antarctic Survey; Swansea University</t>
  </si>
  <si>
    <t>Holland, PR (corresponding author), British Antarctic Survey, Cambridge, England.</t>
  </si>
  <si>
    <t>p.holland@bas.ac.uk</t>
  </si>
  <si>
    <t>Bevan, Suzanne/0000-0003-2649-2982; Luckman, Adrian/0000-0002-9618-5905</t>
  </si>
  <si>
    <t>NERC/NSF Thwaites-MELT project [NE/S006656/1]</t>
  </si>
  <si>
    <t>NERC/NSF Thwaites-MELT project</t>
  </si>
  <si>
    <t>PH was supported by the NERC/NSF Thwaites-MELT project (NE/S006656/1). ITGC contribution number 099. TanDEM-X data were supplied by DLR. This work used the ARCHER2 UK National Supercomputing Service ().</t>
  </si>
  <si>
    <t>e2023GL103088</t>
  </si>
  <si>
    <t>10.1029/2023GL103088</t>
  </si>
  <si>
    <t>E1EI6</t>
  </si>
  <si>
    <t>hybrid, Green Accepted</t>
  </si>
  <si>
    <t>WOS:000973048600001</t>
  </si>
  <si>
    <t>Liang, KX; Wang, JF; Luo, H; Yang, QH</t>
  </si>
  <si>
    <t>Liang, Kaixin; Wang, Jinfei; Luo, Hao; Yang, Qinghua</t>
  </si>
  <si>
    <t>The Role of Atmospheric Rivers in Antarctic Sea Ice Variations</t>
  </si>
  <si>
    <t>atmospheric river; sea ice; Antarctic</t>
  </si>
  <si>
    <t>SURFACE-ENERGY BUDGET; SOUTHERN-OCEAN; FLUXES; MELT; CLIMATOLOGY; VARIABILITY; ALGORITHM; RADIATION; SNOWMELT; ABLATION</t>
  </si>
  <si>
    <t>Antarctic sea ice variations are affected by moisture and heat from low- and mid-latitudes, more than 90% of which are transported by atmospheric rivers (ARs). This study employs the ERA5 reanalysis and satellite observations to detect all the ARs over the Antarctic sea ice and analyze the general contributions of ARs on sea ice changes from 1979 to 2020. Though AR frequency is low in all seasons, ARs give rise to intense sea ice reduction at a rate of more than 10%/day in marginal ice zone. Thermodynamic processes of sea ice dominate the AR-induced variations, associated with anomalous atmospheric conditions during ARs. Warm, moist and cloudy weather causes considerable melting by enhancing sensible heat flux in cold seasons but has restrictive influences in summer due to blocked solar radiation. Heavy precipitation during ARs is also nonnegligible, especially during the summer melt.</t>
  </si>
  <si>
    <t>[Liang, Kaixin; Wang, Jinfei; Luo, Hao; Yang, Qinghua] Sun Yat sen Univ, Sch Atmospher Sci, Zhuhai, Peoples R China; [Liang, Kaixin; Wang, Jinfei; Luo, Hao; Yang, Qinghua] Southern Marine Sci &amp; Engn Guangdong Lab Zhuhai, Zhuhai, Peoples R China</t>
  </si>
  <si>
    <t>Sun Yat Sen University; Southern Marine Science &amp; Engineering Guangdong Laboratory; Southern Marine Science &amp; Engineering Guangdong Laboratory (Zhuhai)</t>
  </si>
  <si>
    <t>Yang, QH (corresponding author), Sun Yat sen Univ, Sch Atmospher Sci, Zhuhai, Peoples R China.;Yang, QH (corresponding author), Southern Marine Sci &amp; Engn Guangdong Lab Zhuhai, Zhuhai, Peoples R China.</t>
  </si>
  <si>
    <t>Keyes, Dennis/AAZ-9285-2021</t>
  </si>
  <si>
    <t>Luo, Hao/0000-0002-3707-3794; Wang, Jinfei/0009-0006-8484-4949</t>
  </si>
  <si>
    <t>National Natural Science Foundation of China [41941009, 42006191]; National Key R&amp;D Program of China [2022YFE0106300]; Guangdong Basic and Applied Basic Research Foundation [2020B1515020025]; fundamental research funds for the Norges Forskningsrad [328886]</t>
  </si>
  <si>
    <t>National Natural Science Foundation of China(National Natural Science Foundation of China (NSFC)); National Key R&amp;D Program of China; Guangdong Basic and Applied Basic Research Foundation; fundamental research funds for the Norges Forskningsrad(Research Council of Norway)</t>
  </si>
  <si>
    <t>This study is supported by the National Natural Science Foundation of China (No. 41941009, 42006191), the National Key R &amp; D Program of China (No. 2022YFE0106300), the Guangdong Basic and Applied Basic Research Foundation (No. 2020B1515020025), and the fundamental research funds for the Norges Forskningsrad. (No. 328886). We acknowledge the National Supercomputer Center in Guangzhou for the computing resources, the European Centre for Medium-Range Weather Forecasts (ECMWF) for the provision of the ERA5 reanalysis data, to the NASA Langley Research Center Atmospheric Science Data Center for the CERES SYN1deg Ed4A data, and to the U.S. National Snow and Ice Data Center for providing sea ice data.</t>
  </si>
  <si>
    <t>e2022GL102588</t>
  </si>
  <si>
    <t>10.1029/2022GL102588</t>
  </si>
  <si>
    <t>D3QT8</t>
  </si>
  <si>
    <t>WOS:000967913600001</t>
  </si>
  <si>
    <t>Kobayashi, T</t>
  </si>
  <si>
    <t>Kobayashi, Taiyo</t>
  </si>
  <si>
    <t>Changes in Antarctic bottom water off the Wilkes Land coast in the Australian-Antarctic Basin</t>
  </si>
  <si>
    <t>DEEP-SEA RESEARCH PART I-OCEANOGRAPHIC RESEARCH PAPERS</t>
  </si>
  <si>
    <t>Antarctic Bottom Water; Deep float observations; Deep Argo; KARE surveys; Bottom water contraction; Bottom water freshening; Bottom water oxygenation; Meridional overturning circulation; Wilkes Land coast; East Antarctica; Vincennes Bay Bottom Water</t>
  </si>
  <si>
    <t>DENSE SHELF-WATER; INDIAN-OCEAN; DATA PRODUCT; V LAND; ADELIE; VARIABILITY; CIRCULATION; VENTILATION; VERSION; METERS</t>
  </si>
  <si>
    <t>Long-term changes in Antarctic Bottom Water (AABW) off the Wilkes Land coast were examined using historical hydrographic surveys and data from Deep Argo floats. Since the 1980s at the latest, AABW has contracted by approximately 11-14 m yr- 1 and undergone freshening by approximately -0.6 x 10-3 yr- 1. The contraction and freshening of AABW has accelerated slightly over the past few decades, with the former being led by the latter. The contraction of AABW was mainly derived from thinning of the denser layers of AABW, which was compensated for by thickening of the upper AABW. This contrast between thinning and compensative thickening has strengthened gradually over time, suggesting that the meridional overturning circulation driven by AABW formation has weakened in the Australian-Antarctic Basin. Dissolved oxygen on isotherms in AABW appears to have remained constant since 1970, except for the possibility of some oxygenation after 2000, which was not statistically significant. After 2010, changes in AABW deviated from the long-term trends, with contraction and freshening of AABW accelerating significantly from 2011 to 2015 and then slowing down from 2015 to 2019. Meanwhile, the bottommost AABW, which is defined as the bottommost 300 m of the water column, increased in salinity significantly in the latter 2010s, mainly in response to contraction of AABW. These processes have resulted in the recent salinification of the bottommost AABW in the eastern Australian-Antarctic Basin, even in areas where the saltier Ross Sea Bottom Water has not arrived yet. In 2018, marked freshening and oxygenation of AABW was observed in the 110 degrees E section, probably due to newly formed bottom water in the Vincennes Bay Polynya.</t>
  </si>
  <si>
    <t>[Kobayashi, Taiyo] Japan Agcy Marine Earth Sci &amp; Technol, 2 15 Natsushima cho, Yokosuka 2370061, Japan; [Kobayashi, Taiyo] Japan Agcy Marine Earth Sci &amp; Technol, Res &amp; Dev Ctr Global Change, 2 15 Natsushima cho, Yokosuka 2370061, Japan</t>
  </si>
  <si>
    <t>Japan Agency for Marine-Earth Science &amp; Technology (JAMSTEC); Japan Agency for Marine-Earth Science &amp; Technology (JAMSTEC)</t>
  </si>
  <si>
    <t>Kobayashi, T (corresponding author), Japan Agcy Marine Earth Sci &amp; Technol, Res &amp; Dev Ctr Global Change, 2 15 Natsushima cho, Yokosuka 2370061, Japan.</t>
  </si>
  <si>
    <t>taiyok@jamstec.go.jp</t>
  </si>
  <si>
    <t>Kobayashi, Taiyo/0000-0001-6456-6167</t>
  </si>
  <si>
    <t>JSPS KAKENHI [19K03981]; JSPS KAKENHI [19K03981]</t>
  </si>
  <si>
    <t>JSPS KAKENHI(Ministry of Education, Culture, Sports, Science and Technology, Japan (MEXT)Japan Society for the Promotion of ScienceGrants-in-Aid for Scientific Research (KAKENHI)); JSPS KAKENHI(Ministry of Education, Culture, Sports, Science and Technology, Japan (MEXT)Japan Society for the Promotion of ScienceGrants-in-Aid for Scientific Research (KAKENHI))</t>
  </si>
  <si>
    <t>The author thanks all of the members of the Global Oceanic Environment Research Group, Japan Agency for Marine-Earth Science and Technology, for their comments and encouragement, especially S. Hosoda for his valuable advice on the analysis. The author also extends his gratitude to the captains and crew of the TR/V Umitakamaru , R/V Investigator , R/V Kaiyomaru , and Icebreaker Shirase , as well as to Drs. Kitade and Shimada, Rintoul, Katsumata and Murase, and Shimizu. In addition, the researchers and technicians onboard these vessels are thanked for assistance and cooperation with deploying the deep floats. Comments from anonymous reviewers helped improve the manuscript very much. The data from the Deep Argo floats are available from the Global Data Assembly Centre of the international Argo Program ( www.argo.ucsd.edu) . The Ssalto/Duacs altimeter products, including the mean dynamic topography of MDT CNES-CLS18, are produced and distributed by the Copernicus Marine and Environment Monitoring Service (CMEMS) (http:// www.marine.copernicus.eu) . This work was supported by JSPS KAKENHI Grant Number 19K03981.</t>
  </si>
  <si>
    <t>0967-0637</t>
  </si>
  <si>
    <t>1879-0119</t>
  </si>
  <si>
    <t>DEEP-SEA RES PT I</t>
  </si>
  <si>
    <t>Deep-Sea Res. Part I-Oceanogr. Res. Pap.</t>
  </si>
  <si>
    <t>10.1016/j.dsr.2023.104040</t>
  </si>
  <si>
    <t>Oceanography</t>
  </si>
  <si>
    <t>M3LR1</t>
  </si>
  <si>
    <t>WOS:001029232100001</t>
  </si>
  <si>
    <t>Gu, WH; Xie, ZQ; Wei, ZX; Chen, AF; Jiang, B; Yue, FE; Yu, XW</t>
  </si>
  <si>
    <t>Gu, Weihua; Xie, Zhouqing; Wei, Zexun; Chen, Afeng; Jiang, Bei; Yue, Fange; Yu, Xiawei</t>
  </si>
  <si>
    <t>Marine Fresh Carbon Pool Dominates Summer Carbonaceous Aerosols Over Arctic Ocean</t>
  </si>
  <si>
    <t>JOURNAL OF GEOPHYSICAL RESEARCH-ATMOSPHERES</t>
  </si>
  <si>
    <t>marine aerosols; stable carbon isotopes; arctic ocean; fresh carbon pool; carbonaceous fraction</t>
  </si>
  <si>
    <t>PARTICULATE ORGANIC-CARBON; STABLE CARBON; ISOTOPIC COMPOSITION; DICARBOXYLIC-ACIDS; ALPHA-DICARBONYLS; ELEMENTAL CARBON; CLIMATE-CHANGE; SEA; MATTER; PHYTOPLANKTON</t>
  </si>
  <si>
    <t>The source of marine carbonaceous aerosols is crucial to determine as it provides information about the ocean-cloud-climate relationship and the carbon cycle. However, contribution of different marine organic pools to marine primary organic aerosols remains controversial and this will lead to uncertainties in climate models. Here, we report the stable carbon isotopes and carbonaceous fraction of marine aerosols, measured during three summer Arctic cruises (33 degrees N-85 degrees N, July-September, 2014-2018). By comparing the stable carbon isotopic signatures of seawater and aerosols in the Arctic Ocean, we found that the marine fresh carbon pool had a depleted isotopic signature, contributing 80 +/- 12% of the carbonaceous fraction. Both in 2016 and 2018, the aerosol carbon isotopes in the Arctic Ocean were significantly higher than those in 2014. Increased productivity in the Arctic Ocean may dominate the increase of stable carbon isotope in the marine fresh carbon pool on an annual scale. Our research highlights the important contribution of fresh marine carbon pool to marine carbonaceous aerosols in response to marine ecosystem change under Arctic warming. Plain Language Summary The source of marine carbonaceous aerosols is crucial to determine as it provides information about climate change. The Arctic has received widespread attention due to the rapid warming of recent years. Here, we report the stable carbon isotopes and carbonaceous fraction of marine aerosols, measured during three summer Arctic cruises. Stable carbon isotopes can be effective in probing the origin of marine aerosols. By comparing the stable carbon isotopic signatures of seawater and aerosols in the Arctic Ocean, we found the same isotopic signature between aerosols and sea surface particulate organic carbon. This means that the fresh marine carbon pool represented by marine particulate organic carbon may be an important and neglected pool of carbon and dominates the Arctic Ocean carbonaceous aerosol. On multi-year scales, increased productivity due to Arctic warming may be reflected in changes in aerosol carbon isotopes. This research highlights the important contribution of fresh marine carbon pool to marine carbonaceous aerosols in response to marine ecosystem change under Arctic warming.</t>
  </si>
  <si>
    <t>[Gu, Weihua; Xie, Zhouqing; Chen, Afeng; Jiang, Bei; Yue, Fange; Yu, Xiawei] Univ Sci &amp; Technol China, Dept Environm Sci &amp; Engn, Anhui Key Lab Polar Environm &amp; Global Change, Hefei, Peoples R China; [Wei, Zexun] Minist Nat Resources, Inst Oceanog 1, Qingdao, Peoples R China; [Wei, Zexun] Minist Nat Resources, Key Lab Marine Sci &amp; Numer Modeling, Qingdao, Peoples R China; [Wei, Zexun] Pilot Natl Lab Marine Sci &amp; Technol, Lab Reg Oceanog &amp; Numer Modeling, Qingdao, Peoples R China; [Wei, Zexun] Shandong Key Lab Marine Sci &amp; Numer Modeling, Qingdao, Peoples R China</t>
  </si>
  <si>
    <t>Chinese Academy of Sciences; University of Science &amp; Technology of China, CAS; First Institute of Oceanography, Ministry of Natural Resources; Ministry of Natural Resources of the People's Republic of China; Ministry of Natural Resources of the People's Republic of China; Laoshan Laboratory</t>
  </si>
  <si>
    <t>Xie, ZQ (corresponding author), Univ Sci &amp; Technol China, Dept Environm Sci &amp; Engn, Anhui Key Lab Polar Environm &amp; Global Change, Hefei, Peoples R China.</t>
  </si>
  <si>
    <t>zqxie@ustc.edu.cn</t>
  </si>
  <si>
    <t>Gu, Weihua/ABG-5395-2021; Jiang, Bei/JDC-9899-2023</t>
  </si>
  <si>
    <t>Jiang, Bei/0000-0001-5223-6742; Wei, Zexun/0000-0002-1217-6973</t>
  </si>
  <si>
    <t>National Natural Science Foundation of China (NSFC) [41941014]</t>
  </si>
  <si>
    <t>National Natural Science Foundation of China (NSFC)(National Natural Science Foundation of China (NSFC))</t>
  </si>
  <si>
    <t>This study was funded by National Natural Science Foundation of China (NSFC) (41941014). The authors thank the Chinese Arctic Administration for supporting the field campaign. The authors thank Pengzhen He, Shidong Fan for sampling during CHINARE 2014 and CHINARE 2016 field campaign, respectively. The authors thank National Arctic and Antarctic Data Center for providing d13C values of seawater POC (CHINARE 2014).</t>
  </si>
  <si>
    <t>2169-897X</t>
  </si>
  <si>
    <t>2169-8996</t>
  </si>
  <si>
    <t>J GEOPHYS RES-ATMOS</t>
  </si>
  <si>
    <t>J. Geophys. Res.-Atmos.</t>
  </si>
  <si>
    <t>APR 27</t>
  </si>
  <si>
    <t>e2022JD037692</t>
  </si>
  <si>
    <t>10.1029/2022JD037692</t>
  </si>
  <si>
    <t>E1EM1</t>
  </si>
  <si>
    <t>WOS:000973052100001</t>
  </si>
  <si>
    <t>Kunwar, B; Pokhrel, A; Niwai, T; Kawamura, K</t>
  </si>
  <si>
    <t>Kunwar, Bhagawati; Pokhrel, Ambarish; Niwai, Takeji; Kawamura, Kimitaka</t>
  </si>
  <si>
    <t>Spatial and Longitudinal Distributions of Total Carbon, Nitrogen and Sulfur Together With Water-Soluble Major Ions in Marine Aerosols Collected From the Western Paci?c and Southern Ocean</t>
  </si>
  <si>
    <t>western north Pacific; southern ocean; marine aerosols; ocean acidification and coral reef dissolution; long range atmospheric transport; major ions</t>
  </si>
  <si>
    <t>SEA-SALT SULFATE; THERMODYNAMIC-EQUILIBRIUM MODEL; COASTAL ANTARCTIC AEROSOL; METHANESULFONIC-ACID MSA; DIMETHYL SULFIDE; DICARBOXYLIC-ACIDS; ATMOSPHERIC AEROSOLS; CHEMICAL-COMPOSITION; OUTFLOW REGION; OKINAWA ISLAND</t>
  </si>
  <si>
    <t>To explore the latitudinal distributions, sources and formation mechanisms of total carbon (TC), nitrogen (TN), sulfur (TS) and water-soluble major ions (Na+, Cl-, SO42-, K+, nss-SO42-, NH4+, NO3-, and MSA(-)), marine aerosol samples were collected over the Western Pacific (WP) and Southern Ocean (SO) from November 1994 to February 1995. Concentrations of TC ranged 30-390 ng m(-3) (av. 190 ng m(-3)) over the SO, which are six times lower than those (1,200 ng m(-3)) over the WP, whereas concentrations of TN (av. 83 ng m(-3)) in the SO are three times lower than those (av. 232 ng m(-3)) over the WP. The highest concentrations of TC and TN were observed near New Zealand (7,000 and 720 ng m(-3), respectively), suggesting a continental influence over the marine atmosphere. NO3-, tracer of anthropogenic sources, showed higher concentrations over the WP, whereas NH4+ concentrations over the SO are higher than the WP. The latter may be associated with penguin-derived guano droppings from Antarctica. The concentration trends and statistical analysis demonstrate that the formation mechanisms of MSA(-) over the SO and WP is different. We found a strong correlation between MSA(-) and liquid water content (LWC) over the WP, suggesting the heterogenous aqueous phase production of MSA(-), whereas aqueous phase reaction is less important over the SO. The strong correlation (R-2 = 0.97) between nss-Ca2+ and ss-Ca2+ together with their similar relative abundances demonstrates an influence of CaCO3 eroded from coral reefs and shells and subsequent emission to the atmosphere by bubble bursting process.</t>
  </si>
  <si>
    <t>[Kunwar, Bhagawati; Pokhrel, Ambarish; Kawamura, Kimitaka] Hokkaido Univ, Inst Low Temp Sci, Sapporo, Japan; [Kunwar, Bhagawati; Kawamura, Kimitaka] Chubu Univ, Chubu Inst Adv Studies, Kasugai, Japan; [Pokhrel, Ambarish] Asian Res Ctr, Kathmandu, Nepal; [Pokhrel, Ambarish] Tribhuvan Univ, Inst Sci &amp; Technol, Kathmandu, Nepal; [Niwai, Takeji; Kawamura, Kimitaka] Tokyo Metropolitan Univ, Fac Sci, Dept Chem, Hachioji, Japan</t>
  </si>
  <si>
    <t>Hokkaido University; Chubu University; Tribhuvan University; Institute of Science &amp; Technology (IoST) - Nepal; Tokyo Metropolitan University</t>
  </si>
  <si>
    <t>Kawamura, K (corresponding author), Hokkaido Univ, Inst Low Temp Sci, Sapporo, Japan.;Kawamura, K (corresponding author), Chubu Univ, Chubu Inst Adv Studies, Kasugai, Japan.;Kawamura, K (corresponding author), Tokyo Metropolitan Univ, Fac Sci, Dept Chem, Hachioji, Japan.</t>
  </si>
  <si>
    <t>kkawamura@isc.chubu.ac.jp</t>
  </si>
  <si>
    <t>; Kawamura, Kimitaka/B-3839-2011</t>
  </si>
  <si>
    <t>Kunwar, Bhagawati/0000-0001-6277-8772; Kawamura, Kimitaka/0000-0003-1190-3726; Pokhrel, Ambarish/0000-0003-0427-1601</t>
  </si>
  <si>
    <t>Japan Society for the Promotion of Science (JSPS) [18K18791, 19204055, 24221001]; JSPS Joint Research Program implemented in association with DFG [JPJSJRP 20181601]</t>
  </si>
  <si>
    <t>Japan Society for the Promotion of Science (JSPS)(Ministry of Education, Culture, Sports, Science and Technology, Japan (MEXT)Japan Society for the Promotion of Science); JSPS Joint Research Program implemented in association with DFG</t>
  </si>
  <si>
    <t>This study was in part supported by the Japan Society for the Promotion of Science (JSPS) through grant-in-aid Nos. 18K18791, 19204055, 24221001 and JSPS Joint Research Program implemented in association with DFG (JRPs-LEAD with DFG:JPJSJRP 20181601). We thanks Dr. K. Suzuki (Tokyo Metropolitan University) for his kind offer for using an ion chromatograph for the measurement of inorganic ions.</t>
  </si>
  <si>
    <t>e2022JD037874</t>
  </si>
  <si>
    <t>10.1029/2022JD037874</t>
  </si>
  <si>
    <t>D9OO1</t>
  </si>
  <si>
    <t>WOS:000971950800001</t>
  </si>
  <si>
    <t>McCluskey, CS; Gettelman, A; Bardeen, CG; DeMott, PJ; Moore, KA; Kreidenweis, SM; Hill, TCJ; Barry, KR; Twohy, CH; Toohey, DW; Rainwater, B; Jensen, JB; Reeves, JM; Alexander, SP; McFarquhar, GM</t>
  </si>
  <si>
    <t>McCluskey, Christina S.; Gettelman, Andrew; Bardeen, Charles G.; DeMott, Paul J.; Moore, Kathryn A.; Kreidenweis, Sonia M.; Hill, Thomas C. J.; Barry, Kevin R.; Twohy, Cynthia H.; Toohey, Darin W.; Rainwater, Bryan; Jensen, Jorgen B.; Reeves, John M.; Alexander, Simon P.; McFarquhar, Greg M.</t>
  </si>
  <si>
    <t>Simulating Southern Ocean Aerosol and Ice Nucleating Particles in the Community Earth System Model Version 2</t>
  </si>
  <si>
    <t>Southern Ocean Aerosol; ice nucleation; marine aerosol</t>
  </si>
  <si>
    <t>MARINE ORGANIC AEROSOLS; SIZE-DISTRIBUTION; ATMOSPHERE MODEL; PART I; CLOUDS; PHASE; MICROPHYSICS; CALIBRATION</t>
  </si>
  <si>
    <t>Southern Ocean (SO) low-level mixed phase clouds have been a long-standing challenge for Earth system models to accurately represent. While improvements to the Community Earth System Model version 2 (CESM2) resulted in increased supercooled liquid in SO clouds and improved model radiative biases, simulated SO clouds in CESM2 now contain too little ice. Previous observational studies have indicated that marine particles are major contributor to SO low-level cloud heterogeneous ice nucleation, a process that initiates a number of cloud processes that govern cloud radiative properties. In this study, we utilize detailed aerosol and ice nucleating particle (INP) measurements from two recent measurement campaigns to assess simulated aerosol abundance, number size distributions, and composition and INP parameterizations for use in CESM2. Our results indicate that CESM2 has a positive bias in simulated surface-level total aerosol surface area at latitudes north of 58 degrees S. Measured INP populations were dominated by marine INPs and we present evidence of refractory INPs present over the SO assumed here to be mineral dust INPs. Results highlight a critical need to assess simulated mineral dust number and size distributions in CESM2 in order to adequately represent SO INP populations and their response to long-term changes in atmospheric transport patterns and land use change. We also discuss important cautions and limitations in applying a commonly used mineral dust INP parameterization to remote regions like the pristine SO.</t>
  </si>
  <si>
    <t>[McCluskey, Christina S.; Gettelman, Andrew] NCAR, Climate Global Dynam Lab, Boulder, CO 80307 USA; [Gettelman, Andrew] Pacific Northwest Natl Lab, Atmospher Sci &amp; Global Change, Richmond, WA USA; [Bardeen, Charles G.] NCAR, Atmospher Chem Observat &amp; Modeling Lab, Boulder, CO USA; [DeMott, Paul J.; Moore, Kathryn A.; Kreidenweis, Sonia M.; Hill, Thomas C. J.; Barry, Kevin R.] Colorado State Univ, Dept Atmospher Sci, Ft Collins, CO USA; [Twohy, Cynthia H.] NorthWest Res Assoc, Redmond, WA USA; [Toohey, Darin W.; Rainwater, Bryan] Univ Colorado Boulder, Dept Atmospher &amp; Ocean Sci, Boulder, CO USA; [Rainwater, Bryan] Now Handix Sci Inc, Boulder, CO USA; [Jensen, Jorgen B.; Reeves, John M.] NCAR, Earth Observing Lab, Boulder, CO USA; [Alexander, Simon P.] Australian Antarctic Div, Kingston, Tas, Australia; [Alexander, Simon P.] Univ Tasmania, Inst Marine &amp; Antarctic Studies, Australian Antarctic Program Partnership, Hobart, Tas, Australia; [McFarquhar, Greg M.] Cooperat Inst Severe &amp; High Impact Weather Res &amp; O, Norman, OK USA; [McFarquhar, Greg M.] Univ Oklahoma, Sch Meteorol, Norman, OK USA</t>
  </si>
  <si>
    <t>National Center Atmospheric Research (NCAR) - USA; United States Department of Energy (DOE); Pacific Northwest National Laboratory; National Center Atmospheric Research (NCAR) - USA; Colorado State University; NorthWest Research Associates; University of Colorado System; University of Colorado Boulder; National Center Atmospheric Research (NCAR) - USA; Australian Antarctic Division; University of Tasmania; University of Oklahoma System; University of Oklahoma - Norman</t>
  </si>
  <si>
    <t>McCluskey, CS (corresponding author), NCAR, Climate Global Dynam Lab, Boulder, CO 80307 USA.</t>
  </si>
  <si>
    <t>cmcclus@ucar.edu</t>
  </si>
  <si>
    <t>Gettelman, Andrew/AAY-2312-2021; Toohey, Darin W/A-4267-2008; Kreidenweis, Sonia M/E-5993-2011; DeMott, Paul/C-4389-2011</t>
  </si>
  <si>
    <t>Toohey, Darin W/0000-0003-2853-1068; McCluskey, Christina/0000-0003-3778-4112; Gettelman, Andrew/0000-0002-8284-2599; Hill, Thomas/0000-0002-5293-3959; DeMott, Paul/0000-0002-3719-1889; Kreidenweis, Sonia/0000-0002-2561-2914; Alexander, Simon/0000-0001-6823-8857; Barry, Kevin/0000-0002-1896-1921</t>
  </si>
  <si>
    <t>Australian Antarctic Division through Australian Antarctic Science [4431, 4292, 4387]; National Center for Atmospheric Research; National Science Foundation [1852977]; United States Department of Energy (DOE) [DE-SC0020098, DE-SC0018929, DE-SC0021116, AGS-1762096, AGS-1660486]; NSF [DE-SC0018626, DE-SC0021159, AGS-1628674, 006784]; NSF Graduate Research Fellowship [AGS-1660605]; U.S. Department of Energy (DOE) [DE-SC0018626, DE-SC0018929, DE-SC0021116, DE-SC0020098, DE-SC0021159] Funding Source: U.S. Department of Energy (DOE)</t>
  </si>
  <si>
    <t>Australian Antarctic Division through Australian Antarctic Science; National Center for Atmospheric Research; National Science Foundation(National Science Foundation (NSF)); United States Department of Energy (DOE)(United States Department of Energy (DOE)); NSF(National Science Foundation (NSF)); NSF Graduate Research Fellowship(National Science Foundation (NSF)); U.S. Department of Energy (DOE)(United States Department of Energy (DOE))</t>
  </si>
  <si>
    <t>The efforts of the entire MARCUS and SOCRATES teams in collecting the high-quality data used in this study are appreciated. Technical, logistical, and ship support for MARCUS and the contribution of SPA were provided by the Australian Antarctic Division through Australian Antarctic Science Projects 4431, 4292, and 4387. The authors wish to thank NCAR project managers Cory Wolff and Pavel Romashkin and the NCAR/NSF G-V aircraft crew for their support during the SOCRATES field campaign. We would also like to thank the Southern Ocean field campaign science teams for productive discussions of these findings. We are grateful to Emily Bian for helpful comments on the final version of this manuscript. This material is based upon work supported by the National Center for Atmospheric Research, which is a major facility sponsored by the National Science Foundation under Cooperative Agreement No. 1852977. CSM and AG were supported by the United States Department of Energy (DOE) Grant DE-SC0020098. GMM acknowledges support from the NSF through Grants AGS-1628674 and AGS-1762096 and from the US DOE through Grants DE-SC0018626 and DE-SC0021159. PJD, KAM, TCJH, KRB, and SMK were supported by NSF AGS-1660486. PJD, TCJH, and SMK also acknowledge support from DOE through grants DE-SC0018929 (PJD, TCJH) and DE-SC0021116 (PJD, TCJH, SMK). KAM would like to acknowledge support by an NSF Graduate Research Fellowship under Grant 006784. CHT was supported by NSF AGS-1660605.</t>
  </si>
  <si>
    <t>e2022JD036955</t>
  </si>
  <si>
    <t>10.1029/2022JD036955</t>
  </si>
  <si>
    <t>D9JH5</t>
  </si>
  <si>
    <t>Green Published</t>
  </si>
  <si>
    <t>WOS:000971811800001</t>
  </si>
  <si>
    <t>Li, JZ; Tang, Q; Wu, YY; Zhou, C; Liu, Y</t>
  </si>
  <si>
    <t>Li, Jinze; Tang, Qiong; Wu, Yiyun; Zhou, Chen; Liu, Yi</t>
  </si>
  <si>
    <t>Ionospheric 14.5 Day Periodic Oscillation during the 2019 Antarctic SSW Event</t>
  </si>
  <si>
    <t>ATMOSPHERE</t>
  </si>
  <si>
    <t>sudden stratospheric warming; IGS ionospheric total electron content; 14.5 day periodic oscillation</t>
  </si>
  <si>
    <t>WAVE-TYPE OSCILLATIONS; MIDDLE ATMOSPHERE; ELECTRON-DENSITY; OZONE HOLE; SUDDEN; PLANETARY; VARIABILITY; LATITUDES; WARMINGS; REGION</t>
  </si>
  <si>
    <t>The International Global Navigation Satellite Systems Service (IGS) ionospheric total electron content (TEC) data are used to study the periodic perturbation in the ionosphere during the 2019 Antarctic sudden stratospheric warming (SSW) event, a rare Southern Hemisphere minor SSW event in the last 40 years. A 14.5 day periodic signal with a zonal wavenumber of 0 is observed in the mesosphere and the lower thermosphere (MLT) region and the ionosphere during this SSW period, which could be related to the lunar tide. The 14.5 day periodic disturbance in the IGS TEC exhibits local time dependence and latitudinal variation, with the maximum amplitude appearing between 1000 and 1600 LT in the equatorial ionization anomaly (EIA) crest regions. Additionally, the 14.5 day periodic oscillation shows an obvious longitudinal variability, with the weakest amplitude appearing in the longitudinal region of 30(circle) W-60(circle)E.</t>
  </si>
  <si>
    <t>[Li, Jinze; Tang, Qiong; Wu, Yiyun; Zhou, Chen; Liu, Yi] Wuhan Univ, Sch Elect Informat, Dept Space Phys, Wuhan 430072, Peoples R China; [Tang, Qiong] Harbin Inst Technol, Inst Space Sci &amp; Appl Technol, Shenzhen 518055, Peoples R China</t>
  </si>
  <si>
    <t>Wuhan University; Harbin Institute of Technology</t>
  </si>
  <si>
    <t>Tang, Q (corresponding author), Wuhan Univ, Sch Elect Informat, Dept Space Phys, Wuhan 430072, Peoples R China.;Tang, Q (corresponding author), Harbin Inst Technol, Inst Space Sci &amp; Appl Technol, Shenzhen 518055, Peoples R China.</t>
  </si>
  <si>
    <t>tangqiong@hit.edu.cn</t>
  </si>
  <si>
    <t>Liu, Yi/JFA-3191-2023; Liu, Yining/KHC-6217-2024; zhou, chen/KBC-4023-2024; Qi, Ling/KHE-3068-2024; Shen, Yan/KEJ-4617-2024</t>
  </si>
  <si>
    <t>Liu, Yining/0000-0002-2218-2349; Zhou, chen/0000-0003-2692-9451</t>
  </si>
  <si>
    <t>National Natural Science Foundation of China [41574146, 41774162, 42004130, 42204161, 42104150]; fellowship of China Postdoctoral Science Foundation [2022M710941]; Foundation of National Key Laboratory of Electromagnetic Environment [6142403180204, 6142403200303]; Chinese Academy of Sciences; Key Laboratory of Geospace Environment, University of Science &amp; Technology of China [GE2020-01]; Fundamental Research Funds for the Central Universities [2042021kf0020]</t>
  </si>
  <si>
    <t>National Natural Science Foundation of China(National Natural Science Foundation of China (NSFC)); fellowship of China Postdoctoral Science Foundation(China Postdoctoral Science Foundation); Foundation of National Key Laboratory of Electromagnetic Environment; Chinese Academy of Sciences(Chinese Academy of Sciences); Key Laboratory of Geospace Environment, University of Science &amp; Technology of China; Fundamental Research Funds for the Central Universities(Fundamental Research Funds for the Central Universities)</t>
  </si>
  <si>
    <t>This research was funded by the National Natural Science Foundation of China (nos. 41574146, 41774162, 42004130, 42204161 and 42104150), the fellowship of China Postdoctoral Science Foundation (2022M710941), the Foundation of National Key Laboratory of Electromagnetic Environment (grant nos. 6142403180204 and 6142403200303), the Chinese Academy of Sciences, the Key Laboratory of Geospace Environment, University of Science &amp; Technology of China (GE2020-01) and the Fundamental Research Funds for the Central Universities (2042021kf0020).</t>
  </si>
  <si>
    <t>2073-4433</t>
  </si>
  <si>
    <t>ATMOSPHERE-BASEL</t>
  </si>
  <si>
    <t>Atmosphere</t>
  </si>
  <si>
    <t>10.3390/atmos14050796</t>
  </si>
  <si>
    <t>H4IN2</t>
  </si>
  <si>
    <t>WOS:000995618400001</t>
  </si>
  <si>
    <t>Garzón-Cardona, JE; Martínez, AM; Koch, BP; Krock, B; Palma, ED; Kong, XY; Lara, RJ</t>
  </si>
  <si>
    <t>Garzon-Cardona, John E.; Martinez, Ana M.; Koch, Boris P.; Krock, Bernd; Palma, Elbio D.; Kong, Xianyu; Lara, Ruben J.</t>
  </si>
  <si>
    <t>Sources and distribution of dissolved organic matter and inorganic nitrogen in waters of the southern Patagonian shelf and northern Drake Passage (51-56°S, 64-69°W)</t>
  </si>
  <si>
    <t>JOURNAL OF MARINE SYSTEMS</t>
  </si>
  <si>
    <t>Dissolved organic carbon; Inorganic nitrogen; Southern Patagonian shelf</t>
  </si>
  <si>
    <t>SOUTHWESTERN ATLANTIC-OCEAN; CONTINENTAL-SHELF; SURFACE WATERS; FLUORESCENCE; CIRCULATION; MARINE; ARGENTINA; ENVIRONMENTS; TERRESTRIAL</t>
  </si>
  <si>
    <t>Dissolved organic matter (DOM) plays a crucial role in the biogeochemistry of coastal ecosystems, particularly nutrient cycling and distribution. Little is known about these processes in the highly productive Southern Patagonian shelf. This study was conducted to better understand the sources, composition, and behavior of DOM and inorganic nutrients in the sector between 51 and 56 degrees S and 64-69 degrees W with particular emphasis on inorganic nitrogen and DOM fractions. Surface water samples taken during late austral summer from the Beagle Channel (BCW), Subantarctic (SAW), Subantarctic Shelf (SASW), Grande Bay (GBW) and Tierra del Fuego Waters (TFW) and were analyzed for properties of fluorescent DOM (FDOM), dissolved organic carbon (DOC) and inorganic nutrients. Data were related to hydrographic and plankton conditions. Highest values of ammonium, DOC, humic-like FDOM (FDOMC and FDOMM peaks) and humification index (HIX) were found in BCW, and the lowest in SAW, suggesting that terrigenous input is a main source of ammonium and refractory carbon in this region, which is supported by a highly significant inverse correlation of these parameters with salinity. In contrast, nitrate, phosphate, silicate and the fluorescence index (FI) were positively correlated with salinity, pointing to the contribution of autochthonous FDOM from the saltier and nutrient-rich Antarctic Circumpolar Current to the Southern Patagonian shelf. In TFW and GBW, high nitrite concentrations, accompanied by elevated values of BIX (biological activity index of DOM), circulation patterns and high particle residence times computed from model results suggest the occurrence of regeneration processes that deserve further investigation of the poorly known dynamics of the nitrogen-rich water in this region.</t>
  </si>
  <si>
    <t>[Garzon-Cardona, John E.; Palma, Elbio D.; Lara, Ruben J.] CONICET UNS, Inst Argentino Oceanog IADO, Bahia Blanca, Argentina; [Garzon-Cardona, John E.; Martinez, Ana M.] Univ Nacl Sur UNS, Dept Quim, Bahia Blanca, Argentina; [Martinez, Ana M.] INQUISUR CONICET UNS, Inst Quim Sur, Ave Alem 1253,B8000FWB, Bahia Blanca, Argentina; [Koch, Boris P.; Krock, Bernd; Kong, Xianyu] Alfred Wegener Inst Helmholtz Zent Polar &amp; Meeresf, Onkol Chem, Handelshafen 12, D-27570 Bremerhaven, Germany; [Koch, Boris P.] Univ Appl Sci, Hsch Bremerhaven, Karlstadt 8, D-27568 Bremerhaven, Germany; [Palma, Elbio D.] Univ Nacl Sur UNS, Dept Fis, Bahia Blanca, Argentina</t>
  </si>
  <si>
    <t>National University of the South; Consejo Nacional de Investigaciones Cientificas y Tecnicas (CONICET); National University of the South; National University of the South</t>
  </si>
  <si>
    <t>Garzón-Cardona, JE (corresponding author), CONICET UNS, Inst Argentino Oceanog IADO, Bahia Blanca, Argentina.</t>
  </si>
  <si>
    <t>jgarzoncardona@iado-conicet.gob.ar</t>
  </si>
  <si>
    <t>Koch, Boris/B-2784-2009</t>
  </si>
  <si>
    <t>Koch, Boris/0000-0002-8453-731X</t>
  </si>
  <si>
    <t>MINCyT-BMBF [AL/11/03-ARG 11/021]; FONCYT [PICT 2020-2024, PICT 0467-2010]; Alexander von Humboldt Foundation [ARG 1015835]</t>
  </si>
  <si>
    <t>MINCyT-BMBF; FONCYT(FONCyT); Alexander von Humboldt Foundation(Alexander von Humboldt Foundation)</t>
  </si>
  <si>
    <t>We are thankful to the crew of the research vessel BO Puerto Deseado for their support during field activities and sampling. We also thank Gustavo A. Lovrich (CADIC) , scientific leader of the expedition Patagonia Austral on board R/V Puerto Deseado (CONICET-MINDEF) . This work was financed by the binational project MINCyT-BMBF (AL/11/03-ARG 11/021) and FONCYT: PICT 0467-2010 to RL. EDP was partially financed by FONCYT: PICT 2020-2024. The DOM sections of this work were written at the Alfred Wegener Institute for Polar and Marine Research, Bremerhaven, as part of the activities funded by a grant from the Alexander von Humboldt Foundation (ARG 1015835 HFST) to RJL and JEGC. We also acknowledge V. Combes for sharing the outputs of the regional numerical ocean model.</t>
  </si>
  <si>
    <t>0924-7963</t>
  </si>
  <si>
    <t>1879-1573</t>
  </si>
  <si>
    <t>J MARINE SYST</t>
  </si>
  <si>
    <t>J. Mar. Syst.</t>
  </si>
  <si>
    <t>JAN</t>
  </si>
  <si>
    <t>10.1016/j.jmarsys.2023.103893</t>
  </si>
  <si>
    <t>Geosciences, Multidisciplinary; Marine &amp; Freshwater Biology; Oceanography</t>
  </si>
  <si>
    <t>Geology; Marine &amp; Freshwater Biology; Oceanography</t>
  </si>
  <si>
    <t>G9DG3</t>
  </si>
  <si>
    <t>WOS:000992070700001</t>
  </si>
  <si>
    <t>Blagoveshchenskaya, NF; Borisova, TD; Kalishin, AS; Egorov, IM</t>
  </si>
  <si>
    <t>Blagoveshchenskaya, Nataly F. F.; Borisova, Tatiana D. D.; Kalishin, Alexey S. S.; Egorov, Ivan M. M.</t>
  </si>
  <si>
    <t>Artificial Ducts Created via High-Power HF Radio Waves at EISCAT</t>
  </si>
  <si>
    <t>REMOTE SENSING</t>
  </si>
  <si>
    <t>high-latitude ionosphere; duct; electron density; HF pump wave; incoherent scatter radar; polarization; artificial field-aligned irregularities; EISCAT</t>
  </si>
  <si>
    <t>HIGH-LATITUDE IONOSPHERE; F-REGION; INCOHERENT-SCATTER; DENSITY; PLASMA; IRREGULARITIES; FREQUENCIES; SPACE</t>
  </si>
  <si>
    <t>Ducts (field-aligned plasma density enhancements) provide a link into the magnetosphere and can guide whistler waves. Inside ducts, wave-particle interactions occur efficiently; therefore, their presence contributes to the removal of energetic particles from the magnetosphere. We present experimental results concerning the characteristics, behavior, and excitation thresholds of ducts induced by extraordinary (X-mode) polarized high-power HF radio waves emitted towards the magnetic zenith (MZ) into the upper ionosphere at EISCAT (European Incoherent SCATter). The features and behavior of ducts were diagnosed by the EISCAT incoherent scatter radar (ISR) at Tromso and the CUTLASS (SuperDARN) Finland radar at Hankasalmi. The state of the ionosphere was monitored by the Dynasonde in Tromso. It was found that the electron density N-e enhancements inside ducts were of 50-80% above the background N-e values and their transverse size (normal to the magnetic flux tube) corresponded to about 3-4 degrees in the north-south direction. They were generated during magnetically quiet periods and extended from similar to 300 to 320 km up to the upper altitude limit of the EISCAT radar measurements (600-700 km), when heater frequencies were both below and above the critical frequency of the F2 layer (f(H) &lt;= f(o)F2 and f(H) &gt; f(o)F2), regardless of whether HF-induced plasma and ion lines were generated or not. Comparing the O-/X-mode effects from the EISCAT radar observations, it was shown that the creation of the strong N-e ducts is a typical characteristic of the X-mode pulses. As a rule, electron density enhancements were not observed during O-mode pulses. A plausible mechanism for the creation of X-mode artificial ducts is discussed.</t>
  </si>
  <si>
    <t>[Blagoveshchenskaya, Nataly F. F.; Borisova, Tatiana D. D.; Kalishin, Alexey S. S.; Egorov, Ivan M. M.] Arctic &amp; Antarctic Res Inst, St Petersburg 199397, Russia</t>
  </si>
  <si>
    <t>Blagoveshchenskaya, NF (corresponding author), Arctic &amp; Antarctic Res Inst, St Petersburg 199397, Russia.</t>
  </si>
  <si>
    <t>nataly@aari.nw.ru; borisova@aari.ru; askalishin@aari.ru; imegorov@aari.ru</t>
  </si>
  <si>
    <t>Blagoveshchenskaya, Nataly/S-4342-2017</t>
  </si>
  <si>
    <t>Blagoveshchenskaya, Nataly/0000-0003-1752-3273</t>
  </si>
  <si>
    <t>Russian Science Foundation [22-17-00020]</t>
  </si>
  <si>
    <t>The research was supported by a grant No 22-17-00020 from the Russian Science Foundation. Grant information is available on the website https://rscf.en/project/22-17-00020 (accessed on 11 May 2022).</t>
  </si>
  <si>
    <t>2072-4292</t>
  </si>
  <si>
    <t>REMOTE SENS-BASEL</t>
  </si>
  <si>
    <t>Remote Sens.</t>
  </si>
  <si>
    <t>10.3390/rs15092300</t>
  </si>
  <si>
    <t>Environmental Sciences; Geosciences, Multidisciplinary; Remote Sensing; Imaging Science &amp; Photographic Technology</t>
  </si>
  <si>
    <t>Environmental Sciences &amp; Ecology; Geology; Remote Sensing; Imaging Science &amp; Photographic Technology</t>
  </si>
  <si>
    <t>G2XP1</t>
  </si>
  <si>
    <t>WOS:000987850300001</t>
  </si>
  <si>
    <t>Isla, E</t>
  </si>
  <si>
    <t>Isla, Enrique</t>
  </si>
  <si>
    <t>Animal-Energy Relationships in a Changing Ocean: The Case of Continental Shelf Macrobenthic Communities on the Weddell Sea and the Vicinity of the Antarctic Peninsula</t>
  </si>
  <si>
    <t>BIOLOGY-BASEL</t>
  </si>
  <si>
    <t>climate change; polar warming; biological response; ecosystems; biodiversity conservation; vulnerability</t>
  </si>
  <si>
    <t>LABILE ORGANIC-MATTER; SOUTHERN-OCEAN; ICE-SHELF; MARINE-SEDIMENTS; PARTICLE FLUXES; CLIMATE-CHANGE; BIOCHEMICAL-COMPOSITION; BENTHIC COMMUNITIES; BRANSFIELD STRAIT; POLYNYA DYNAMICS</t>
  </si>
  <si>
    <t>The continental shelves of the Weddell Sea and the Antarctic Peninsula vicinity host abundant macrobenthic communities, and the persistence of which is facing serious global change threats. The current relationship among pelagic energy production, its distribution over the shelf, and macrobenthic consumption is a clockwork mechanism that has evolved over thousands of years. Together with biological processes such as production, consumption, reproduction, and competence, it also involves ice (e.g., sea ice, ice shelves, and icebergs), wind, and water currents, among the most important physical controls. This bio-physical machinery undergoes environmental changes that most likely will compromise the persistence of the valuable biodiversity pool that Antarctic macrobenthic communities host. Scientific evidence shows that ongoing environmental change leads to primary production increases and also suggests that, in contrast, macrobenthic biomass and the organic carbon concentration in the sediment may decrease. Warming and acidification may affect the existence of the current Weddell Sea and Antarctic Peninsula shelf macrobenthic communities earlier than other global change agents. Species with the ability to cope with warmer water may have a greater chance of persisting together with allochthonous colonizers. The Antarctic macrobenthos biodiversity pool is a valuable ecosystem service that is under serious threat, and establishing marine protected areas may not be sufficient to preserve it.</t>
  </si>
  <si>
    <t>[Isla, Enrique] CSIC, Inst Ciencies Mar, Barcelona 08003, Spain</t>
  </si>
  <si>
    <t>Consejo Superior de Investigaciones Cientificas (CSIC); CSIC - Centro Mediterraneo de Investigaciones Marinas y Ambientales (CMIMA); CSIC - Instituto de Ciencias del Mar (ICM)</t>
  </si>
  <si>
    <t>Isla, E (corresponding author), CSIC, Inst Ciencies Mar, Barcelona 08003, Spain.</t>
  </si>
  <si>
    <t>isla@icm.csic.es</t>
  </si>
  <si>
    <t>Isla, Enrique/0000-0003-4959-6936</t>
  </si>
  <si>
    <t>Spanish Ministry of Economy and Competitiveness projects [CTM2012-39350-C02-01, POL2006-06399]; Alfred Wegener Institute projects [S-526, S-633]</t>
  </si>
  <si>
    <t>Spanish Ministry of Economy and Competitiveness projects(Spanish Government); Alfred Wegener Institute projects(Helmholtz Association)</t>
  </si>
  <si>
    <t>This research was funded by the Spanish Ministry of Economy and Competitiveness projects ECOWED [CTM2012-39350-C02-01] and CLIMANT [POL2006-06399] and Alfred Wegener Institute projects HOTFOS [S-526] and DYNAMO [S-633].</t>
  </si>
  <si>
    <t>2079-7737</t>
  </si>
  <si>
    <t>Biology-Basel</t>
  </si>
  <si>
    <t>10.3390/biology12050659</t>
  </si>
  <si>
    <t>Biology</t>
  </si>
  <si>
    <t>Life Sciences &amp; Biomedicine - Other Topics</t>
  </si>
  <si>
    <t>H4IW8</t>
  </si>
  <si>
    <t>WOS:000995628100001</t>
  </si>
  <si>
    <t>Guarino, MV; Sime, LC; Diamond, R; Ridley, J; Schroeder, D</t>
  </si>
  <si>
    <t>Guarino, Maria Vittoria; Sime, Louise C.; Diamond, Rachel; Ridley, Jeff; Schroeder, David</t>
  </si>
  <si>
    <t>The coupled system response to 250 years of freshwater forcing: Last Interglacial CMIP6-PMIP4 HadGEM3 simulations</t>
  </si>
  <si>
    <t>CLIMATE OF THE PAST</t>
  </si>
  <si>
    <t>MERIDIONAL OVERTURNING CIRCULATION; ABRUPT CLIMATE-CHANGE; SEA-ICE; EXPERIMENTAL-DESIGN; PMIP4 CONTRIBUTION; BIPOLAR SEESAW; STORM-TRACK; OCEAN; VARIABILITY; ATMOSPHERE</t>
  </si>
  <si>
    <t>The lig127k-H11 simulation of the Paleoclimate Modelling Intercomparison Project (PMIP4) is run using the HadGEM3-GC3.1 model. We focus on the coupled system response to the applied meltwater forcing. We show here that the coupling between the atmosphere and the ocean is altered in the hosing experiment compared to a Last Interglacial simulation with no meltwater forcing applied. Two aspects in particular of the atmosphere-ocean coupling are found to be affected: Northern Hemisphere (NH) gyre heat transport and Antarctic sea ice area. We apply 0.2 Sv of meltwater forcing across the North Atlantic during a 250-year-long simulation. We find that the strength of the Atlantic Meridional Overturning Circulation (AMOC) is reduced by 60% after 150 years of meltwater forcing, with an associated decrease of 0.2 to 0.4 PW in meridional ocean heat transport at all latitudes. The changes in ocean heat transport affect surface temperatures. The largest increase in the meridional surface temperature gradient occurs between 40-50 degrees N. This increase is associated with a strengthening of 20% in 850 hPa winds. The jet stream intensification in the Northern Hemisphere in return alters the temperature structure of the ocean by increasing the gyre circulation at the mid-latitudes and the associated heat transport by +1-0.2 PW, and it decreases the gyre circulation at high latitudes with a decrease of ocean heat transport of 0:2 PW. The changes in meridional surface temperature and pressure gradients cause the Intertropical Convergence Zone (ITCZ) to move southward, leading to stronger westerlies and a more positive Southern Annual Mode (SAM) in the Southern Hemisphere (SH). The positive SAM influences sea ice formation, leading to an increase in Antarctic sea ice.</t>
  </si>
  <si>
    <t>[Guarino, Maria Vittoria; Sime, Louise C.; Diamond, Rachel] British Antarctic Survey, Cambridge, England; [Guarino, Maria Vittoria] Abdus Salaam Int Ctr Theoret Phys, Trieste, Italy; [Schroeder, David] Univ Reading, Dept Meteorol, Reading, England; [Ridley, Jeff] Met Off, Exeter, England</t>
  </si>
  <si>
    <t>UK Research &amp; Innovation (UKRI); Natural Environment Research Council (NERC); NERC British Antarctic Survey; Abdus Salam International Centre for Theoretical Physics (ICTP); University of Reading; Met Office - UK</t>
  </si>
  <si>
    <t>Guarino, MV (corresponding author), British Antarctic Survey, Cambridge, England.;Guarino, MV (corresponding author), Abdus Salaam Int Ctr Theoret Phys, Trieste, Italy.</t>
  </si>
  <si>
    <t>mguarino@ictp.it</t>
  </si>
  <si>
    <t>Guarino, Maria Vittoria/0000-0002-7531-4560; Schroeder, David/0000-0003-2351-4306; Sime, Louise/0000-0002-9093-7926</t>
  </si>
  <si>
    <t>Natural Environment Research Council [NE/P013279/1, NE/P009271/1]; Horizon 2020 (TiPES) [820970]; NERC [NE/P009271/1, NE/P013279/1] Funding Source: UKRI</t>
  </si>
  <si>
    <t>Natural Environment Research Council(UK Research &amp; Innovation (UKRI)Natural Environment Research Council (NERC)); Horizon 2020 (TiPES); NERC(UK Research &amp; Innovation (UKRI)Natural Environment Research Council (NERC))</t>
  </si>
  <si>
    <t>This research has been supported by the Natural Environment Research Council (grant nos. NE/P013279/1and NE/P009271/1) and Horizon 2020 (TiPES; grant no. 820970).</t>
  </si>
  <si>
    <t>1814-9324</t>
  </si>
  <si>
    <t>1814-9332</t>
  </si>
  <si>
    <t>CLIM PAST</t>
  </si>
  <si>
    <t>Clim. Past.</t>
  </si>
  <si>
    <t>10.5194/cp-19-865-2023</t>
  </si>
  <si>
    <t>Geosciences, Multidisciplinary; Meteorology &amp; Atmospheric Sciences</t>
  </si>
  <si>
    <t>Geology; Meteorology &amp; Atmospheric Sciences</t>
  </si>
  <si>
    <t>F1GT8</t>
  </si>
  <si>
    <t>WOS:000979908000001</t>
  </si>
  <si>
    <t>Spencer, EL; Fitzgibbon, QP; Day, RD; Trotter, AJ; Smith, GG</t>
  </si>
  <si>
    <t>Spencer, Eleanor L.; Fitzgibbon, Quinn P.; Day, Ryan D.; Trotter, Andrew J.; Smith, Gregory G.</t>
  </si>
  <si>
    <t>Effects of acute salinity stress on the survival and haemolymph biochemistry of juvenile tropical rock lobster, Panulirus ornatus, at different moult stages</t>
  </si>
  <si>
    <t>AQUACULTURE</t>
  </si>
  <si>
    <t>Spiny lobster; Hemolymph; Salinity; LC50</t>
  </si>
  <si>
    <t>LOBSTER HOMARUS-GAMMARUS; SHRIMP LITOPENAEUS-VANNAMEI; SPINY LOBSTER; AMERICAN LOBSTER; DECAPOD CRUSTACEANS; PANULIRUS-ORNATUS; OSMOREGULATORY CAPACITY; FEEDING-BEHAVIOR; OXYGEN-AFFINITY; ACUTE TOXICITY</t>
  </si>
  <si>
    <t>The tropical rock lobster, Panulirus ornatus, is emerging as an important species for onshore aquaculture development, with commercial grow out of lobsters from the juvenile to harvest phase likely to be conducted in outdoor raceways or pond culture systems in tropical regions of Australia. In these areas, climate has a large impact on the prevailing environmental conditions, including torrential rain and extended periods of heat waves, which can rapidly reduce or increase pond salinity for hours to weeks. The impacts of moulting on the salinity tolerance of P. ornatus survival and physiology are unknown. This study investigated the survival (LC50) and haemolymph biochemistry of P. ornatus juveniles when acutely exposed for 48 h to different salinities (10, 15, 20, 25, 30, 34, 40, 45, 50, 55, and 60 ppt) at three stages of the moult cycle (post-, inter-and pre-moult). Moult stage significantly impacted the survival of lobsters at low salinity (&lt;34 ppt), which ranged from LC5048 = 12.5 ppt for post-moult lobster to LC5048 = 20.0 for pre-moult. There was no significant effect of moult stage on high salinity (&gt;34 ppt) tolerance of lobsters which ranged from LC5048 = 50.5-54.5 ppt. Haemolymph osmolarity showed inter-moult lobsters to be weak hyper-regulators, with post-and pre-moult being hyper-osmoconfromers. Moult-stage significantly affected haemolymph oxyhaemocyanin and protein concentration, with pre-moults having the highest values and post-moult the lowest, with no impact of salinity treatments. At 50, and 55 ppt, oxyhaemocyanin was significantly elevated above total protein concentration compared to 34 ppt with no effect of the moult stage. While at 55 ppt, superoxide dismutase (SOD) activity was significantly lower compared to 25, 40, 45, and 50 ppt with no effect of moult stage. Our results suggest a salinity tolerance range between 20 and 40 ppt, beyond this, lobsters experience oxidative stress due to the breakdown of osmoregulation. This study provides an improved understanding of the survival and physiological impacts of acute salinity change on P. ornatus that is essential for optimising productivity protocols for the onshore aquaculture of the species.</t>
  </si>
  <si>
    <t>[Spencer, Eleanor L.; Fitzgibbon, Quinn P.; Day, Ryan D.; Trotter, Andrew J.; Smith, Gregory G.] Univ Tasmania, Inst Marine &amp; Antarctic Studies, Hobart, Tas 7001, Australia</t>
  </si>
  <si>
    <t>University of Tasmania</t>
  </si>
  <si>
    <t>Spencer, EL (corresponding author), Univ Tasmania, Inst Marine &amp; Antarctic Studies, Hobart, Tas 7001, Australia.</t>
  </si>
  <si>
    <t>Eleanor.spencer@utas.edu.au</t>
  </si>
  <si>
    <t>Fitzgibbon, Quinn/0000-0002-1104-3052</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</si>
  <si>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</si>
  <si>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</si>
  <si>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conducted by the Australian Research Council Industrial Transformation Hub for Sustainable Onshore Lobster Aquaculture (project number IH190100014).</t>
  </si>
  <si>
    <t>0044-8486</t>
  </si>
  <si>
    <t>1873-5622</t>
  </si>
  <si>
    <t>Aquaculture</t>
  </si>
  <si>
    <t>AUG 30</t>
  </si>
  <si>
    <t>10.1016/j.aquaculture.2023.739597</t>
  </si>
  <si>
    <t>Fisheries; Marine &amp; Freshwater Biology</t>
  </si>
  <si>
    <t>G7SO1</t>
  </si>
  <si>
    <t>WOS:000991113700001</t>
  </si>
  <si>
    <t>Mulvaney, R; Wolff, EW; Grieman, MM; Hoffmann, HH; Humby, JD; Nehrbass-Ahles, C; Rhodes, RH; Rowell, IF; Parrenin, F; Schmidely, L; Fischer, H; Stocker, TF; Christl, M; Muscheler, R; Landais, A; Prie, F</t>
  </si>
  <si>
    <t>Mulvaney, Robert; Wolff, Eric W.; Grieman, Mackenzie M.; Hoffmann, Helene H.; Humby, Jack D.; Nehrbass-Ahles, Christoph; Rhodes, Rachael H.; Rowell, Isobel F.; Parrenin, Frederic; Schmidely, Loic; Fischer, Hubertus; Stocker, Thomas F.; Christl, Marcus; Muscheler, Raimund; Landais, Amaelle; Prie, Frederic</t>
  </si>
  <si>
    <t>The ST22 chronology for the Skytrain Ice Rise ice core - Part 2: An age model to the last interglacial and disturbed deep stratigraphy</t>
  </si>
  <si>
    <t>GREENLAND ICE; CLIMATE-CHANGE; ANTARCTIC ICE; O-2 RECORDS; DOME; SEA; CH4; HOLOCENE; ISLAND; O-18</t>
  </si>
  <si>
    <t>We present an age model for the 651 m deep ice core from Skytrain Ice Rise, situated inland of the Ronne Ice Shelf, Antarctica. The top 2000 years have previously been dated using age markers interpolated through annual layer counting. Below this, we align the Skytrain core to the AICC2012 age model using tie points in the ice and air phase, and we apply the Paleochrono program to obtain the best fit to the tie points and glaciological constraints. In the gas phase, ties are made using methane and, in critical sections, delta O-18(air); in the ice phase ties are through Be-10 across the Laschamps event and through ice chemistry related to long-range dust transport and deposition. This strategy provides a good outcome to about 108 ka (similar to 605 m). Beyond that there are signs of flow disturbance, with a section of ice probably repeated. Nonetheless values of CH4 and delta O-18(air) confirm that part of the last interglacial (LIG), from about 117-126 ka (617-627 m), is present and in chronological order. Below this there are clear signs of stratigraphic disturbance, with rapid oscillation of values in both the ice and gas phase at the base of the LIG section, below 628 m. Based on methane values, the warmest part of the LIG and the coldest part of the penultimate glacial are missing from our record. Ice below 631 m appears to be of age &gt; 150 ka.</t>
  </si>
  <si>
    <t>[Mulvaney, Robert; Humby, Jack D.] British Antarctic Survey, Ice Dynam &amp; Palaeoclimate, Cambridge, England; [Wolff, Eric W.; Grieman, Mackenzie M.; Hoffmann, Helene H.; Nehrbass-Ahles, Christoph; Rhodes, Rachael H.; Rowell, Isobel F.] Univ Cambridge, Dept Earth Sci, Cambridge, England; [Grieman, Mackenzie M.] Reed Coll, Portland, OR USA; [Parrenin, Frederic] Univ Grenoble Alpes, CNRS, IRD, Grenoble INP,IGE, F-38000 Grenoble, France; [Schmidely, Loic; Fischer, Hubertus; Stocker, Thomas F.] Univ Bern, Phys Inst, Climate &amp; Environm Phys, Bern, Switzerland; [Schmidely, Loic; Fischer, Hubertus; Stocker, Thomas F.] Univ Bern, Oeschger Ctr Climate Change Res, Bern, Switzerland; [Christl, Marcus] Swiss Fed Inst Technol, Lab Ion Beam Phys, CH-8093 Zurich, Switzerland; [Muscheler, Raimund] Lund Univ, Dept Geol, Quaternary Sci, Solvegatan 12, S-22362 Lund, Sweden; [Landais, Amaelle; Prie, Frederic] Univ Paris Saclay, Lab Sci Climat &amp; Environm, CNRS, CEA,UVSQ,IPSL,LSCE, Gif Sur Yvette, France</t>
  </si>
  <si>
    <t>UK Research &amp; Innovation (UKRI); Natural Environment Research Council (NERC); NERC British Antarctic Survey; University of Cambridge; Reed College - Oregon; Centre National de la Recherche Scientifique (CNRS); Communaute Universite Grenoble Alpes; Universite Grenoble Alpes (UGA); Institut de Recherche pour le Developpement (IRD); Institut National Polytechnique de Grenoble; University of Bern; University of Bern; Swiss Federal Institutes of Technology Domain; ETH Zurich; Lund University; Universite Paris Saclay; Universite Paris Cite; CEA; Centre National de la Recherche Scientifique (CNRS)</t>
  </si>
  <si>
    <t>Wolff, EW (corresponding author), Univ Cambridge, Dept Earth Sci, Cambridge, England.</t>
  </si>
  <si>
    <t>ew428@cam.ac.uk</t>
  </si>
  <si>
    <t>Fischer, Hubertus/A-1211-2014; Wolff, Eric W/D-7925-2014; Christl, Marcus/J-4769-2016; Mulvaney, Robert/K-3929-2012</t>
  </si>
  <si>
    <t>Wolff, Eric W/0000-0002-5914-8531; Christl, Marcus/0000-0002-3131-6652; Mulvaney, Robert/0000-0002-5372-8148; humby, jack/0000-0003-0526-2766; Rowell, Isobel/0000-0003-0238-2340; Nehrbass-Ahles, Christoph/0000-0002-4009-4633; Grieman, Mackenzie/0000-0001-9610-7141; Rhodes, Rachael/0000-0001-7511-1969; Hoffmann, Helene/0000-0002-7527-5880</t>
  </si>
  <si>
    <t>European Research Council [742224]; Schweizerischer Nationalfonds zur Forderung der Wissenschaftlichen Forschung [172745, 2000492]; Royal Society [RP/R/180003]; Centre National dela Recherche Scientifique; European Research Council (ERC) [742224] Funding Source: European Research Council (ERC)</t>
  </si>
  <si>
    <t>European Research Council(European Research Council (ERC)); Schweizerischer Nationalfonds zur Forderung der Wissenschaftlichen Forschung(Swiss National Science Foundation (SNSF)); Royal Society(Royal Society); Centre National dela Recherche Scientifique(Centre National de la Recherche Scientifique (CNRS)); European Research Council (ERC)(European Research Council (ERC)Spanish Government)</t>
  </si>
  <si>
    <t>This research has been supported by the European Research Council, H2020 (WACSWAIN, grant no. 742224);the Schweizerischer Nationalfonds zur Forderung der Wissenschaftlichen Forschung (grant nos. 172745 and 2000492); the Royal Society (grant no. RP/R/180003); and the Centre National dela Recherche Scientifique (IceChrono and CO2Role)</t>
  </si>
  <si>
    <t>10.5194/cp-19-851-2023</t>
  </si>
  <si>
    <t>F0US7</t>
  </si>
  <si>
    <t>Green Submitted, gold, Green Published</t>
  </si>
  <si>
    <t>WOS:000979590000001</t>
  </si>
  <si>
    <t>Navarro, F; Recio-Blitz, C; Rodríguez-Cielos, R; Otero, J; Shahateet, K; De Andrés, E; Corcuera, MI; Letamendia, U; Muñoz-Hermosilla, JM</t>
  </si>
  <si>
    <t>Navarro, Francisco; Recio-Blitz, Cayetana; Rodriguez-Cielos, Ricardo; Otero, Jaime; Shahateet, Kaian; De Andres, Eva; Corcuera, Maria I.; Letamendia, Unai; Munoz-Hermosilla, Jose M.</t>
  </si>
  <si>
    <t>Surface mass balance monitoring of the peripheral glaciers of the Antarctic Peninsula in the context of regional climate change</t>
  </si>
  <si>
    <t>ANNALS OF GLACIOLOGY</t>
  </si>
  <si>
    <t>Antarctic glaciology; glacier discharge; glacier mass balance; ice and climate; ice thickness measurements</t>
  </si>
  <si>
    <t>KING GEORGE ISLAND; BAHIA-DEL-DIABLO; LIVINGSTON ISLAND; ICE CAP; SPARTAN GLACIER; VEGA ISLAND; HURD; THICKNESS; JOHNSONS; VELOCITY</t>
  </si>
  <si>
    <t>During the second half of the 20th century, the Antarctic Peninsula region has undergone a long and sustained warming period, followed by a shorter but also sustained cooling period, and then a very recent return to warming conditions. All of these have profoundly impacted the glaciers peripheral to the Antarctic Peninsula. This paper focuses on the analysis of the surface mass balance monitoring of such glaciers by the glaciological method, complemented by the analysis of mass-balance estimates by geodetic methods, as well as frontal ablation estimates. We aim to summarize the current knowledge and outline the main challenges faced by investigating the mass balance of such peripheral glaciers and their current contribution to sea-level rise.</t>
  </si>
  <si>
    <t>[Navarro, Francisco; Recio-Blitz, Cayetana; Rodriguez-Cielos, Ricardo; Otero, Jaime; Shahateet, Kaian; De Andres, Eva; Corcuera, Maria I.; Letamendia, Unai; Munoz-Hermosilla, Jose M.] Univ Politecn Madrid, ETSI Telecomunicac, Madrid, Spain; [Recio-Blitz, Cayetana] Univ Isabel I, Fac Humanidades &amp; Ciencias Sociales, Burgos, Spain; [Recio-Blitz, Cayetana] Univ Camilo Jose Cela, Fac Educ, Madrid, Spain</t>
  </si>
  <si>
    <t>Universidad Politecnica de Madrid; Camilo Jose Cela University</t>
  </si>
  <si>
    <t>Navarro, F (corresponding author), Univ Politecn Madrid, ETSI Telecomunicac, Madrid, Spain.</t>
  </si>
  <si>
    <t>francisco.navarro@upm.es</t>
  </si>
  <si>
    <t>Letamendia, Unai/JDD-1911-2023; Shahateet, Kaian/KHD-4312-2024; Navarro, Francisco Jose/L-2941-2014</t>
  </si>
  <si>
    <t>Shahateet, Kaian/0000-0003-0033-0483; Navarro, Francisco Jose/0000-0002-5147-0067; De Andres, Eva/0000-0001-7053-3943; Rodriguez-Cielos, Ricardo/0000-0002-0881-3634; Munoz Hermosilla, Jose Manuel/0000-0002-1990-8508; CORCUERA LABRADO, MARIA ISABEL DE/0000-0001-8162-076X; LETAMENDIA ANDRES, UNAI/0000-0002-7659-0006</t>
  </si>
  <si>
    <t>MCIN/AEI</t>
  </si>
  <si>
    <t>This research was funded by grant PID2020-113051RB-C31 from MCIN/AEI / 10.13039/501100011033 / FEDER, UE.</t>
  </si>
  <si>
    <t>CAMBRIDGE UNIV PRESS</t>
  </si>
  <si>
    <t>CAMBRIDGE</t>
  </si>
  <si>
    <t>EDINBURGH BLDG, SHAFTESBURY RD, CB2 8RU CAMBRIDGE, ENGLAND</t>
  </si>
  <si>
    <t>0260-3055</t>
  </si>
  <si>
    <t>1727-5644</t>
  </si>
  <si>
    <t>ANN GLACIOL</t>
  </si>
  <si>
    <t>Ann. Glaciol.</t>
  </si>
  <si>
    <t>SEP</t>
  </si>
  <si>
    <t>87-89</t>
  </si>
  <si>
    <t>PII S0260305523000186</t>
  </si>
  <si>
    <t>10.1017/aog.2023.18</t>
  </si>
  <si>
    <t>U6EA8</t>
  </si>
  <si>
    <t>WOS:000977305700001</t>
  </si>
  <si>
    <t>Eder, EB; Zárate, M; Lewis, MN</t>
  </si>
  <si>
    <t>Eder, Elena B.; Zarate, Marcos; Lewis, Mirtha N.</t>
  </si>
  <si>
    <t>Light and temperature records of the seawater associated with southern elephant seal dives during foraging trips in South Atlantic and Pacific Oceans</t>
  </si>
  <si>
    <t>BIODIVERSITY DATA JOURNAL</t>
  </si>
  <si>
    <t>Article; Data Paper</t>
  </si>
  <si>
    <t>southern elephant seals; Southern Ocean; sea water light-temperature records</t>
  </si>
  <si>
    <t>DEEP DIVERS</t>
  </si>
  <si>
    <t>Background The dataset comprises geolocalised records of dive and surface interval durations, light level and temperature of the seawater during the post-resting and post-moulting tracks of 13 immature southern elephant seals, Mirounga leonina. It describes an unpublished open access version of the original data with records of light level and temperature of the water column using the Darwin Core standard (DwC) through ArOBIS, guaranteeing compliance with the FAIR principles, encompassing a wide time scale (2005, 2006 and 2007) and geographic range in the South Atlantic and Pacific Oceans (South West [-58.75, -81.29], North East [-37.60, -28.65]). Seals were simultaneously equipped with affordable light-temperature loggers (LTLs) and satellite tags. The LTLs recorded light level and temperature of the water column at 30-s intervals during dives and light-time records were applied to estimate dive parameters of diurnal records from 06:00 to 17:00 h, since movements up and down the water column are reflected by changes in light level. For that,</t>
  </si>
  <si>
    <t>[Eder, Elena B.; Zarate, Marcos; Lewis, Mirtha N.] Ctr Nacl Patagon CESIMAR CENPAT CONICET, Ctr Study Marine Syst, Puerto Madryn, Argentina</t>
  </si>
  <si>
    <t>Eder, EB (corresponding author), Ctr Nacl Patagon CESIMAR CENPAT CONICET, Ctr Study Marine Syst, Puerto Madryn, Argentina.</t>
  </si>
  <si>
    <t>lebder@gmail.com</t>
  </si>
  <si>
    <t>Zarate, Marcos/0000-0001-8851-8602</t>
  </si>
  <si>
    <t>Agencia Nacional de Promocion Cientifica y Tecnologica [PICT 01-11749]; CONICET [PIP 02462, 1123/03]; National Research Council of Argentina (CONICET); Belgian Science Policy Office (BELSPO) [FR/36/AN1/AntaBIS]</t>
  </si>
  <si>
    <t>Agencia Nacional de Promocion Cientifica y Tecnologica(ANPCyTSpanish Government); CONICET(Consejo Nacional de Investigaciones Cientificas y Tecnicas (CONICET)); National Research Council of Argentina (CONICET)(Consejo Nacional de Investigaciones Cientificas y Tecnicas (CONICET)); Belgian Science Policy Office (BELSPO)(Belgian Federal Science Policy Office)</t>
  </si>
  <si>
    <t>M. Uhart, F. Perez, J. Guzman, V. Zavattieri, R. Vera and J. Rua assisted during the field work and deployment of the equipment and N. Ortiz assisted with the logistical support during dive simulations. Centro Nacional Patagonico-Consejo Nacional de Investigaciones Cientificas y Tecnicas (CENPAT-CONICET) provided logistical support. The satellite tracking research was financed by Agencia Nacional de Promocion Cientifica y Tecnologica PICT 01-11749 and CONICET PIP 02462 Resolucion 1123/03. The light-temperature devices were provided by the Australian Antarctic Division. The original research was part of a Ph.D. programme supported by the National Research Council of Argentina (CONICET). The Belgian Science Policy Office (BELSPO, contract noFR/36/AN1/AntaBIS), provided support for the publication of this data paper in the framework of EU-Lifewatch, as a contribution the SCAR Antarctic biodiveristy portal (biodiversity.aq). The research procedures in this study were conducted under permits from Subsecretaria de Conservacion y Areas Protegidas, Ministerio de Turismo and the Direccion de Fauna y Flora Silvestre of Chubut Province.</t>
  </si>
  <si>
    <t>PENSOFT PUBLISHERS</t>
  </si>
  <si>
    <t>SOFIA</t>
  </si>
  <si>
    <t>12 PROF GEORGI ZLATARSKI ST, SOFIA, 1700, BULGARIA</t>
  </si>
  <si>
    <t>1314-2836</t>
  </si>
  <si>
    <t>1314-2828</t>
  </si>
  <si>
    <t>BIODIVERS DATA J</t>
  </si>
  <si>
    <t>Biodiver. Data J.</t>
  </si>
  <si>
    <t>APR 26</t>
  </si>
  <si>
    <t>e101284</t>
  </si>
  <si>
    <t>10.3897/BDJ.11.e101284</t>
  </si>
  <si>
    <t>Biodiversity Conservation</t>
  </si>
  <si>
    <t>Biodiversity &amp; Conservation</t>
  </si>
  <si>
    <t>F5YK1</t>
  </si>
  <si>
    <t>WOS:000983096800001</t>
  </si>
  <si>
    <t>Sun, JC; Xing, LL; Chu, JS</t>
  </si>
  <si>
    <t>Sun, Jiachen; Xing, Lingling; Chu, Jiansong</t>
  </si>
  <si>
    <t>Global ocean contamination of per- and polyfluoroalkyl substances: A review of seabird exposure</t>
  </si>
  <si>
    <t>CHEMOSPHERE</t>
  </si>
  <si>
    <t>Perfluorinated compounds; Egg; Seabirds; Marine pollution; Emerging contaminants</t>
  </si>
  <si>
    <t>PERFLUORINATED ALKYL SUBSTANCES; PERFLUOROOCTANE SULFONATE PFOS; BALTIC SEA ENVIRONMENT; MARINE FOOD-WEB; TEMPORAL TRENDS; GULL EGGS; PERFLUOROALKYL SUBSTANCES; STOCKHOLM CONVENTION; LARUS-MICHAHELLIS; ORGANIC-COMPOUNDS</t>
  </si>
  <si>
    <t>Per- and polyfluoroalkyl substances (PFAS) have been extensively produced and used as surfactants and repellents for decades. To date, the global contamination pattern of PFAS in marine biota has seldomly been reviewed. Seabirds are ideal biomonitoring tools to study environmental contaminants and their effects. Here, we compiled and synthesized reported PFAS concentrations in various seabird species to reflect spatiotemporal patterns and exposure risks of major PFAS on a global ocean scale. Perfluorooctane sulfonic acid (PFOS) was the most studied PFAS in seabirds, which showed the highest level in eggs of common guillemots (U. aalge) from the Baltic Sea, followed by great cormorants (P. carbo) from the North Sea and double-crested cormorants (P.auritus) from the San Francisco Bay, whereas the lowest were those reported for Antarctic seabirds. The temporal pattern showed an overall higher level of PFOS in the late 1990s and early 2000s, consistent with the phase-out of perfluorooctane sulfonyl fluoride-based products. Maximum liver PFOS concentrations in several species such as cormorants and fulmars from Europe and North America exceeded the estimated toxicity reference values. Systematic evaluations using representative species and long time-series are necessary to understand contamination patterns in seabirds in South America, Africa, and Asia where information is lacking. In addition, limited research has been conducted on the identification and toxic effects of novel substitutes such as fluorotelomers and ether PFAS (F-53B, Gen-X etc.) in seabirds. Further research, including multi-omics analysis, is needed to comprehensively characterize the exposure and toxicological profiles of PFAS in seabirds and other wildlife.</t>
  </si>
  <si>
    <t>[Sun, Jiachen; Xing, Lingling; Chu, Jiansong] Ocean Univ China, Coll Marine Life Sci, Qingdao 266003, Peoples R China</t>
  </si>
  <si>
    <t>Ocean University of China</t>
  </si>
  <si>
    <t>Sun, JC; Chu, JS (corresponding author), Ocean Univ China, Coll Marine Life Sci, Qingdao 266003, Peoples R China.</t>
  </si>
  <si>
    <t>sunjiachen@ouc.edu.cn; oucjs@ouc.edu.cn</t>
  </si>
  <si>
    <t>Sun, Jiachen/ADT-5510-2022; Sun, Jiachen/C-7559-2017</t>
  </si>
  <si>
    <t>Sun, Jiachen/0000-0002-0191-3085</t>
  </si>
  <si>
    <t>Fundamental Research Funds for the Central Universities [202341007]; National Natural Science Foundation of China [42176234, 42007287]; Ocean University of China</t>
  </si>
  <si>
    <t>Fundamental Research Funds for the Central Universities(Fundamental Research Funds for the Central Universities); National Natural Science Foundation of China(National Natural Science Foundation of China (NSFC)); Ocean University of China</t>
  </si>
  <si>
    <t>The present study was supported by funding from the Fundamental Research Funds for the Central Universities (202341007) , the National Natural Science Foundation of China (No. 42176234 and 42007287) , and the Ocean University of China.</t>
  </si>
  <si>
    <t>0045-6535</t>
  </si>
  <si>
    <t>1879-1298</t>
  </si>
  <si>
    <t>Chemosphere</t>
  </si>
  <si>
    <t>10.1016/j.chemosphere.2023.138721</t>
  </si>
  <si>
    <t>Environmental Sciences</t>
  </si>
  <si>
    <t>Environmental Sciences &amp; Ecology</t>
  </si>
  <si>
    <t>G4DT5</t>
  </si>
  <si>
    <t>WOS:000988688500001</t>
  </si>
  <si>
    <t>Yoneyama, A; Takamatsu, D; Lwin, TT; Yamada, S; Takakuwa, T; Hyodo, K; Hirano, K; Takeya, S</t>
  </si>
  <si>
    <t>Yoneyama, Akio; Takamatsu, Daiko; Lwin, Thet-Thet; Yamada, Shigehito; Takakuwa, Tetsuya; Hyodo, Kazuyuki; Hirano, Keiichi; Takeya, Satoshi</t>
  </si>
  <si>
    <t>Crystal-Based X-ray Interferometry and Its Application to Phase-Contrast X-ray Imaging, Zeff Imaging, and X-ray Thermography</t>
  </si>
  <si>
    <t>APPLIED SCIENCES-BASEL</t>
  </si>
  <si>
    <t>X-rays; crystal-based X-ray interferometer; phase-contrast X-ray imaging; synchrotron radiation</t>
  </si>
  <si>
    <t>CLATHRATE HYDRATE; COMPUTED-TOMOGRAPHY; OPERATION; GAS; CT</t>
  </si>
  <si>
    <t>Crystal-based X-ray interferometry (CXI) detects X-ray phase shifts by using the superposition of waves, and its sensitivity is the highest among the other X-ray phase-detecting methods. Therefore, phase-contrast X-ray imaging (PCXI) using CXI has the highest density resolution among the PCXI methods and enables fine, non-destructive observation with a density resolution below sub-mg/cm(3). It has thus been applied in a wide range of fields, including biology, medicine, geology, and industry, such as visualization of the testis and brains of aged rats with tumors, human embryos at each Carnegie stage, air hydrates in old Antarctic ice, and ion distribution in electrolytes. Novel imaging methods have also been developed to take advantage of its high sensitivity, such as visualization of the effective atomic number (Z(eff)) and the three-dimensional temperature of samples. This article reviews the principles and history of PCXI and crystal-based X-ray interferometers, as well as a CXI system using synchrotron radiation and its potential applications from biomedical to industrial.</t>
  </si>
  <si>
    <t>[Yoneyama, Akio] SAGA Light Source, 8-7 Yayoigaoka, Tosu 8410005, Japan; [Yoneyama, Akio] Hitachi Ltd, Ctr Exploratory Res, Res &amp; Dev Grp, 1-280 Higashi Koigakubo, Kokubunji 1858401, Japan; [Yoneyama, Akio; Hyodo, Kazuyuki; Hirano, Keiichi; Takeya, Satoshi] High Energy Accelerator Res Org, Photon Factory, Inst Mat Struct Sci, Tsukuba 3050801, Japan; [Takamatsu, Daiko] Hitachi Ltd, Ctr Exploratory Res, Res &amp; Dev Grp, Hatoyama 3500395, Japan; [Lwin, Thet-Thet] Kitasato Univ, Sch Allied Hlth Sci, 1-15-1 Kitasato, Sagamihara 2520373, Japan; [Yamada, Shigehito] Kyoto Univ, Congenital Anomaly Res Ctr, Grad Sch Med, Yoshida Konoe Cho,Sakyo Ku, Kyoto 6068501, Japan; [Takakuwa, Tetsuya] Kyoto Univ, Grad Sch Med, Human Hlth Sci, 53 Shogoin Kawahara Cho,Sakyo Ku, Kyoto 6068507, Japan; [Takeya, Satoshi] Natl Inst Adv Ind Sci &amp; Technol, Natl Metrol Inst Japan NMIJ, Cent 5,1-1-1 Higashi, Tsukuba 3058565, Japan</t>
  </si>
  <si>
    <t>Hitachi Limited; High Energy Accelerator Research Organization (KEK); Hitachi Limited; Kitasato University; Kyoto University; Kyoto University; National Metrology Institute of Japan; National Institute of Advanced Industrial Science &amp; Technology (AIST)</t>
  </si>
  <si>
    <t>Yoneyama, A (corresponding author), SAGA Light Source, 8-7 Yayoigaoka, Tosu 8410005, Japan.;Yoneyama, A (corresponding author), Hitachi Ltd, Ctr Exploratory Res, Res &amp; Dev Grp, 1-280 Higashi Koigakubo, Kokubunji 1858401, Japan.;Yoneyama, A (corresponding author), High Energy Accelerator Res Org, Photon Factory, Inst Mat Struct Sci, Tsukuba 3050801, Japan.</t>
  </si>
  <si>
    <t>yoneyama@saga-ls.jp; daiko.takamatsu.hu@hitachi.com; ttlwin@kitasato-u.ac.jp; shyamada@cac.med.kyoto-u.ac.jp; takakuwa.tetsuya.8x@kyoto-u.ac.jp; kazuyuki.hyodo@kek.jp; keiichi.hirano@kek.jp; s.takeya@aist.go.jp</t>
  </si>
  <si>
    <t>Takeya, Satoshi/L-2108-2018</t>
  </si>
  <si>
    <t>Takeya, Satoshi/0000-0002-7240-2899; Yoneyama, Akio/0000-0001-6925-6723</t>
  </si>
  <si>
    <t>T. Takeda of Kitasato University</t>
  </si>
  <si>
    <t>We thank T. Takeda of Kitasato University for his useful advice. We are grateful to C. Kamezawa for her technical assistance at the beam line. Some observations were carried out under Proposal Nos. 2009S2-006, 2020G032, 2021G070, 2021G086, 2021G574, 2022G604, and 2022G611, approved by the High Energy Accelerator Research Organization.</t>
  </si>
  <si>
    <t>2076-3417</t>
  </si>
  <si>
    <t>APPL SCI-BASEL</t>
  </si>
  <si>
    <t>Appl. Sci.-Basel</t>
  </si>
  <si>
    <t>10.3390/app13095424</t>
  </si>
  <si>
    <t>Chemistry, Multidisciplinary; Engineering, Multidisciplinary; Materials Science, Multidisciplinary; Physics, Applied</t>
  </si>
  <si>
    <t>Chemistry; Engineering; Materials Science; Physics</t>
  </si>
  <si>
    <t>G1NZ5</t>
  </si>
  <si>
    <t>WOS:000986921000001</t>
  </si>
  <si>
    <t>Yue, FG; Li, YB; Zhang, YX; Wang, LQ; Li, D; Wu, PP; Liu, HW; Lin, LJ; Li, D; Hu, J; Xie, ZQ</t>
  </si>
  <si>
    <t>Yue, Fange; Li, Yanbin; Zhang, Yanxu; Wang, Longquan; Li, Dan; Wu, Peipei; Liu, Hongwei; Lin, Lijin; Li, Dong; Hu, Ji; Xie, Zhouqing</t>
  </si>
  <si>
    <t>Elevated methylmercury in Antarctic surface seawater: The role of phytoplankton mass and sea ice</t>
  </si>
  <si>
    <t>SCIENCE OF THE TOTAL ENVIRONMENT</t>
  </si>
  <si>
    <t>Methylmercury; Southern Ocean; Water mass; Methylation; Phytoplankton; Sea ice</t>
  </si>
  <si>
    <t>ATLANTIC-OCEAN; MERCURY; MONOMETHYLMERCURY; METHYLATION; SPECIATION; SEDIMENTS; MODEL</t>
  </si>
  <si>
    <t>Methylmercury is a neurotoxin that is biomagnified in marine food webs. Its distribution and biogeochemical cycle in Antarctic seas are still poorly understood due to scarce studies. Here, we report the total methylmercury profiles (up to 4000 m) in unfiltered seawater (MeHgT) from the Ross Sea to the Amundsen Sea. We found high MeHgT levels in oxic unfiltered surface seawater (upper 50 m depth) in these regions. It was characterized by an obviously higher maximum concentration level of MeHgT (up to 0.44 pmol/L, at a depth of 3.35 m), which is higher than other open seas (including the Arctic Ocean, the North Pacific Ocean and the equatorial Pacific), and a high MeHgT average concentration in the summer surface water (SSW, 0.16 +/- 0.12 pmol/ L). Further analyses suggest that the high phytoplankton mass and sea-ice fraction are important drivers of the high MeHgT level that we observed in the surface water. For the influence of phytoplankton, the model simulation showed that the uptake of MeHg by phytoplankton would not fully explain the high levels of MeHgT, and we speculated that high phytoplankton mass may emit more particulate organic matter as microenvironments that can sustain Hg in-situ methylation by microorganisms. The presence of sea-ice may not only harbor a microbial source of MeHg to surface water but also trigger increased phytoplankton mass, facilitating elevation of MeHg in surface seawater. This study provides insight into the mechanisms that impact the content and distribution of MeHgT in the Southern Ocean.</t>
  </si>
  <si>
    <t>[Yue, Fange; Wang, Longquan; Liu, Hongwei; Xie, Zhouqing] Univ Sci &amp; Technol China, Inst Polar Environm, Hefei 230026, Anhui, Peoples R China; [Yue, Fange; Wang, Longquan; Liu, Hongwei; Xie, Zhouqing] Univ Sci &amp; Technol China, Dept Environm Sci &amp; Engn, Anhui Key Lab Polar Environm &amp; Global Change, Hefei 230026, Anhui, Peoples R China; [Li, Yanbin] Ocean Univ China, Frontiers Sci Ctr Deep Ocean Multispheres &amp; Earth, Qingdao 266100, Peoples R China; [Li, Yanbin] Ocean Univ China, Key Lab Marine Chem Theory &amp; Technol, Minist Educ, Qingdao 266100, Peoples R China; [Li, Yanbin] Ocean Univ China, Coll Chem &amp; Chem Engn, Qingdao 266100, Peoples R China; [Zhang, Yanxu; Wu, Peipei] Nanjing Univ, Sch Atmospher Sci, Nanjing 210023, Jiangsu, Peoples R China; [Li, Dan] Ocean Univ China, Coll Environm Sci &amp; Engn, Qingdao 266100, Peoples R China; [Lin, Lijin] Ocean Univ China, Coll Ocean &amp; Atmospher Sci, Qingdao 266100, Peoples R China; [Li, Dong; Hu, Ji] Minist Nat Resources MNR, Inst Oceanog 2, Hangzhou 310000, Peoples R China</t>
  </si>
  <si>
    <t>Chinese Academy of Sciences; University of Science &amp; Technology of China, CAS; Chinese Academy of Sciences; University of Science &amp; Technology of China, CAS; Ocean University of China; Ocean University of China; Ocean University of China; Nanjing University; Ocean University of China; Ocean University of China; Ministry of Natural Resources of the People's Republic of China</t>
  </si>
  <si>
    <t>Xie, ZQ (corresponding author), Univ Sci &amp; Technol China, Inst Polar Environm, Hefei 230026, Anhui, Peoples R China.;Xie, ZQ (corresponding author), Univ Sci &amp; Technol China, Dept Environm Sci &amp; Engn, Anhui Key Lab Polar Environm &amp; Global Change, Hefei 230026, Anhui, Peoples R China.</t>
  </si>
  <si>
    <t>Zhang, Yanxu/H-6165-2016; yan, yan/JVN-1800-2024; wang, jun/JPY-3635-2023; jin, chen/KBQ-8592-2024; Liu, min/JXW-8493-2024; Wang, Xiaojun/JUU-9683-2023; chen, zhuo/JXX-1337-2024; zhang, jiahao/KEE-9357-2024; li, rui/JVM-8999-2024; Chen, Xiao/KBD-1464-2024; Lin, Li/AAH-5199-2019; CHEN, WENJIE/JQW-1608-2023; yang, yy/KBR-1536-2024; Wang, Yanan/JVZ-7957-2024; Li, Fan/JRY-4017-2023; Wang, Zhuo/JVO-1874-2024; LIU, YUTING/JUV-1285-2023; zhao, yuanxin/KDO-9377-2024; zhang, xinyi/JWA-0980-2024; Yang, Min/JPY-3791-2023; Wu, Peipei/HHM-3630-2022</t>
  </si>
  <si>
    <t>National Natural Science Foundation of China [41941014, 41930532]; Ministry of Natural Resources of the People's Republic of China [01-01- 02E, 01-01-02A]</t>
  </si>
  <si>
    <t>National Natural Science Foundation of China(National Natural Science Foundation of China (NSFC)); Ministry of Natural Resources of the People's Republic of China</t>
  </si>
  <si>
    <t>This work was supported by the National Natural Science Foundation of China (grant nos. 41941014 and 41930532) and the Ministry of Natural Resources of the People's Republic of China (IRASCC2020-2022-No. 01-01- 02E and IRASCC2020-2022-No. 01-01-02A). We thank the China Arctic and Antarctic Administration for fieldwork support. We thank Mr. Guijun Guo from the First Institute of Oceanography, Ministry of Natural Resources, for providing the oceanographic data. We thank Dr. Zhengbing Han, Prof. Jianming Pan and Dr. Jun Zhao from the Second Institute of Oceanography, Ministry of Natural Resources for helpful discussion.</t>
  </si>
  <si>
    <t>0048-9697</t>
  </si>
  <si>
    <t>1879-1026</t>
  </si>
  <si>
    <t>SCI TOTAL ENVIRON</t>
  </si>
  <si>
    <t>Sci. Total Environ.</t>
  </si>
  <si>
    <t>JUL 15</t>
  </si>
  <si>
    <t>10.1016/j.scitotenv.2023.163646</t>
  </si>
  <si>
    <t>G5ZH5</t>
  </si>
  <si>
    <t>WOS:000989930700001</t>
  </si>
  <si>
    <t>Lange, N; Tanhua, T; Pfeil, B; Bange, HW; Lauvset, SK; Grégoire, M; Bakker, DCE; Jones, SD; Fiedler, B; O'Brien, KM; Körtzinger, A</t>
  </si>
  <si>
    <t>Lange, Nico; Tanhua, Toste; Pfeil, Benjamin; Bange, Hermann W.; Lauvset, Siv K.; Gregoire, Marilaure; Bakker, Dorothee C. E.; Jones, Steve D.; Fiedler, Bjoern; O'Brien, Kevin M.; Koertzinger, Arne</t>
  </si>
  <si>
    <t>A status assessment of selected data synthesis products for ocean biogeochemistry</t>
  </si>
  <si>
    <t>FRONTIERS IN MARINE SCIENCE</t>
  </si>
  <si>
    <t>data synthesis product; essential ocean variable; FAIR; technical readiness level; GLODAP; SOCAT; MEMENTO; GO2DAT</t>
  </si>
  <si>
    <t>NITROUS-OXIDE; UPDATED VERSION; CO2; UNCERTAINTY; MEMENTO; SINK</t>
  </si>
  <si>
    <t>Ocean data synthesis products for specific biogeochemical essential ocean variables have the potential to facilitate today's biogeochemical ocean data usage and comply with the Findable Accessible Interoperable and Reusable (FAIR) data principles. The products constitute key outputs from the Global Ocean Observation System, laying the observational foundation for information and services regarding climate and environmental status of the ocean. Using the Framework of Ocean Observing (FOO) readiness level concept, we present an evaluation framework for biogeochemical data synthesis products, which enables a systematic assessment of each product's maturity. A new criteria catalog provides the foundation for assigning scores to the nine FOO readiness levels. As an example, we apply the assessment to four existing biogeochemical essential ocean variables data products. In descending readiness level order these are: The Surface Ocean CO2 Atlas (SOCAT); the Global Ocean Data Analysis Project (GLODAP); the MarinE MethanE and NiTrous Oxide (MEMENTO) data product and the Global Ocean Oxygen Database and ATlas (GO(2)DAT). Recognizing that the importance of adequate and comprehensive data from the essential ocean variables will grow, we recommend using this assessment framework to guide the biogeochemical data synthesis activities in their development. Moreover, we envision an overarching cross-platform FAIR biogeochemical data management system that sustainably supports the products individually and creates an integrated biogeochemical essential ocean variables data synthesis product; in short a system that provides truly comparable and FAIR data of the entire biogeochemical essential ocean variables spectrum.</t>
  </si>
  <si>
    <t>[Lange, Nico; Tanhua, Toste; Bange, Hermann W.; Fiedler, Bjoern; Koertzinger, Arne] GEOMAR Helmholtz Ctr Ocean Res Kiel, Kiel, Germany; [Pfeil, Benjamin; Jones, Steve D.] Univ Bergen, Geophys Inst, Bergen, Norway; [Pfeil, Benjamin; Jones, Steve D.] Bjerknes Ctr Climate Res, Bergen, Norway; [Lauvset, Siv K.] NORCE Norwegian Res Ctr, Bjerknes Ctr Climate Res, Bergen, Norway; [Gregoire, Marilaure] Univ Liege, Dept Astrophys Geophys &amp; Oceanog, MAST Modelling Aquat Syst, FOCUS Freshwater &amp; Ocean Sci Unit Res, Liege, Belgium; [Bakker, Dorothee C. E.] Univ East Anglia, Ctr Ocean &amp; Atmospher Sci, Sch Environm Sci, Norwich, England; [O'Brien, Kevin M.] Univ Washington, Cooperat Inst Climate Ocean &amp; Ecosyst Studies, Seattle, WA USA; [O'Brien, Kevin M.] NOAA, Pacific Marine Environm Lab, Seattle, WA USA; [Koertzinger, Arne] Christian Albrechts Univ Kiel, Fac Math &amp; Nat Sci, Kiel, Germany</t>
  </si>
  <si>
    <t>Helmholtz Association; GEOMAR Helmholtz Center for Ocean Research Kiel; University of Bergen; Bjerknes Centre for Climate Research; Norwegian Research Centre (NORCE); Bjerknes Centre for Climate Research; University of Liege; University of East Anglia; University of Washington; University of Washington Seattle; National Oceanic Atmospheric Admin (NOAA) - USA; University of Kiel</t>
  </si>
  <si>
    <t>Tanhua, T (corresponding author), GEOMAR Helmholtz Ctr Ocean Res Kiel, Kiel, Germany.</t>
  </si>
  <si>
    <t>ttanhua@geomar.de</t>
  </si>
  <si>
    <t>Lauvset, Siv K/H-7948-2016; Körtzinger, Arne/A-4141-2014; Bakker, Dorothee/E-4951-2015</t>
  </si>
  <si>
    <t>Bakker, Dorothee/0000-0001-9234-5337; Jones, Steve/0000-0003-0522-9851</t>
  </si>
  <si>
    <t>EuroSea project [862626]; NOAA's Global Ocean Monitoring and Observation Program; Cooperative Institute for Climate, Ocean, &amp; Ecosystem Studies (CIOCES) under NOAA [NA20OAR4320271]; Research Council of Norway project ICOS Norway; OTC, phase 2 [296012]; UK's Natural Environment Research Council CUSTARD (Carbon Uptake and Seasonal Traits in Antarctic Remineralisation Depth) project [NE/P02/263/1]</t>
  </si>
  <si>
    <t>EuroSea project; NOAA's Global Ocean Monitoring and Observation Program; Cooperative Institute for Climate, Ocean, &amp; Ecosystem Studies (CIOCES) under NOAA; Research Council of Norway project ICOS Norway; OTC, phase 2; UK's Natural Environment Research Council CUSTARD (Carbon Uptake and Seasonal Traits in Antarctic Remineralisation Depth) project</t>
  </si>
  <si>
    <t>NL, TT, BF and BP acknowledge support from the EuroSea project (Grant agreement ID: 862626). KO'B acknowledges support from NOAA's Global Ocean Monitoring and Observation Program and notes that this publication is partially funded by the Cooperative Institute for Climate, Ocean, &amp; Ecosystem Studies (CIOCES) under NOAA Cooperative Agreement NA20OAR4320271. BP, SJ and SL acknowledge support from the Research Council of Norway project ICOS Norway and OTC, phase 2 (grant number 296012). DCEB is grateful for support from the UK's Natural Environment Research Council CUSTARD (Carbon Uptake and Seasonal Traits in Antarctic Remineralisation Depth) project (NE/P02/263/1).</t>
  </si>
  <si>
    <t>2296-7745</t>
  </si>
  <si>
    <t>FRONT MAR SCI</t>
  </si>
  <si>
    <t>Front. Mar. Sci.</t>
  </si>
  <si>
    <t>10.3389/fmars.2023.1078908</t>
  </si>
  <si>
    <t>F8LY3</t>
  </si>
  <si>
    <t>WOS:000984820600001</t>
  </si>
  <si>
    <t>Sato, K; Take, S; Ahmad, SA; Gomez-Fuentes, C; Zulkharnain, A</t>
  </si>
  <si>
    <t>Sato, Kenta; Take, Seiryu; Ahmad, Siti Aqlima; Gomez-Fuentes, Claudio; Zulkharnain, Azham</t>
  </si>
  <si>
    <t>Carbazole Degradation and Genetic Analyses of Sphingobium sp. Strain BS19 Isolated from Antarctic Soil</t>
  </si>
  <si>
    <t>carbazole; bioremediation; Antarctic bacterium</t>
  </si>
  <si>
    <t>KING GEORGE ISLAND; DEGRADING BACTERIA; ADMIRALTY BAY; BIODEGRADATION; PSEUDOMONAS; PLASMID; CLUSTER; PCAR1; WATER</t>
  </si>
  <si>
    <t>The Antarctic region is facing a higher risk of hydrocarbon pollution due to increased human activities. Compounds such as polycyclic aromatic hydrocarbons (PAHs) and heterocyclic compounds available in fuel are highly stable and can reside in the environment for prolonged periods if left untreated. The isolation of native strains is needed to develop bioremediation applications suitable for Antarctica. Strain BS19 was isolated as heterocyclic compound carbazole-degrading bacterium from Antarctic soil through culture enrichment. The 16S rRNA gene sequences identified strain BS19 as a member of the Sphingonium genus. Strain BS19 could remove 75% of carbazole after 15 days of culture at 15 degrees C. Whole genome sequencing resulted in incomplete genomes of 4.77 Mb in 96 contigs with the lowest GC content among Sphingobium sp. strains. The analyses revealed car gene cluster and ant genes and cat gene cluster required for the complete metabolism of carbazole as a source of carbon and energy. The comparison of the car gene cluster showed a similarity to the car gene cluster of Novosphingobium KA1. The expression of the car gene cluster was confirmed with an RT-PCR analysis indicating the involvement of the predicted genes in carbazole degradation. The findings from this study could provide more insight into developing bioremediation applications and approaches for Antarctica and other cold environments.</t>
  </si>
  <si>
    <t>[Sato, Kenta; Take, Seiryu; Zulkharnain, Azham] Shibaura Inst Technol, Coll Syst Engn &amp; Sci, Dept Biosci &amp; Engn, 307 Fukasaku,Minuma Ku, Saitama 3378570, Japan; [Ahmad, Siti Aqlima] Univ Putra Malaysia, Fac Biotechnol &amp; Biomol Sci, Dept Biochem, Serdang 43400, Selangor, Malaysia; [Gomez-Fuentes, Claudio] Univ Magallanes, Ctr Res &amp; Antarctic Environm Monitoring CIMAA, Avda Bulnes 01855, Punta Arenas 6210427, Chile</t>
  </si>
  <si>
    <t>Shibaura Institute of Technology; Universiti Putra Malaysia; Universidad de Magallanes</t>
  </si>
  <si>
    <t>Zulkharnain, A (corresponding author), Shibaura Inst Technol, Coll Syst Engn &amp; Sci, Dept Biosci &amp; Engn, 307 Fukasaku,Minuma Ku, Saitama 3378570, Japan.</t>
  </si>
  <si>
    <t>azham@shibaura-it.ac.jp</t>
  </si>
  <si>
    <t>Gomez-Fuentes, Claudio/ACN-8984-2022</t>
  </si>
  <si>
    <t>Gomez-Fuentes, Claudio/0000-0001-9060-7727; Ahmad, Siti Aqlima/0000-0002-7625-3704; Zulkharnain, Azham/0000-0001-9173-8171</t>
  </si>
  <si>
    <t>YPASM Smart Partnership Initiative by Sultan Mizan Antarctic Research Foundation (YPASM) [6300247]; Centro de Investigacion y Monitoreo Ambiental Antarctico (CIMAA) Project</t>
  </si>
  <si>
    <t>YPASM Smart Partnership Initiative by Sultan Mizan Antarctic Research Foundation (YPASM); Centro de Investigacion y Monitoreo Ambiental Antarctico (CIMAA) Project</t>
  </si>
  <si>
    <t>S.A. Ahmad is supported by YPASM Smart Partnership Initiative (6300247) by Sultan Mizan Antarctic Research Foundation (YPASM). C.G. Fuentes is supported by Centro de Investigacion y Monitoreo Ambiental Antarctico (CIMAA) Project.</t>
  </si>
  <si>
    <t>10.3390/su15097197</t>
  </si>
  <si>
    <t>G2WA4</t>
  </si>
  <si>
    <t>WOS:000987809600001</t>
  </si>
  <si>
    <t>Mrowicki, RJ; Brodie, J</t>
  </si>
  <si>
    <t>Mrowicki, Robert J.; Brodie, Juliet</t>
  </si>
  <si>
    <t>The first record of a non-native seaweed from South Georgia and confirmation of its establishment in the Falkland Islands: Ulva fenestrata Postels &amp; Ruprecht</t>
  </si>
  <si>
    <t>Chlorophyta; DNA barcoding; Marine biodiversity; rbcL-3P; Sub-Antarctic; tufA</t>
  </si>
  <si>
    <t>MARINE; DIVERSITY; INFERENCE; PLANT; RBCL; TUFA</t>
  </si>
  <si>
    <t>Detecting non-native species can be challenging, particularly in the case of taxa such as seaweeds, which can be difficult to distinguish based on morphology and often require molecular-assisted taxonomy for reliable identification. The sub-Antarctic island of South Georgia supports unique and important marine biodiversity, including a rich seaweed flora, but despite its isolation, its inshore ecosystems are susceptible to the introduction of potentially invasive non-native species. Here, we provide the first report of a non-native seaweed in South Georgia, Ulva fenestrata Postels &amp; Ruprecht (Ulvophyceae, Chlorophyta), and confirm its widespread presence in the Falkland Islands via molecular-assisted taxonomy. Phylogenetic analyses of tufA and rbcL-3P genetic markers enabled the identification of a specimen collected from Grytviken, South Georgia in November 2021 as U. fenestrata. In terms of tufA sequence, this sample was identical to specimens collected from four sites spanning West and East Falkland in 2013 and 2018. This study represents the second Southern Hemisphere record of U. fenestrata, which is generally regarded as a Northern Hemisphere species. Our findings provide a foundation for monitoring this potentially invasive species in South Georgia, and for determining its likely source and mode of arrival, while emphasising the importance of robust biosecurity measures.</t>
  </si>
  <si>
    <t>[Mrowicki, Robert J.; Brodie, Juliet] Cromwell Rd, London, England</t>
  </si>
  <si>
    <t>Brodie, J (corresponding author), Cromwell Rd, London, England.</t>
  </si>
  <si>
    <t>j.brodie@nhm.ac.uk</t>
  </si>
  <si>
    <t>Darwin Plus [DPLUS122, DPLUS068]; conserve Falklands marine forest habitats; Government of South Georgia; South Sandwich Islands</t>
  </si>
  <si>
    <t>Darwin Plus; conserve Falklands marine forest habitats; Government of South Georgia; South Sandwich Islands</t>
  </si>
  <si>
    <t>AcknowledgementsThis work was funded by Darwin Plus grants DPLUS122 Biodiversity discovery and the future of South Georgia's seaweed habitats and DPLUS068 Building foundations to monitor and conserve Falklands marine forest habitats awarded to Juliet Brodie. We thank the Government of South Georgia and the South Sandwich Islands and the crew of the MV Pharos SG for their support. We are also grateful to the South Atlantic Environmental Research Institute (SAERI), Shallow Marine Surveys Group (SMSG), Tritonia Scientific Ltd and the members of Operation Himantothallus. This paper benefitted from discussions with Prof. Peter Convey (British Antarctic Survey) and Dan Bayley (SAERI).</t>
  </si>
  <si>
    <t>10.1007/s00300-023-03136-6</t>
  </si>
  <si>
    <t>F2JC0</t>
  </si>
  <si>
    <t>WOS:000976805300001</t>
  </si>
  <si>
    <t>Zmudczynska-Skarbek, K; Bokhorst, S; Convey, P; Gwiazdowicz, DJ; Skubala, P; Zawierucha, K; Zwolicki, A</t>
  </si>
  <si>
    <t>Zmudczynska-Skarbek, Katarzyna; Bokhorst, Stef; Convey, Peter; Gwiazdowicz, Dariusz J.; Skubala, Piotr; Zawierucha, Krzysztof; Zwolicki, Adrian</t>
  </si>
  <si>
    <t>The impact of marine vertebrates on polar terrestrial invertebrate communities</t>
  </si>
  <si>
    <t>Review; Early Access</t>
  </si>
  <si>
    <t>Allochthonous nutrients; Seabird colonies; Seal wallows; Acari; Collembola; Tardigrada</t>
  </si>
  <si>
    <t>KING-GEORGE-ISLAND; MOSS-TURF HABITAT; ARTHROPOD COMMUNITIES; INHABITING NESTS; SOIL MICROFAUNA; SEABIRD COLONY; VICTORIA LAND; CAPE HALLETT; ROSS ISLAND; VEGETATION</t>
  </si>
  <si>
    <t>Marine birds and pinnipeds which come to land to breed, rest and moult are widely known to fertilize adjacent terrestrial ecosystems, with cascading effects on vegetation and other trophic levels. We provide a synthesis of the consequences of allochthonous nutrient enrichment for terrestrial invertebrate communities within and around marine vertebrate aggregation sites and nutrient sources in the High Arctic and Continental and Maritime Antarctic, the most nutrient-poor and environmentally extreme parts of the polar regions. Using a combination of literature review (identifying 19 articles from the Arctic Svalbard archipelago and 12 from different Antarctic locations) and new analyses of available datasets of springtail, mite and tardigrade community composition, we confirmed that terrestrial invertebrate abundance and species richness tended to increase, and their community compositions changed, as a result of marine vertebrate fertilisation in both polar regions. These changes were significantly greater on talus slopes enriched by kittiwakes, guillemots and little auks in the Arctic, as compared to the edges of penguin colonies in the Antarctic. Both these habitat areas were typically abundantly vegetated and provided the most favourable microhabitat conditions for terrestrial invertebrates. The most heavily disturbed and manured areas within Antarctic penguin rookeries and seal wallows, generally on flat or gently sloping ground, were typically characterised by extremely low invertebrate diversity. In the Arctic, only sites directly beneath densely-occupied bird cliffs were to some extent comparably barren. Invertebrate responses are dependent on a combination of vertebrate activity, local topography and vegetation development.</t>
  </si>
  <si>
    <t>[Zmudczynska-Skarbek, Katarzyna; Zwolicki, Adrian] Univ Gdansk, Fac Biol, Dept Vertebrate Ecol &amp; Zool, Wita Stwosza 59, PL-80308 Gdansk, Poland; [Bokhorst, Stef] Vrije Univ Amsterdam, Dept Ecol Sci, De Boelelaan 1085, NL-1081 HV Amsterdam, Netherlands; [Convey, Peter] NERC, British Antarctic Survey, High Cross,Madingley Rd, Cambridge CB3 0ET, England; [Convey, Peter] Univ Johannesburg, Dept Zool, Auckland Pk, South Africa; [Convey, Peter] Millennium Inst Biodivers Antarctic &amp; Subantarct E, Las Palmeras 3425, Santiago, Chile; [Convey, Peter] Cape Horn Int Ctr CHIC, Puerto Williams, Chile; [Gwiazdowicz, Dariusz J.] Poznan Univ Life Sci, Dept Entomol &amp; Forest Pathol, Wojska Polskiego 71, PL-60625 Poznan, Poland; [Skubala, Piotr] Univ Silesia, Inst Biol Biotechnol &amp; Environm Protect, Bankowa 9, PL-40007 Katowice, Poland; [Zawierucha, Krzysztof] Adam Mickiewicz Univ, Dept Anim Taxon &amp; Ecol, Uniwersytetu Poznanskiego 6, PL-61614 Poznan, Poland</t>
  </si>
  <si>
    <t>Fahrenheit Universities; University of Gdansk; Vrije Universiteit Amsterdam; UK Research &amp; Innovation (UKRI); Natural Environment Research Council (NERC); NERC British Antarctic Survey; University of Johannesburg; Poznan University of Life Sciences; University of Silesia in Katowice; Adam Mickiewicz University</t>
  </si>
  <si>
    <t>Zmudczynska-Skarbek, K (corresponding author), Univ Gdansk, Fac Biol, Dept Vertebrate Ecol &amp; Zool, Wita Stwosza 59, PL-80308 Gdansk, Poland.</t>
  </si>
  <si>
    <t>biozmud@ug.edu.pl</t>
  </si>
  <si>
    <t>Convey, Peter/AAV-5728-2020; Bokhorst, Stef/D-1858-2009</t>
  </si>
  <si>
    <t>Convey, Peter/0000-0001-8497-9903; Zwolicki, Adrian/0000-0003-2710-681X; Bokhorst, Stef/0000-0003-0184-1162; Zmudczynska-Skarbek, Katarzyna/0000-0003-2276-4565</t>
  </si>
  <si>
    <t>Polish Ministry of Science and Higher Education [1883/P01/2007/32, IPY/25/2007, 3290/B/P01/2009/36]; Polish-Norwegian Research Fund [PNRF-234-AI-1/07]; NERC</t>
  </si>
  <si>
    <t>Polish Ministry of Science and Higher Education(Ministry of Science and Higher Education, Poland); Polish-Norwegian Research Fund; NERC(UK Research &amp; Innovation (UKRI)Natural Environment Research Council (NERC))</t>
  </si>
  <si>
    <t>We thank Arne Fjellberg for taxonomic examination of Svalbard Collembola samples. This study was supported by the Polish Ministry of Science and Higher Education (Grant Numbers 1883/P01/2007/32, IPY/25/2007, and 3290/B/P01/2009/36), and the Polish-Norwegian Research Fund (PNRF-234-AI-1/07) to KZS and AZ; PC is supported by NERC core funding to the BAS 'Biodiversity, Evolution and Adaptation' Team.</t>
  </si>
  <si>
    <t>2023 APR 26</t>
  </si>
  <si>
    <t>10.1007/s00300-023-03134-8</t>
  </si>
  <si>
    <t>E6RZ8</t>
  </si>
  <si>
    <t>WOS:000976805300002</t>
  </si>
  <si>
    <t>Weston, JNJ; Stewart, ECD; Maroni, PJ; Stewart, HA; Jamieson, AJ</t>
  </si>
  <si>
    <t>Weston, Johanna N. J.; Stewart, Eva C. D.; Maroni, Paige J.; Stewart, Heather A.; Jamieson, Alan J.</t>
  </si>
  <si>
    <t>Eurythenes sigmiferus and Eurythenes andhakarae (Crustacea: Amphipoda) are sympatric at the abyssal Agulhas Fracture Zone, South Atlantic Ocean, and notes on their distributions</t>
  </si>
  <si>
    <t>Amphipoda; Antarctic polar front; Cryptic species; Deep sea; DNA barcoding; Historical collections; New records; Southern ocean</t>
  </si>
  <si>
    <t>ANTARCTIC POLAR FRONT; NECROPHAGOUS AMPHIPOD; SPECIES DELIMITATION; COMMUNITY STRUCTURE; GENUS EURYTHENES; HADAL DEPTHS; DEEP; GRYLLUS; DIVERSITY; LYSIANASSOIDEA</t>
  </si>
  <si>
    <t>Cryptic species in the deep ocean are rapidly being identified with molecular evidence and as a result, new species are being described. Consequently, our understanding of distributions among the revised landscape of species needs to be reassessed. A model example is the large scavenging amphipod, Eurythenes gryllus (Lich-tenstein in Mandt, 1882), which historically was thought to have a eurybathic and cosmopolitan distribution. Molecular evidence has since led to the separation of E. gryllus into ten named species and truncating its range to bi-polar bathyal depths. This study focuses on two species; Eurythenes sigmiferus and Eurythenes andhakarae d'Udekem d'Acoz and Havermans, 2015, and presents new records of both species from 5,493 m in the previ-ously unsampled Agulhas Fracture Zone, South Atlantic Ocean (42.77 degrees S, 10.05 degrees E). We paired morphology with DNA barcoding at two mitochondrial regions to achieve robust identification and assessed their wider geographic range by reassessing historical records. Their overlapping presence at the Agulhas Fracture Zone expands their known ranges to the non-polar South Atlantic Ocean. Specifically, for E. sigmiferus, the data suggests this species has a multi-ocean tropical to temperate distribution from abyssal to shallow hadal depths (3,410-6,097 m). Eurythenes andhakarae is not restricted to the Southern Ocean but is distributed across the Antarctic Polar Front to the temperate South Atlantic Ocean between abyssal and hadal depths (3,069-7,099 m), with a presence at bathyal depths requiring molecular confirmation. This study highlights that pairing new expeditions with a re -inspection of rich historical collections exploration can fill in data gaps across species ranges and, ultimately, biogeography.</t>
  </si>
  <si>
    <t>[Weston, Johanna N. J.] Woods Hole Oceanog Inst, Dept Biol, Woods Hole, MA 02543 USA; [Stewart, Eva C. D.] Nat Hist Museum, Life Sci, Cromwell Rd, London SW7 5BD, England; [Stewart, Eva C. D.] Univ Southampton, Sch Ocean &amp; Earth Sci, Southampton, England; [Maroni, Paige J.; Jamieson, Alan J.] Univ Western Australia, Minderoo UWA Deep Sea Res Ctr, Sch Biol Sci, M090,35 Stirling Highway, Perth, WA 6009, Australia; [Maroni, Paige J.; Jamieson, Alan J.] Univ Western Australia, Oceans Inst, M090,35 Stirling Highway, Perth, WA 6009, Australia; [Stewart, Heather A.] British Geol Survey, Lyell Ctr, Res Ave South, Edinburgh EH14 4AP, Scotland; [Stewart, Heather A.] Heriot Watt Univ, Inst Life &amp; Earth Sci, Sch Energy Geosci Infrastruct &amp; Soc, Edinburgh EH14 4AS, Scotland</t>
  </si>
  <si>
    <t>Woods Hole Oceanographic Institution; Natural History Museum London; University of Southampton; NERC National Oceanography Centre; University of Western Australia; University of Western Australia; UK Research &amp; Innovation (UKRI); Natural Environment Research Council (NERC); NERC British Geological Survey; Heriot Watt University</t>
  </si>
  <si>
    <t>Weston, JNJ (corresponding author), Woods Hole Oceanog Inst, Dept Biol, Woods Hole, MA 02543 USA.</t>
  </si>
  <si>
    <t>johanna.weston@whoi.edu</t>
  </si>
  <si>
    <t>Weston, Johanna NJ/0000-0002-7142-3081; Maroni, Paige/0000-0002-1974-3977; Jamieson, Alan/0000-0001-9835-2909; Stewart, Heather Ann/0000-0002-5590-6972; Stewart, Eva/0000-0001-8383-5705</t>
  </si>
  <si>
    <t>Victor Vescovo of Caladan Oceanic LLC (United States); UK Government [DPLUS093]; Minderoo-UWA Deep-Sea Research Centre - Minderoo Foundation, Australia; Woods Hole Oceanographic Institution, USA</t>
  </si>
  <si>
    <t>Victor Vescovo of Caladan Oceanic LLC (United States); UK Government; Minderoo-UWA Deep-Sea Research Centre - Minderoo Foundation, Australia; Woods Hole Oceanographic Institution, USA</t>
  </si>
  <si>
    <t>Sea time and logistics for the Five Deeps Expedition were supported and funded by Victor Vescovo of Caladan Oceanic LLC (United States) . DNA barcoding was funded by the Hadal Zones of Our Overseas Territories by the Darwin Initiative funded by the UK Government (DPLUS093) awarded to HAS. AJJ and PJM are supported by the Minderoo-UWA Deep-Sea Research Centre funded by the Minderoo Foundation, Australia, and JNJW through the Townsend Postdoctoral Scholarship Fund through the Woods Hole Oceanographic Institution, USA.</t>
  </si>
  <si>
    <t>10.1016/j.dsr.2023.104050</t>
  </si>
  <si>
    <t>I4IL0</t>
  </si>
  <si>
    <t>Green Accepted</t>
  </si>
  <si>
    <t>WOS:001002431900001</t>
  </si>
  <si>
    <t>Beirne, N; Edmundson, S; Gao, S; Freeman, J; Huesemann, M</t>
  </si>
  <si>
    <t>Beirne, Nathan; Edmundson, Scott; Gao, Song; Freeman, Jacob; Huesemann, Michael</t>
  </si>
  <si>
    <t>A streamlined approach to characterize microalgae strains for biomass productivity under dynamic climate simulation conditions</t>
  </si>
  <si>
    <t>ALGAL RESEARCH-BIOMASS BIOFUELS AND BIOPRODUCTS</t>
  </si>
  <si>
    <t>Climate simulation; Photobioreactor; Outdoor raceway pond; DISCOVR; Cold tolerant microalgae; Winter cultivation</t>
  </si>
  <si>
    <t>OUTDOOR POND CULTURES; CHLORELLA-SOROKINIANA; NATIONAL ALLIANCE; ADVANCED BIOFUELS; ALGAE; PHOTOBIOREACTOR; GROWTH; TEMPERATURE; PROGRAM</t>
  </si>
  <si>
    <t>Screening microalgae strains under static light and temperature flask conditions cannot directly quantify the biomass productivities of algae growing in the dynamically fluctuating light and temperature conditions of outdoor ponds. In this effort, we describe a testing pipeline that screens for productivity under climate simulated conditions. A validated, miniaturized Laboratory Environmental Algae Pond Simulator (mini-LEAPS) photo-bioreactor was used to determine optimal medium salinities and biomass productivities of cold-tolerant microalgae collected from Arctic, subarctic, Antarctic, and subalpine habitats. Strains characterized in this effort include: Chlorella antarctica UTEX1959, Chlorella sp. UTEXSNO69, Chloromonas rosae UTEXSNO11, Phaeodactylum tricornutum UTEX646, and Stichococcus minutus CCALA727. Observed productivities of the char-acterized strains ranged from 1.74 +/- 0.25 to 8.18 +/- 0.81 g m(-2) day(-1) (as ash-free dry weight). For each strain, temperature tolerance profile was generated to identify the most appropriate season (s) for cultivation. The two most promising strains, Chlorella sp. UTEX SNO69 and P. tricornutum UTEX646, were tested alongside the DIS-COVR winter benchmark strain Monoraphidium minutum 26B-AM in outdoor open ponds at the PNNL Algae Testbed (PAT) in Arizona. Under cold-season outdoor pond conditions, Chlorella sp. UTEXSNO69 achieved average areal biomass productivities of 8.21 +/- 0.50 g m(-2) day(-1), not significantly different from that of the benchmark strain (8.52 +/- 0.43 g m(-2) day(-1), p &gt; 0.05). Under spring outdoor pond conditions, P. tricornutum UTEX646 achieved average areal biomass productivities 10.34 +/- 0.27 g m(-2) day(-1), not significantly different from that of the benchmark (10.07 +/- 0.50 g m(-2) day(-1)) under the tested conditions (p &gt; 0.05). The streamlined pipeline was thus demonstrated to successfully characterize productive microalgae strains for outdoor deploy-ment by weeding out algae strains that were not productive under the tested dynamic light and temperature conditions.</t>
  </si>
  <si>
    <t>[Beirne, Nathan; Edmundson, Scott; Gao, Song; Freeman, Jacob; Huesemann, Michael] Pacific Northwest Natl Lab, Coastal Sci Div, Sequim, WA 99354 USA</t>
  </si>
  <si>
    <t>United States Department of Energy (DOE); Pacific Northwest National Laboratory</t>
  </si>
  <si>
    <t>Edmundson, S (corresponding author), Pacific Northwest Natl Lab, Coastal Sci Div, Sequim, WA 99354 USA.</t>
  </si>
  <si>
    <t>scott.edmundson@pnnl.gov</t>
  </si>
  <si>
    <t>Edmundson, Scott/0000-0002-4763-6917</t>
  </si>
  <si>
    <t>U.S. Department of Energy (DOE) Office of Energy Efficiency and Renewable Energy (EERE), Bioenergy Technologies Office</t>
  </si>
  <si>
    <t>U.S. Department of Energy (DOE) Office of Energy Efficiency and Renewable Energy (EERE), Bioenergy Technologies Office(United States Department of Energy (DOE))</t>
  </si>
  <si>
    <t>The DISCOVR consortium is sponsored by the U.S. Department of Energy (DOE) Office of Energy Efficiency and Renewable Energy (EERE), Bioenergy Technologies Office. The views and opinions of the authors expressed herein do not necessarily state or reflect those of the U.S. Government or any agency thereof. Neither the U.S. Government nor any agency thereof, nor any of their employees, makes any warranty, expressed or implied, or assumes any legal liability or responsibility for the accuracy, completeness, or usefulness of any information, apparatus, product, or process disclosed, or represents that its use would not infringe privately owned rights.</t>
  </si>
  <si>
    <t>2211-9264</t>
  </si>
  <si>
    <t>ALGAL RES</t>
  </si>
  <si>
    <t>Algal Res.</t>
  </si>
  <si>
    <t>10.1016/j.algal.2023.103099</t>
  </si>
  <si>
    <t>G3XV5</t>
  </si>
  <si>
    <t>WOS:000988534100001</t>
  </si>
  <si>
    <t>Su, D; Miao, JK; Liu, XF; Wang, XX; Yu, Y; Leng, KL; Yu, YQ</t>
  </si>
  <si>
    <t>Su, Dong; Miao, Junkui; Liu, Xiaofang; Wang, Xixi; Yu, Yuan; Leng, Kailiang; Yu, Yueqin</t>
  </si>
  <si>
    <t>Separation and concentration of phospholipids and glycerides from ethanol extraction of krill by hydration and solvent partitioning</t>
  </si>
  <si>
    <t>SEPARATION AND PURIFICATION TECHNOLOGY</t>
  </si>
  <si>
    <t>Antarctic krill; Phospholipids; Glycerides; Liposomes; Phase equilibria</t>
  </si>
  <si>
    <t>POLYUNSATURATED FATTY-ACIDS; ANTARCTIC KRILL; LIPIDS; OIL; ASTAXANTHIN</t>
  </si>
  <si>
    <t>The main components of Antarctic krill oil are glycerides and phospholipids, and the sn-1 and sn-2 positions of the phospholipids are occupied by eicosapentaenoic acid (EPA) and docosahexaenoic acid (DHA), which improves their bioavailability and water solubility. This study aimed to efficiently separate and concentrate glycerides and phospholipids rich in omega-3 unsaturated fatty acids from Antarctic krill with the help of ethanol, water, and n-hexane, utilizing the hydrophilic-lipophilic balance (HLB) differences between products and the phase equilibria between solvents. The extraction ratio, species and contents of phospholipids, glycerides, cholesterol, astaxanthin, fatty acid composition, and smell characteristics changes of the two products were characterized, and the influence of temperature on the experiment was discussed. The optimal solvent ratio wasxH2O : xC2H5OH : xC6H14 = 2: 5: 3 and the ideal hydration temperature was 40 degrees C. Under these conditions, two products were obtained, N-H and E-W, the extraction yield of N-H was 19.6 %, and glycerides was its main component (89.8 %) with rich astaxanthin (292.3 mg/kg); the extraction yield of E-W was 13.2 %, mainly composed of phospholipids (92.4 %), which was also rich in EPA and DHA (37.9 % and 11.9 %, respectively). This study provides a theoretical basis and technical guidance for the development of new products of Antarctic krill.</t>
  </si>
  <si>
    <t>[Su, Dong; Yu, Yueqin] Qingdao Univ Sci &amp; Technol, Coll Chem &amp; Mol Engn, State Key Lab Ecochem Engn, Qingdao 266042, Peoples R China; [Su, Dong; Miao, Junkui; Liu, Xiaofang; Wang, Xixi; Yu, Yuan; Leng, Kailiang] Chinese Acad Fishery Sci, Minist Agr &amp; Rural Affairs, Yellow Sea Fisheries Res Inst, Key Lab Sustainable Dev Polar Fisheries, Qingdao 266071, Peoples R China; [Leng, Kailiang] Pilot Natl Lab Marine Sci &amp; Technol Qingdao, Lab Marine Drugs &amp; Bioprod, 1 Wenhai Rd, Qingdao 266200, Peoples R China</t>
  </si>
  <si>
    <t>Qingdao University of Science &amp; Technology; Ministry of Agriculture &amp; Rural Affairs; Chinese Academy of Fishery Sciences; Yellow Sea Fisheries Research Institute, CAFS; Laoshan Laboratory</t>
  </si>
  <si>
    <t>Yu, YQ (corresponding author), Qingdao Univ Sci &amp; Technol, Coll Chem &amp; Mol Engn, State Key Lab Ecochem Engn, Qingdao 266042, Peoples R China.;Leng, KL (corresponding author), Chinese Acad Fishery Sci, Minist Agr &amp; Rural Affairs, Yellow Sea Fisheries Res Inst, Key Lab Sustainable Dev Polar Fisheries, Qingdao 266071, Peoples R China.;Leng, KL (corresponding author), Pilot Natl Lab Marine Sci &amp; Technol Qingdao, Lab Marine Drugs &amp; Bioprod, 1 Wenhai Rd, Qingdao 266200, Peoples R China.</t>
  </si>
  <si>
    <t>lengkl@ysfri.ac.cn; qustyu@163.com</t>
  </si>
  <si>
    <t>Su, Dong/A-8233-2013</t>
  </si>
  <si>
    <t>Su, Dong/0000-0002-1921-6683</t>
  </si>
  <si>
    <t>National Key Research and Devel- opment Program of China [2022YFC2807500]; National Natural Science Foundation of China [32001770]; Qingdao Post- doctoral Science Foundation [QDBSH20220201053]</t>
  </si>
  <si>
    <t>National Key Research and Devel- opment Program of China; National Natural Science Foundation of China(National Natural Science Foundation of China (NSFC)); Qingdao Post- doctoral Science Foundation</t>
  </si>
  <si>
    <t>This study was supported by the National Key Research and Devel- opment Program of China (2022YFC2807500) , National Natural Science Foundation of China (32001770) , Project funded by Qingdao Post- doctoral Science Foundation (QDBSH20220201053) .</t>
  </si>
  <si>
    <t>1383-5866</t>
  </si>
  <si>
    <t>1873-3794</t>
  </si>
  <si>
    <t>SEP PURIF TECHNOL</t>
  </si>
  <si>
    <t>Sep. Purif. Technol.</t>
  </si>
  <si>
    <t>10.1016/j.seppur.2023.123900</t>
  </si>
  <si>
    <t>Engineering, Chemical</t>
  </si>
  <si>
    <t>Engineering</t>
  </si>
  <si>
    <t>G3DY5</t>
  </si>
  <si>
    <t>WOS:000988015700001</t>
  </si>
  <si>
    <t>Simpkins, G</t>
  </si>
  <si>
    <t>Simpkins, Graham</t>
  </si>
  <si>
    <t>Atmospheric river impacts on sea ice</t>
  </si>
  <si>
    <t>NATURE REVIEWS EARTH &amp; ENVIRONMENT</t>
  </si>
  <si>
    <t>Articles in Nature Climate Change and Geophysical Research Letters explore the impacts of atmospheric rivers on Arctic and Antarctic sea ice variability.</t>
  </si>
  <si>
    <t>graham.simpkins@nature.com</t>
  </si>
  <si>
    <t>SPRINGERNATURE</t>
  </si>
  <si>
    <t>CAMPUS, 4 CRINAN ST, LONDON, N1 9XW, ENGLAND</t>
  </si>
  <si>
    <t>2662-138X</t>
  </si>
  <si>
    <t>NAT REV EARTH ENV</t>
  </si>
  <si>
    <t>Nat. Rev. Earth Environ.</t>
  </si>
  <si>
    <t>10.1038/s43017-023-00434-9</t>
  </si>
  <si>
    <t>Environmental Sciences; Geosciences, Multidisciplinary</t>
  </si>
  <si>
    <t>Environmental Sciences &amp; Ecology; Geology</t>
  </si>
  <si>
    <t>AP3O6</t>
  </si>
  <si>
    <t>WOS:000976551400001</t>
  </si>
  <si>
    <t>Baltar, F; Martínez-Pérez, C; Amano, C; Vial, M; Robaina-Estévez, S; Reinthaler, T; Herndl, GJ; Zhao, ZH; Logares, R; Morales, SE; González, JM</t>
  </si>
  <si>
    <t>Baltar, Federico; Martinez-Perez, Clara; Amano, Chie; Vial, Marion; Robaina-Estevez, Semidan; Reinthaler, Thomas; Herndl, Gerhard J.; Zhao, Zihao; Logares, Ramiro; Morales, Sergio E.; Gonzalez, Jose M.</t>
  </si>
  <si>
    <t>A ubiquitous gammaproteobacterial clade dominates expression of sulfur oxidation genes across the mesopelagic ocean</t>
  </si>
  <si>
    <t>NATURE MICROBIOLOGY</t>
  </si>
  <si>
    <t>IN-SITU HYBRIDIZATION; TARGETED OLIGONUCLEOTIDE PROBES; 16S RIBOSOMAL-RNA; OXIDIZING BACTERIA; ORGANIC-MATTER; EVOLUTION; FLUX</t>
  </si>
  <si>
    <t>The deep ocean (&gt;200 m depth) is the largest habitat on Earth. Recent evidence suggests sulfur oxidation could be a major energy source for deep ocean microbes. However, the global relevance and the identity of the major players in sulfur oxidation in the oxygenated deep-water column remain elusive. Here we combined single-cell genomics, community metagenomics, metatranscriptomics and single-cell activity measurements on samples collected beneath the Ross Ice Shelf in Antarctica to characterize a ubiquitous mixotrophic bacterial group (UBA868) that dominates expression of RuBisCO genes and of key sulfur oxidation genes. Further analyses of the gene libraries from the 'Tara Oceans' and 'Malaspina' expeditions confirmed the ubiquitous distribution and global relevance of this enigmatic group in the expression of sulfur oxidation and dissolved inorganic carbon fixation genes across the global mesopelagic ocean. Our study also underscores the unrecognized importance of mixotrophic microbes in the biogeochemical cycles of the deep ocean. Sampling beneath the Ross Ice Shelf in Antarctica coupled to global sequencing datasets reveals an important but overlooked contributor to deep ocean carbon and sulfur cycles.</t>
  </si>
  <si>
    <t>[Baltar, Federico; Martinez-Perez, Clara; Amano, Chie; Vial, Marion; Reinthaler, Thomas; Herndl, Gerhard J.; Zhao, Zihao] Univ Vienna, Dept Funct &amp; Evolutionary Ecol, Vienna, Austria; [Martinez-Perez, Clara] Eidgenoss TH ETH Zurich, Inst Environm Engn, Dept Civil Environm &amp; Geomat Engn, Zurich, Switzerland; [Robaina-Estevez, Semidan; Gonzalez, Jose M.] Univ La Laguna, Dept Microbiol, San Cristobal la Laguna, Spain; [Herndl, Gerhard J.] Univ Vienna, Vienna Metabol Ctr, Vienna, Austria; [Herndl, Gerhard J.] Univ Utrecht, Royal Netherlands Inst Sea Res, Dept Marine Microbiol &amp; Biogeochem, NIOZ, Den Burg, Netherlands; [Logares, Ramiro] CSIC, Inst Marine Sci ICM, Barcelona, Spain; [Morales, Sergio E.] Univ Otago, Dept Microbiol &amp; Immunol, Dunedin, New Zealand</t>
  </si>
  <si>
    <t>University of Vienna; Universidad de la Laguna; University of Vienna; Utrecht University; Royal Netherlands Institute for Sea Research (NIOZ); Consejo Superior de Investigaciones Cientificas (CSIC); CSIC - Centro Mediterraneo de Investigaciones Marinas y Ambientales (CMIMA); CSIC - Instituto de Ciencias del Mar (ICM); University of Otago</t>
  </si>
  <si>
    <t>Baltar, F (corresponding author), Univ Vienna, Dept Funct &amp; Evolutionary Ecol, Vienna, Austria.;González, JM (corresponding author), Univ La Laguna, Dept Microbiol, San Cristobal la Laguna, Spain.</t>
  </si>
  <si>
    <t>federico.baltar@univie.ac.at; jmglezh@ull.edu.es</t>
  </si>
  <si>
    <t>González, José Miguel/ABE-6657-2020; González, José M./C-3333-2013; Martinez-Perez, Clara/KCK-1663-2024; Morales, Sergio/F-5252-2017; Herndl, Gerhard J./B-1513-2013; Reinthaler, Thomas/E-6563-2013; Zhao, ZiHao/KHT-4413-2024; Zhao, Zihao/HTL-3618-2023; Logares, Ramiro/D-5920-2011; Baltar, Federico/C-3260-2012</t>
  </si>
  <si>
    <t>González, José Miguel/0000-0001-6812-2029; González, José M./0000-0002-9926-3323; Martinez-Perez, Clara/0000-0002-9600-3331; Morales, Sergio/0000-0002-5862-0726; Reinthaler, Thomas/0000-0003-3881-3122; Zhao, Zihao/0000-0001-7497-3276; Logares, Ramiro/0000-0002-8213-0604; Vial, Marion/0000-0002-2290-2000; Amano, Chie/0000-0003-2537-9902; Robaina Estevez, Semidan/0000-0003-0781-1677; Baltar, Federico/0000-0001-8907-1494; Herndl, Gerhard J./0000-0002-2223-2852</t>
  </si>
  <si>
    <t>Victoria University of Wellington Hot Water Drilling Team; Aotearoa New Zealand Ross Ice Shelf Program; Austrian Science Fund (FWF) [P34304-B, TAI534, P35248, P35619-B, P28781-B21, I486-B09]; ERC under the European Community's 7th Framework Programme (FP7/2007-2013)/ERC [268595]; INTERACTOMICS [CTM2015-69936-P]; Spanish Ministry of Science and Innovation, Spanish State Research Agency [PID2019-110011RB-C32]; Austrian Science Fund (FWF) [P34304, P35619, P35248, TAI534] Funding Source: Austrian Science Fund (FWF)</t>
  </si>
  <si>
    <t>Victoria University of Wellington Hot Water Drilling Team; Aotearoa New Zealand Ross Ice Shelf Program; Austrian Science Fund (FWF)(Austrian Science Fund (FWF)); ERC under the European Community's 7th Framework Programme (FP7/2007-2013)/ERC(European Research Council (ERC)); INTERACTOMICS; Spanish Ministry of Science and Innovation, Spanish State Research Agency; Austrian Science Fund (FWF)(Austrian Science Fund (FWF))</t>
  </si>
  <si>
    <t>We thank the Victoria University of Wellington Hot Water Drilling Team led by A. Pyne and D. Mendeno. We also thank L. Montiel and V. Balague from the Institut de Ciencies del Mar (ICM), CSIC, Spain, for extracting RNA, and the CNAG staff for RNA sequencing library preparation and sequencing. Bioinformatics analyses were performed at the LiSC Cluster (University of Vienna), and the MARBITS platform (ICM; http://marbits.icm.csic.es). This research was facilitated by the New Zealand Antarctic Research Institute (NZARI)-funded Aotearoa New Zealand Ross Ice Shelf Program. Samples for MICRO-CARD-FISH were collected on several research cruises led by M. Simon (Sonne 248 cruise), B. Queguiner and I. Obernosterer (MobyDick) and L. J. A. Gerringa (Geotraces-1). F.B. was supported by the Austrian Science Fund (FWF) projects OCEANIDES (P34304-B), ENIGMA (TAI534), EXEBIO (P35248) and OCEANBIOPLAST (P35619-B). G.J.H. was supported by the FWF project ARTEMIS (P28781-B21) and I486-B09 and by the ERC under the European Community's 7th Framework Programme (FP7/2007-2013)/ERC grant agreement no. 268595 (MEDEA project). R.L. was supported by INTERACTOMICS, CTM2015-69936-P, and J.M.G. by project PID2019-110011RB-C32 (Spanish Ministry of Science and Innovation, Spanish State Research Agency, doi: 10.13039/501100011033).</t>
  </si>
  <si>
    <t>2058-5276</t>
  </si>
  <si>
    <t>NAT MICROBIOL</t>
  </si>
  <si>
    <t>NAT. MICROBIOL</t>
  </si>
  <si>
    <t>+</t>
  </si>
  <si>
    <t>10.1038/s41564-023-01374-2</t>
  </si>
  <si>
    <t>Microbiology</t>
  </si>
  <si>
    <t>I1HR8</t>
  </si>
  <si>
    <t>Green Submitted</t>
  </si>
  <si>
    <t>WOS:000974963600001</t>
  </si>
  <si>
    <t>Détrée, C; Navarro, JM; Figueroa, A; Cardenas, L</t>
  </si>
  <si>
    <t>Detree, Camille; Navarro, Jorge M.; Figueroa, Alvaro; Cardenas, Leyla</t>
  </si>
  <si>
    <t>Acclimation of the Antarctic sea urchin Sterechinus neumayeri to warmer temperatures involves a modulation of cellular machinery</t>
  </si>
  <si>
    <t>MARINE ENVIRONMENTAL RESEARCH</t>
  </si>
  <si>
    <t>Antarctic benthos; Ocean warming; Phenotypic plasticity; Capacity for acclimation; Long-term experiment</t>
  </si>
  <si>
    <t>CLIMATE-CHANGE; METABOLISM; ECTOTHERMS; PHYSIOLOGY; TRANSCRIPTOME; EVOLUTION; RESPONSES; PROTEIN; LIMPET</t>
  </si>
  <si>
    <t>Global warming is threatening marine Antarctic fauna, which has evolved in isolation in a cold environment for millions of years. Facing increasing temperatures, marine Antarctic invertebrates can either tolerate or develop adaptations to these changes. On a short timescale, their survival and resistance to warming will be driven by the efficiency of their phenotypic plasticity through their capacity for acclimation. The current study aims at eval-uating the capacity for acclimation of the Antarctic sea urchin Sterechinus neumayeri to predicted ocean warming scenarios (+2, RCP 2.6 and + 4 degrees C, RCP 8.5, IPCC et al., 2019) and deciphering the subcellular mechanisms underlying their acclimation. A combination of transcriptomics, physiological (e.g. growth rate, gonad growth, ingestion rate and oxygen consumption), and behavioral-based approaches were used on individuals incubated at 1, 3 and, 5 degrees C for 22 weeks. Mortality was low at warmer temperatures (20%) and oxygen consumption and ingestion rate seemed to reach a stable state around 16 weeks suggesting that S. neumayeri might be able to acclimate to warmer temperatures (until 5 degrees C). Transcriptomic analyses highlighted adjustments of the cellular machinery with the activation of replication, recombination, and repair processes as well as cell cycle and di-vision and repression of transcriptional and signal transduction mechanisms and defense processes. These results suggest that acclimation to warmer scenarios might require more than 22 weeks for the Antarctic Sea urchins S. neumayeri but that projections of climate change for the end of the century may not strongly affect the pop-ulation of S. neumayeri of this part of the Antarctic.</t>
  </si>
  <si>
    <t>[Detree, Camille; Navarro, Jorge M.; Cardenas, Leyla] Ctr FONDAP Invest Ecosistemas Marinos de Altas La, Valdivia, Chile; [Navarro, Jorge M.] Univ Austral Chile, Fac Ciencias, Inst Ciencias Marinas &amp; Limnol, Valdivia, Chile; [Figueroa, Alvaro; Cardenas, Leyla] Univ Austral Chile, Fac Ciencias, Inst Ciencias Ambientales &amp; Evolut, Valdivia, Chile; [Detree, Camille] Univ Caen Normandie, MNHN, Lab Biol Organismes &amp; Ecosyst Aquat BOREA, SU,UA,CNRS,IRD,CREC Marine Stn, 54 Rue Docteur Charcot, F-14530 Luc Sur Mer, France</t>
  </si>
  <si>
    <t>Universidad Austral de Chile; Universidad Austral de Chile; Centre National de la Recherche Scientifique (CNRS); Universite de Caen Normandie; Institut de Recherche pour le Developpement (IRD); Museum National d'Histoire Naturelle (MNHN)</t>
  </si>
  <si>
    <t>Détrée, C (corresponding author), Univ Caen Normandie, MNHN, Lab Biol Organismes &amp; Ecosyst Aquat BOREA, SU,UA,CNRS,IRD,CREC Marine Stn, 54 Rue Docteur Charcot, F-14530 Luc Sur Mer, France.</t>
  </si>
  <si>
    <t>camille.detree@unicaen.fr</t>
  </si>
  <si>
    <t>Center FONDAP- IDEAL [15150003]; CONICYT-Chile; Instituto Antartico Chileno (INACh) [RG_33_19]</t>
  </si>
  <si>
    <t>Center FONDAP- IDEAL; CONICYT-Chile(Comision Nacional de Investigacion Cientifica y Tecnologica (CONICYT)); Instituto Antartico Chileno (INACh)</t>
  </si>
  <si>
    <t>Funding was provided by both the Center FONDAP- IDEAL #15150003 awarded by CONICYT-Chile and the Gabinete project RG_33_19 awarded by the Instituto Antartico Chileno (INACh). Authors want to thank INACh for their logistic support as well as Paulina Bruning, Ignacio Garrido, Kurt Paschke and Luis Vargas for the collection, maintenance and transport of sea urchins from Bahia Fildes to Punta Arenas.</t>
  </si>
  <si>
    <t>ELSEVIER SCI LTD</t>
  </si>
  <si>
    <t>THE BOULEVARD, LANGFORD LANE, KIDLINGTON, OXFORD OX5 1GB, OXON, ENGLAND</t>
  </si>
  <si>
    <t>0141-1136</t>
  </si>
  <si>
    <t>1879-0291</t>
  </si>
  <si>
    <t>MAR ENVIRON RES</t>
  </si>
  <si>
    <t>Mar. Environ. Res.</t>
  </si>
  <si>
    <t>10.1016/j.marenvres.2023.105979</t>
  </si>
  <si>
    <t>Environmental Sciences; Marine &amp; Freshwater Biology; Toxicology</t>
  </si>
  <si>
    <t>Environmental Sciences &amp; Ecology; Marine &amp; Freshwater Biology; Toxicology</t>
  </si>
  <si>
    <t>G4RC4</t>
  </si>
  <si>
    <t>WOS:000989035600001</t>
  </si>
  <si>
    <t>Armston-Sheret, E</t>
  </si>
  <si>
    <t>Armston-Sheret, Edward</t>
  </si>
  <si>
    <t>Diversifying the historical geography of exploration: Subaltern body work on British-led expeditions c.1850-1914</t>
  </si>
  <si>
    <t>JOURNAL OF HISTORICAL GEOGRAPHY</t>
  </si>
  <si>
    <t>Exploration; The body; Labour; Racism; History of geography</t>
  </si>
  <si>
    <t>BODIES; KNOWLEDGE; HIMALAYA; BLACK; SCOTT</t>
  </si>
  <si>
    <t>Knowledge production on Victorian and Edwardian expeditions depended on the embodied labour of subaltern individuals. Explorers frequently mention such work in their accounts, but they also manage their dependence on others through a variety of rhetorical techniques. I show that focusing on body work can foreground the contributions of subaltern individuals to the history of British geographical exploration. I do so through a critical reading of the published and private accounts of explorers as well as their visual sources. In focusing on these labour practices, this paper offers a new perspective on the historical geographies of exploration, attentive to subaltern contributions. More broadly, the paper encourages geographers to reflect on the embodied and caring labour on which geographical research depends and the devaluation of certain bodies and their labour. These issues are examined through new readings of three otherwise familiar case studies: Richard Burton and John Hanning Speke's Nile expeditions (1856 -59 and 1860-63); Isabella Bird Bishop's travels in the Middle East, Japan, China, and Lesser Tibet (1878 -1896); and Captain Scott's two Antarctic expeditions (1901-04 and 1911-13). Crown Copyright (c) 2023 Published by Elsevier Ltd. This is an open access article under the CC BY license (http://creativecommons.org/licenses/by/4.0/).</t>
  </si>
  <si>
    <t>[Armston-Sheret, Edward] Univ London, Inst Hist Res, London, England</t>
  </si>
  <si>
    <t>University of London</t>
  </si>
  <si>
    <t>Armston-Sheret, E (corresponding author), Univ London, Inst Hist Res, London, England.</t>
  </si>
  <si>
    <t>edward.armstonsheret@sas.ac.uk</t>
  </si>
  <si>
    <t>Armston-Sheret, Edward/0000-0001-6927-9060</t>
  </si>
  <si>
    <t>Alan Pearsall Fellowship in Naval and Maritime History at the Institute of Historical Research; Arts and Humanities Research Council [AH/L503940/1]; Huntington Library; Royal Historical Society; American Geographical Society Library Fellowship; RHS Adam Matthew Digital Collection Subscription</t>
  </si>
  <si>
    <t>Alan Pearsall Fellowship in Naval and Maritime History at the Institute of Historical Research; Arts and Humanities Research Council(UK Research &amp; Innovation (UKRI)Arts &amp; Humanities Research Council (AHRC)); Huntington Library; Royal Historical Society; American Geographical Society Library Fellowship; RHS Adam Matthew Digital Collection Subscription</t>
  </si>
  <si>
    <t>The research on which this paper draws was made possible through a variety of grants and fellowships: the Alan Pearsall Fellowship in Naval and Maritime History at the Institute of His- torical Research, The Arts and Humanities Research Council via the Techne doctoral training partnership (Grant number: AH/L503940/1) , the Huntington Library (via the AHRC International Placement Scheme) , the Royal Historical Society, The American Geographical Society Library Fellowship, and the RHS Adam Matthew Digital Collection Subscription. I would like to thank Peter Martin, Innes Keighren, Martin Sheret, Susan J. Smith, and Klaus Dodds for reading earlier versions of this manuscript, Dane Kennedy and Felix Driver for their feed- back on the thesis on which this paper is based, and Stephen Legg and the anonymous reviewers at the Journal of Historical Geography for suggestions and critiques that substantially improved this paper.</t>
  </si>
  <si>
    <t>ACADEMIC PRESS LTD- ELSEVIER SCIENCE LTD</t>
  </si>
  <si>
    <t>24-28 OVAL RD, LONDON NW1 7DX, ENGLAND</t>
  </si>
  <si>
    <t>0305-7488</t>
  </si>
  <si>
    <t>1095-8614</t>
  </si>
  <si>
    <t>J HIST GEOGR</t>
  </si>
  <si>
    <t>J. Hist. Geogr.</t>
  </si>
  <si>
    <t>APR</t>
  </si>
  <si>
    <t>10.1016/j.jhg.2023.02.004</t>
  </si>
  <si>
    <t>Geography; History Of Social Sciences</t>
  </si>
  <si>
    <t>Social Science Citation Index (SSCI)</t>
  </si>
  <si>
    <t>Geography; Social Sciences - Other Topics</t>
  </si>
  <si>
    <t>G4QZ4</t>
  </si>
  <si>
    <t>WOS:000989032600001</t>
  </si>
  <si>
    <t>Mejía-Molina, A; Flores, JA; Guerrero, J</t>
  </si>
  <si>
    <t>Mejia-Molina, Alejandra; Flores, Jose-Abel; Guerrero, Javier</t>
  </si>
  <si>
    <t>Latest Oligocene to middle Miocene low-latitude calcareous nannofossil biostratigraphy and paleoenvironmental interpretations of stratigraphic well 4, Sinu-San Jacinto onshore basin, northwest Colombia</t>
  </si>
  <si>
    <t>JOURNAL OF SOUTH AMERICAN EARTH SCIENCES</t>
  </si>
  <si>
    <t>Calcareous nannofossils; Biostratigraphy and paleoenvironment; Paleogene; Neogene; Sinu; San Jacinto; Colombia</t>
  </si>
  <si>
    <t>ANTARCTIC GLACIATION; SOUTH-AMERICA; ATLANTIC; NANNOPLANKTON; PALEOGENE; CLIMATE; OCEAN; SEA; BIOCHRONOLOGY; PACIFIC</t>
  </si>
  <si>
    <t>Calcareous nannofossils are one of the main fossil groups used in the petroleum industry to determine the relative age and correlation of lithofacies identified in gas and oil wells. A limited number of biostratigraphic zonation schemes based on nanoplankton and paleoceanographic reconstructions have been suggested to onshore Colombian Caribbean. Most of them are compiled in several publications for the northern Colombian units (Mejia-Molina et al., 2008, 2010). In this study, a medium to high-resolution biostratigraphy study was carried out on one of the best-known Neogene sedimentary successions in the Sinu-San Jacinto onshore Basin, where the Stratigraphic Well 4 (SW4) was drilled by Ecopetrol, the Colombian state-run oil company. The nannoplankton biostratigraphic zonation proposed here constitutes the first calcareous nanoplankton research to construct a biochronologic scheme for the Neogene of northern Colombia, which has direct applications for oil exploration, global energy matrix and the transition to clean energy in the onshore areas of the Sinu-San Jacinto domain. The section studied has a thickness of similar to 269 m and comprises mainly a very thick succession of claystone and mudstone with occasional intercalations of silty sandstones corresponding to the El Carmen Formation. The studied interval is assigned to the nannofossils Zones NP25 (CP19) to NN4 (CN3) of Martini (1971) and Okada and Bukry (1980), spanning from the latest Oligocene (latest Chattian) to middle Miocene (early Langhian), approximately 24 Ma to 15 Ma. Intervals without fossil content were identified in the record and could constitute hiatuses, but the nannofloral events, which define the limits of the biozones, can be identified. Global and regional climatic changes which occurred in the Caribbean region at those times are reflected in important changes in the fossil assemblages and abundance pattern of nanoplankton. These could indicate variability in environmental conditions linked to temperature and increased nutrients within the nannofossil communities in this part of the San Jacinto folded belt (SJFB), northwest Colombia. Middle Miocene Climate Optimum (MMCO) episodes of blooming intervals of Sphenolithus were identified, accompanied with a drastic reduction in total nannofossil abundance and CaCO3 content. Since the Caribbean geology is framed in a very complex scenario, the data acquired and presented in this research has a potential application to improve the current stratigraphy in the area, targeted to hydrocarbon exploration and studies related to the global energy matrix and the transition to clean energy. It also strengthens the paleoceanographic reconstructions based on these organisms at low latitudes.</t>
  </si>
  <si>
    <t>[Mejia-Molina, Alejandra; Flores, Jose-Abel] Univ Salamanca, Fac Ciencias, Dept Geol Grp Geociencias Ocean GGO, Salamanca 37008, Spain; [Mejia-Molina, Alejandra] Univ Pamplona, Fac Ciencias Bas, Programa Geol, Norte Santander Colombia, Autopista Int Via Alamos Villa Antigua,Villa Rosar, Norte De Santander, Colombia; [Guerrero, Javier] Univ Nacl Colombia, Dept Geociencias, Sede Bogota Carrera 30 N 45-03, Bogota, Colombia</t>
  </si>
  <si>
    <t>University of Salamanca; Universidad Nacional de Colombia</t>
  </si>
  <si>
    <t>Mejía-Molina, A (corresponding author), Univ Salamanca, Fac Ciencias, Dept Geol Grp Geociencias Ocean GGO, Salamanca 37008, Spain.</t>
  </si>
  <si>
    <t>alejandra@usal.es; flores@usal.es; jguerrerod@unal.edu.co</t>
  </si>
  <si>
    <t>[001 de 2007]</t>
  </si>
  <si>
    <t>Funding (Convenio de cooperaci'on tecnol'ogica USAL-ECOPETROL (001 de 2007) .</t>
  </si>
  <si>
    <t>0895-9811</t>
  </si>
  <si>
    <t>1873-0647</t>
  </si>
  <si>
    <t>J S AM EARTH SCI</t>
  </si>
  <si>
    <t>J. South Am. Earth Sci.</t>
  </si>
  <si>
    <t>10.1016/j.jsames.2023.104333</t>
  </si>
  <si>
    <t>G3DH2</t>
  </si>
  <si>
    <t>WOS:000987998400001</t>
  </si>
  <si>
    <t>Roberts, LC; Molini, U; Coetzee, LM; Khaiseb, S; Roux, JP; Kemper, J; Roberts, DG; Ludynia, K; Doherr, M; Abernethy, D; Franzo, G</t>
  </si>
  <si>
    <t>Roberts, Laura C.; Molini, Umberto; Coetzee, Lauren M.; Khaiseb, Siegfried; Roux, Jean-Paul; Kemper, Jessica; Roberts, David G.; Ludynia, Katrin; Doherr, Marcus; Abernethy, Darrell; Franzo, Giovanni</t>
  </si>
  <si>
    <t>Is Penguin Circovirus Circulating Only in the Antarctic Circle? Lack of Viral Detection in Namibia</t>
  </si>
  <si>
    <t>ANIMALS</t>
  </si>
  <si>
    <t>penguin circovirus (PenCV); Namibia; penguin; molecular epidemiology</t>
  </si>
  <si>
    <t>PIGEON CIRCOVIRUS</t>
  </si>
  <si>
    <t>The known host range of circoviruses is continuously expanding because of more intensive diagnostic activities and advanced sequencing tools. Recently, a new circovirus (penguin circovirus (PenCV)) was identified in the guano and cloacal samples collected from Adelie penguins (Pygoscelis adeliae) and chinstrap penguins (Pygoscelis antarcticus) in Antarctica. Although the virus was detected in several asymptomatic subjects, a potential association with feather disease was speculated. To investigate the occurrence and implications of PenCV in other penguin species located outside of Antarctica, a broad survey was undertaken in African penguins (Spheniscus demersus) on two islands off the southern Namibian coast. For this purpose, specific molecular biology assays were developed and validated. None of the 151 blood samples tested positive for PenCV. Several reasons could explain the lack of PenCV positive samples. African penguins and Pygoscelis species are separated by approximately 6000 km, so there is almost no opportunity for transmission. Similarly, host susceptibility to PenCV might be penguin genus-specific. Overall, the present study found no evidence of PenCV in African penguin colonies in Namibia. Further dedicated studies are required to assess the relevance of PenCV among different penguin species.</t>
  </si>
  <si>
    <t>[Roberts, Laura C.] Univ Pretoria, Fac Vet Sci, Dept Prod Anim Studies, ZA-0110 Pretoria, South Africa; [Roberts, Laura C.; Abernethy, Darrell] Univ Pretoria, Fac Vet Sci, Ctr Vet Wildlife Res, ZA-0110 Pretoria, South Africa; [Molini, Umberto] Univ Namibia, Fac Hlth Sci &amp; Vet Med, Sch Vet Med, Neudamm Campus, Windhoek, Namibia; [Molini, Umberto; Coetzee, Lauren M.; Khaiseb, Siegfried] Cent Vet Lab CVL, 24 Goethe St, Windhoek 18137, Namibia; [Roux, Jean-Paul; Kemper, Jessica] African Penguin Conservat Project, Luderitz 23016, Namibia; [Roberts, David G.; Ludynia, Katrin] Southern African Fdn Conservat Coastal Birds SANCC, ZA-7441 Cape Town, South Africa; [Ludynia, Katrin] Univ Western Cape, Dept Biodivers &amp; Conservat Biol, ZA-7535 Bellville, South Africa; [Doherr, Marcus] Univ Freie, Inst Vet Epidemiol &amp; Biostat, Dept Vet Med, Konigsweg 67, D-14163 Berlin, Germany; [Abernethy, Darrell] Aberystwyth Univ, Aberystwyth Sch Vet Sci, Dept Life Sci, Aberystwyth SY23 3DA, Wales; [Franzo, Giovanni] Univ Padua, Dept Anim Med Prod &amp; Hlth, I-35020 Padua, Italy</t>
  </si>
  <si>
    <t>University of Pretoria; University of Pretoria; University of Namibia; University of the Western Cape; Aberystwyth University; University of Padua</t>
  </si>
  <si>
    <t>Franzo, G (corresponding author), Univ Padua, Dept Anim Med Prod &amp; Hlth, I-35020 Padua, Italy.</t>
  </si>
  <si>
    <t>giovanni.franzo@unipd.it</t>
  </si>
  <si>
    <t>Abernethy, Darrell/0000-0002-7391-1898; Ludynia, Katrin/0000-0002-0353-1929; Roberts, Laura Christl/0000-0003-0065-1906; Franzo, Giovanni/0000-0003-2991-217X; Roberts, David/0000-0002-9047-6250; Doherr, Marcus/0000-0003-0064-1708; Molini, Umberto/0000-0003-4146-4015</t>
  </si>
  <si>
    <t>MeerWissen-African-German Partners for Ocean Knowledge Initiative [19.2036.2-002.00]; National Geographic Society [NGS-61610C-19]; IAEA Peaceful Uses Initiative (PUI) VETLAB Network</t>
  </si>
  <si>
    <t>MeerWissen-African-German Partners for Ocean Knowledge Initiative; National Geographic Society(National Geographic Society); IAEA Peaceful Uses Initiative (PUI) VETLAB Network</t>
  </si>
  <si>
    <t>This work has been supported by funding from the MeerWissen-African-German Partners for Ocean Knowledge Initiative (Marine Conservation Support Project number 19.2036.2-002.00), the National Geographic Society (Project Number NGS-61610C-19), and the IAEA Peaceful Uses Initiative (PUI) VETLAB Network.</t>
  </si>
  <si>
    <t>2076-2615</t>
  </si>
  <si>
    <t>ANIMALS-BASEL</t>
  </si>
  <si>
    <t>Animals</t>
  </si>
  <si>
    <t>APR 24</t>
  </si>
  <si>
    <t>10.3390/ani13091449</t>
  </si>
  <si>
    <t>Agriculture, Dairy &amp; Animal Science; Veterinary Sciences; Zoology</t>
  </si>
  <si>
    <t>Agriculture; Veterinary Sciences; Zoology</t>
  </si>
  <si>
    <t>G1OO4</t>
  </si>
  <si>
    <t>WOS:000986935900001</t>
  </si>
  <si>
    <t>Martin, KC; Buizert, C; Edwards, JS; Kalk, ML; Riddell-Young, B; Brook, EJ; Beaudette, R; Severinghaus, JP; Sowers, TA</t>
  </si>
  <si>
    <t>Martin, Kaden C.; Buizert, Christo; Edwards, Jon S.; Kalk, Michael L.; Riddell-Young, Ben; Brook, Edward J.; Beaudette, Ross; Severinghaus, Jeffrey P.; Sowers, Todd A.</t>
  </si>
  <si>
    <t>Bipolar impact and phasing of Heinrich-type climate variability</t>
  </si>
  <si>
    <t>NATURE</t>
  </si>
  <si>
    <t>DEEP ICE CORE; MERIDIONAL OVERTURNING CIRCULATION; ANTARCTIC ICE; VOLCANIC SYNCHRONIZATION; GREENLAND TEMPERATURE; CHRONOLOGY AICC2012; WD2014 CHRONOLOGY; OCEAN CIRCULATION; TRAPPED AIR; LAST</t>
  </si>
  <si>
    <t>During the last ice age, the Laurentide Ice Sheet exhibited extreme iceberg discharge events that are recorded in North Atlantic sediments(1). These Heinrich events have far-reaching climate impacts, including widespread disruptions to hydrological and biogeochemical cycles(2-4). They occurred during Heinrich stadials-cold periods with strongly weakened Atlantic overturning circulation(5-7). Heinrich-type variability is not distinctive in Greenland water isotope ratios, a well-dated site temperature proxy(8), complicating efforts to assess their regional climate impact and phasing against Antarctic climate change. Here we show that Heinrich events have no detectable temperature impact on Greenland and cooling occurs at the onset of several Heinrich stadials, and that both types of Heinrich variability have a distinct imprint on Antarctic climate. Antarctic ice cores show accelerated warming that is synchronous with increases in methane during Heinrich events, suggesting an atmospheric teleconnection(9), despite the absence of a Greenland climate signal. Greenland ice-core nitrogen stable isotope ratios, a sensitive temperature proxy, indicate an abrupt cooling of about three degrees Celsius at the onset of Heinrich Stadial 1 (17.8 thousand years before present, where present is defined as 1950). Antarctic warming lags this cooling by 133 +/- 93 years, consistent with an oceanic teleconnection. Paradoxically, proximal sites are less affected by Heinrich events than remote sites, suggesting spatially complex event dynamics.</t>
  </si>
  <si>
    <t>[Martin, Kaden C.; Buizert, Christo; Edwards, Jon S.; Kalk, Michael L.; Riddell-Young, Ben; Brook, Edward J.] Oregon State Univ, Coll Earth Ocean &amp; Atmospher Sci, Corvallis, OR 97331 USA; [Beaudette, Ross; Severinghaus, Jeffrey P.] Univ Calif San Diego, Scripps Inst Oceanog, San Diego, CA USA; [Sowers, Todd A.] Penn State Univ, Dept Geosci, State Coll, PA USA</t>
  </si>
  <si>
    <t>Oregon State University; University of California System; University of California San Diego; Scripps Institution of Oceanography; Pennsylvania Commonwealth System of Higher Education (PCSHE); Pennsylvania State University</t>
  </si>
  <si>
    <t>Martin, KC (corresponding author), Oregon State Univ, Coll Earth Ocean &amp; Atmospher Sci, Corvallis, OR 97331 USA.</t>
  </si>
  <si>
    <t>martkade@oregonstate.edu</t>
  </si>
  <si>
    <t>Martin, Kaden/0000-0003-2162-8668</t>
  </si>
  <si>
    <t>US National Science Foundation [1702920]; NSF [2102944]; Global Climate Change Foundation [GCCF24]; Gary Comer Science and Education Foundation [CP116]</t>
  </si>
  <si>
    <t>US National Science Foundation(National Science Foundation (NSF)); NSF(National Science Foundation (NSF)); Global Climate Change Foundation; Gary Comer Science and Education Foundation</t>
  </si>
  <si>
    <t>The work was supported financially by the US National Science Foundation grant 1702920 to C.B. and E.J.B.; NSF grant 2102944 to C.B.; the Global Climate Change Foundation (GCCF24, to C.B.) and the Gary Comer Science and Education Foundation (CP116, to J.P.S.). We thank the NSF ice-core facility (ICF) for their curation and assistance in preparation of ice-core samples.</t>
  </si>
  <si>
    <t>0028-0836</t>
  </si>
  <si>
    <t>1476-4687</t>
  </si>
  <si>
    <t>Nature</t>
  </si>
  <si>
    <t>MAY 4</t>
  </si>
  <si>
    <t>s41586-023-05875-2</t>
  </si>
  <si>
    <t>10.1038/s41586-023-05875-2</t>
  </si>
  <si>
    <t>W4XJ0</t>
  </si>
  <si>
    <t>WOS:000978095300003</t>
  </si>
  <si>
    <t>Liu, HH; Zhang, SC; Mu, YT; Zhu, YG</t>
  </si>
  <si>
    <t>Liu, Honghong; Zhang, Shucheng; Mu, Yongtong; Zhu, Yugui</t>
  </si>
  <si>
    <t>Topology and evolution of international trade network for fish and fish products</t>
  </si>
  <si>
    <t>FRONTIERS IN SUSTAINABLE FOOD SYSTEMS</t>
  </si>
  <si>
    <t>complex network; globalization; fish trade; network connectivity; network topology; trade balance</t>
  </si>
  <si>
    <t>In this study, a complex network method was employed to quantify the changing role of countries in fish trade and the dynamic characteristics of fish globalization. Based on the United Nations Comtrade Database, the International Trade Network for Fish and Fish Products (ITN-Fish) was constructed as a series of weighted-directed networks for each year from 1990 to 2018. Almost all countries and territories worldwide have participated in the fish trade. In 2018, the network identified 229 fish traders. The share of developing countries in imports and exports has increased. Traders actively establish new trade relations, which improve network connectivity. However, these relations only account for a small part of the fish trade. The high connectivity allows risks to spread rapidly in the world through hubs such as the United States and China, which raises concerns about the robustness of these weak links in the Sino-US trade conflict and the outbreak of COVID-19. However, we have optimistic expectations on this issue. The dynamic of network topology property shows that the globalization of fish trade flourished between 1990 and 2018. Although, due to the financial crisis and its subsequent impact, the total amount of fish trade declined in 2009 and 2015, the network structure was not seriously affected, and the trend of topology property remained unchanged. Based on the construction of the international trade network, its node attribute, and its structural attribute, fish trade maintains the trend of globalization. Countries should actively adhere to trade globalization to promote the development of the fish trade.</t>
  </si>
  <si>
    <t>[Liu, Honghong; Mu, Yongtong; Zhu, Yugui] Ocean Univ China, Fisheries Coll, Key Lab Mariculture, Minist Educ, Qingdao, Peoples R China; [Zhang, Shucheng] Qingdao Hisense TransTech Co Ltd, Qingdao, Peoples R China; [Zhu, Yugui] Southern Marine Sci &amp; Engn Guangdong Lab, Guangzhou, Peoples R China</t>
  </si>
  <si>
    <t>Ocean University of China; Hisense; Southern Marine Science &amp; Engineering Guangdong Laboratory; Southern Marine Science &amp; Engineering Guangdong Laboratory (Guangzhou)</t>
  </si>
  <si>
    <t>Zhu, YG (corresponding author), Ocean Univ China, Fisheries Coll, Key Lab Mariculture, Minist Educ, Qingdao, Peoples R China.;Zhu, YG (corresponding author), Southern Marine Sci &amp; Engn Guangdong Lab, Guangzhou, Peoples R China.</t>
  </si>
  <si>
    <t>zhuyugui@ouc.edu.cn</t>
  </si>
  <si>
    <t>sun, yuan/KBD-3926-2024; zhao, wenqing/KEZ-9488-2024; chen, wang/KGK-5932-2024; Yang, han/KFS-2671-2024</t>
  </si>
  <si>
    <t>Chinese Arctic and Antarctic Program [JDB20210211]; Key Special Project for Introduced Talents Team of Southern Marine Science and Engineering Guangdong Laboratory (Guangzhou) [GML2019ZD0402]</t>
  </si>
  <si>
    <t>Chinese Arctic and Antarctic Program; Key Special Project for Introduced Talents Team of Southern Marine Science and Engineering Guangdong Laboratory (Guangzhou)</t>
  </si>
  <si>
    <t>This study was supported by the Chinese Arctic and Antarctic Program (JDB20210211) and the Key Special Project for Introduced Talents Team of Southern Marine Science and Engineering Guangdong Laboratory (Guangzhou) (GML2019ZD0402).</t>
  </si>
  <si>
    <t>2571-581X</t>
  </si>
  <si>
    <t>FRONT SUSTAIN FOOD S</t>
  </si>
  <si>
    <t>Front. Sustain. Food Syst.</t>
  </si>
  <si>
    <t>10.3389/fsufs.2023.1134687</t>
  </si>
  <si>
    <t>Food Science &amp; Technology</t>
  </si>
  <si>
    <t>F5IT3</t>
  </si>
  <si>
    <t>WOS:000982688800001</t>
  </si>
  <si>
    <t>Bigg, GR; Marsh, R</t>
  </si>
  <si>
    <t>Bigg, Grant R.; Marsh, Robert</t>
  </si>
  <si>
    <t>The history of a cluster of large icebergs on leaving the Weddell Sea pack ice and their impact on the ocean</t>
  </si>
  <si>
    <t>ANTARCTIC SCIENCE</t>
  </si>
  <si>
    <t>divergence; iceberg-island interaction; icebergs; ocean fertilization; ocean salinity; South Atlantic</t>
  </si>
  <si>
    <t>INTERACTIVE ICEBERGS; ANTARCTIC ICEBERGS; DRIFTING ICEBERGS; RADAR; PRODUCTIVITY; EVOLUTION; SIZE; FLUX</t>
  </si>
  <si>
    <t>The life history and oceanic impact of three very large icebergs that escaped together from the Weddell Sea sea ice, near the tip of the Antarctic Peninsula, are traced from March 2014. Despite the initial proximity of these three icebergs, they followed very different trajectories across the South Atlantic until their eventual break-up and melting 1 year later. The largest, giant iceberg, B17a, spent extensive periods grounded near two different islands. The triplet's gradual melting is examined through the impact on the icebergs' dimensions, but also the meltwater's oceanic influence on the local salinity and primary productivity. It is found that there was generally a significant local surface and mixed-layer freshening of a few tenths of a practical salinity unit, up to several hundred kilometres away from the 10-20 km-sized icebergs. In contrast, the chlorophyll impact was highly temporally variable, although it tended to be larger in the summer. Break-up of these large icebergs did not occur until near the end of their life. We also show that modelling the trajectories of individual very large icebergs can be reasonable for up to 2 weeks if the characteristics of the iceberg and the local ocean and atmospheric forcing are well known.</t>
  </si>
  <si>
    <t>[Bigg, Grant R.] Univ Sheffield, Dept Geog, Sheffield S10 2TN, England; [Marsh, Robert] Univ Southampton, Sch Ocean &amp; Earth Sci, European Way, Southampton SO14 3ZH, England</t>
  </si>
  <si>
    <t>University of Sheffield; University of Southampton; NERC National Oceanography Centre</t>
  </si>
  <si>
    <t>Bigg, GR (corresponding author), Univ Sheffield, Dept Geog, Sheffield S10 2TN, England.</t>
  </si>
  <si>
    <t>grant.bigg@sheffield.ac.uk</t>
  </si>
  <si>
    <t>Bigg, Grant/0000-0002-1910-0349</t>
  </si>
  <si>
    <t>32 AVENUE OF THE AMERICAS, NEW YORK, NY 10013-2473 USA</t>
  </si>
  <si>
    <t>0954-1020</t>
  </si>
  <si>
    <t>1365-2079</t>
  </si>
  <si>
    <t>ANTARCT SCI</t>
  </si>
  <si>
    <t>Antarct. Sci.</t>
  </si>
  <si>
    <t>PII S0954102022000517</t>
  </si>
  <si>
    <t>10.1017/S0954102022000517</t>
  </si>
  <si>
    <t>Environmental Sciences; Geography, Physical; Geosciences, Multidisciplinary</t>
  </si>
  <si>
    <t>Environmental Sciences &amp; Ecology; Physical Geography; Geology</t>
  </si>
  <si>
    <t>O2II9</t>
  </si>
  <si>
    <t>WOS:000973847700001</t>
  </si>
  <si>
    <t>de Lemos, EA; da Silva, MBF; Coelho, FS; Jurelevicius, D; Seldin, L</t>
  </si>
  <si>
    <t>de Lemos, Ericka Arregue; da Silva, Mariana Barbalho F.; Coelho, Felipe Soares; Jurelevicius, Diogo; Seldin, Lucy</t>
  </si>
  <si>
    <t>The role and potential biotechnological applications of biosurfactants and bioemulsifiers produced by psychrophilic/psychrotolerant bacteria</t>
  </si>
  <si>
    <t>Biosurfactant; Bioemulsifier; Cold adaptation; Psychrophilic bacteria; Psychrotolerant bacteria; Bioremediation</t>
  </si>
  <si>
    <t>EXTRACELLULAR POLYMERIC SUBSTANCES; HEAVY-METAL; ANTARCTIC BACTERIA; ECOLOGICAL ROLES; FILDES PENINSULA; ARDLEY ISLAND; CASEY STATION; EXOPOLYSACCHARIDE; BIODEGRADATION; BIOREMEDIATION</t>
  </si>
  <si>
    <t>The biosphere is subjected to low temperatures in both aquatic and terrestrial environments. Psychrophilic and psychrotolerant bacteria that colonize cold environments, such as Antarctica and Arctic continents, are able to survive in inhospitable conditions. This is attributed to some cold adaptations developed by these microorganisms over the years, such as the synthesis of carotenoid pigments, modification of membrane structure and production of biosurfactants (BS) and/or bioemulsifiers (BE). BS and BE are bioproducts produced by microorganisms that are less toxic than chemically synthesized surfactants. The physical and chemical properties of these substances make them applicable in different areas, such as bioremediation of contaminated areas, microbial enhanced oil recovery, pharmaceutical, cosmetics and food industries. Additionally, studies about BS and BE produced by psychrophiles and psychrotolerants are still very recent in relation to the studies carried out with mesophilic microorganisms and their products. This review aims to compile information on the mechanisms of adaptation of microorganisms in cold environments with a focus on the production of BS and BE and their potential biotechnological applications.</t>
  </si>
  <si>
    <t>[de Lemos, Ericka Arregue; da Silva, Mariana Barbalho F.; Coelho, Felipe Soares; Jurelevicius, Diogo; Seldin, Lucy] Univ Fed Rio Janeiro, Ctr Ciencias Saude, Lab Genet Microbiana, Inst Microbiol Paulo Goes,Dept Microbiol Geral, Bloco I, BR-21941590 Rio De Janeiro, Brazil</t>
  </si>
  <si>
    <t>Seldin, L (corresponding author), Univ Fed Rio Janeiro, Ctr Ciencias Saude, Lab Genet Microbiana, Inst Microbiol Paulo Goes,Dept Microbiol Geral, Bloco I, BR-21941590 Rio De Janeiro, Brazil.</t>
  </si>
  <si>
    <t>lseldin@micro.ufrj.br</t>
  </si>
  <si>
    <t>Conselho Nacional de Desenvolvimento Cientifico e Tecnologico (CNPq); Coordenacao de Aperfeicoamento de Pessoal de Nivel Superior (CAPES) [001]; Fundacao de Amparo a Pesquisa do Estado do Rio de Janeiro (FAPERJ)</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</si>
  <si>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do Rio de Janeiro (FAPERJ)(Fundacao Carlos Chagas Filho de Amparo a Pesquisa do Estado do Rio De Janeiro (FAPERJ))</t>
  </si>
  <si>
    <t>This study was supported by grants from Conselho Nacional de Desenvolvimento Cientifico e Tecnologico (CNPq), Coordenacao de Aperfeicoamento de Pessoal de Nivel Superior (CAPES, financial code 001) and Fundacao de Amparo a Pesquisa do Estado do Rio de Janeiro (FAPERJ).</t>
  </si>
  <si>
    <t>10.1007/s00300-023-03139-3</t>
  </si>
  <si>
    <t>WOS:000974971700001</t>
  </si>
  <si>
    <t>Bertoglio, F; Piccini, C; Urrutia, R; Antoniades, D</t>
  </si>
  <si>
    <t>Bertoglio, Florencia; Piccini, Claudia; Urrutia, Roberto; Antoniades, Dermot</t>
  </si>
  <si>
    <t>Seasonal shifts in microbial diversity in the lakes of Fildes Peninsula, King George Island, Maritime Antarctica</t>
  </si>
  <si>
    <t>bacterioplankton; DNA; ecology; HPLC; limnology; phytoplankton</t>
  </si>
  <si>
    <t>BYERS PENINSULA; TROPHIC STATUS; ICE-COVER; PHYTOPLANKTON; COMMUNITIES; ASSEMBLAGES; ECOSYSTEMS</t>
  </si>
  <si>
    <t>Fildes Peninsula, on King George Island, has been greatly influenced by recent rapid climate warming. Lakes are pervasive features of Fildes Peninsula landscapes, some of which are used as water sources for Antarctic stations. We studied seven Fildes Peninsula lakes to explore differences among lakes and between seasons in phytoplankton and bacterioplankton communities. We measured environmental variables, analysed pigments using high-performance liquid chromatography and examined bacterial DNA through high-throughput sequencing of the 16S rRNA gene. The main driver structuring microbial communities was the season (i.e. spring vs autumn). Chlorophyceae were the dominant phytoplankton group in all lakes and both seasons. Indicator bacteria for each season were identified, including Flavobacterium, Polaromonas and Oxalobacteraceae as indicators of spring conditions under thick ice, whereas Frankiales and Verrucomicrobia were indicator species of autumn following the ice-free summer. The indicator species for spring are generally observed in oligotrophic conditions, whereas many of the autumn indicators are commonly found in soils. There were lesser between-lake differences in microbial communities in autumn, at the end of the open-water period, than in spring at the end of the ice-covered period. This study will act as the basis for future assessments of changes in aquatic microbial communities.</t>
  </si>
  <si>
    <t>[Bertoglio, Florencia; Antoniades, Dermot] Univ Laval, Dept Geog, Quebec City, PQ G1V 0A6, Canada; [Bertoglio, Florencia; Antoniades, Dermot] Univ Laval, Ctr Northern Studies CEN, Quebec City, PQ G1V 0A6, Canada; [Bertoglio, Florencia; Piccini, Claudia] Inst Invest Biol Clemente Estable IIBCE, Lab Ecol Microbiana Acuat, Ave Italia 3318, Montevideo 11600, Uruguay; [Urrutia, Roberto] Univ Concepcion, Fac Ciencias Ambientales, Ctr EULA Chile, Barrio Univ S N, Concepcion, Chile</t>
  </si>
  <si>
    <t>Laval University; Laval University; Instituto de Investigaciones Biologicas Clemente Estable Uruguay; Universidad de Concepcion</t>
  </si>
  <si>
    <t>Bertoglio, F (corresponding author), Univ Laval, Dept Geog, Quebec City, PQ G1V 0A6, Canada.;Bertoglio, F (corresponding author), Univ Laval, Ctr Northern Studies CEN, Quebec City, PQ G1V 0A6, Canada.;Bertoglio, F (corresponding author), Inst Invest Biol Clemente Estable IIBCE, Lab Ecol Microbiana Acuat, Ave Italia 3318, Montevideo 11600, Uruguay.</t>
  </si>
  <si>
    <t>florencia.bertoglio-baque.1@ulaval.ca</t>
  </si>
  <si>
    <t>Bertoglio, Florencia/0000-0003-2023-8940; Antoniades, Dermot/0000-0001-6629-4839; Piccini, Claudia/0000-0002-2762-1953</t>
  </si>
  <si>
    <t>PII S0954102023000068</t>
  </si>
  <si>
    <t>10.1017/S0954102023000068</t>
  </si>
  <si>
    <t>G1JI0</t>
  </si>
  <si>
    <t>WOS:000973846800001</t>
  </si>
  <si>
    <t>Dithugoe, CD; Bezuidt, OKI; Cavan, EL; Froneman, WP; Thomalla, SJ; Makhalanyane, TP</t>
  </si>
  <si>
    <t>Dithugoe, Choaro D. D.; Bezuidt, Oliver K. I.; Cavan, Emma L. L.; Froneman, William P. P.; Thomalla, Sandy J. J.; Makhalanyane, Thulani P. P.</t>
  </si>
  <si>
    <t>Bacteria and Archaea Regulate Particulate Organic Matter Export in Suspended and Sinking Marine Particle Fractions</t>
  </si>
  <si>
    <t>MSPHERE</t>
  </si>
  <si>
    <t>Southern Ocean; carbon export; functional capacity; marine fractions; Marine Snow Catcher; metagenomics; particulate organic matter; prokaryotes</t>
  </si>
  <si>
    <t>FREE-LIVING BACTERIAL; CARBON EXPORT; ABC TRANSPORTERS; OCEAN; WATER; SEA; SEQUESTRATION; RECALCITRANT; DIVERSITY; DYNAMICS</t>
  </si>
  <si>
    <t>The biological carbon pump is crucial for the export of particulate organic matter in the ocean. Recent studies on marine microbes have shown the profound influence of bacteria and archaea as regulators of particulate organic matter export. The biological carbon pump (BCP) in the Southern Ocean is driven by phytoplankton productivity and is a significant organic matter sink. However, the role of particle-attached (PA) and free-living (FL) prokaryotes (bacteria and archaea) and their diversity in influencing the efficiency of the BCP is still unclear. To investigate this, we analyzed the metagenomes linked to suspended and sinking marine particles from the Sub-Antarctic Southern Ocean Time Series (SOTS) by deploying a Marine Snow Catcher (MSC), obtaining suspended and sinking particulate material, determining organic carbon and nitrogen flux, and constructing metagenome-assembled genomes (MAGs). The suspended and sinking particle-pools were dominated by bacteria with the potential to degrade organic carbon. Bacterial communities associated with the sinking fraction had more genes related to the degradation of complex organic carbon than those in the suspended fraction. Archaea had the potential to drive nitrogen metabolism via nitrite and ammonia oxidation, altering organic nitrogen concentration. The data revealed several pathways for chemoautotrophy and the secretion of recalcitrant dissolved organic carbon (RDOC) from CO2, with bacteria and archaea potentially sequestering particulate organic matter (POM) via the production of RDOC. These findings provide insights into the diversity and function of prokaryotes in suspended and sinking particles and their role in organic carbon/nitrogen export in the Southern Ocean.IMPORTANCE The biological carbon pump is crucial for the export of particulate organic matter in the ocean. Recent studies on marine microbes have shown the profound influence of bacteria and archaea as regulators of particulate organic matter export. Yet, despite the importance of the Southern Ocean as a carbon sink, we lack comparable insights regarding microbial contributions. This study provides the first insights regarding prokaryotic contributions to particulate organic matter export in the Southern Ocean. We reveal evidence that prokaryotic communities in suspended and sinking particle fractions harbor widespread genomic potential for mediating particulate organic matter export. The results substantially enhance our understanding of the role played by microorganisms in regulating particulate organic matter export in suspended and sinking marine fractions in the Southern Ocean.</t>
  </si>
  <si>
    <t>[Dithugoe, Choaro D. D.; Thomalla, Sandy J. J.] Council Sci &amp; Ind Res CSIR, Southern Ocean Carbon Climate Observ SOCCO, Cape Town, South Africa; [Dithugoe, Choaro D. D.; Froneman, William P. P.] Rhodes Univ RU, SARChI Chair Marine Ecosyst &amp; Resources, Dept Entomol &amp; Zool, Makhanda, Eastern Cape, South Africa; [Dithugoe, Choaro D. D.; Bezuidt, Oliver K. I.; Makhalanyane, Thulani P. P.] Univ Pretoria UP, SARChI Chair Marine Microbiom MicrobiomeUP, Dept Biochem Genet &amp; Microbiol, Pretoria, South Africa; [Cavan, Emma L. L.] Imperial Coll London, Silwood Pk, Ascot, Berks, England</t>
  </si>
  <si>
    <t>Imperial College London</t>
  </si>
  <si>
    <t>Thomalla, SJ (corresponding author), Council Sci &amp; Ind Res CSIR, Southern Ocean Carbon Climate Observ SOCCO, Cape Town, South Africa.;Makhalanyane, TP (corresponding author), Univ Pretoria UP, SARChI Chair Marine Microbiom MicrobiomeUP, Dept Biochem Genet &amp; Microbiol, Pretoria, South Africa.</t>
  </si>
  <si>
    <t>sandy.thomalla@gmail.com; thulani.makhalanyane@up.ac.za</t>
  </si>
  <si>
    <t>Makhalanyane, Thulani P./C-6815-2012</t>
  </si>
  <si>
    <t>Makhalanyane, Thulani P./0000-0002-8173-1678; Dithugoe, Choaro David/0000-0003-2540-7758</t>
  </si>
  <si>
    <t>Technology Innovation Agency (TIA); CSIR's Southern Ocean and Carbon Climate Observatory (SOCCO) Program - Department of Science and Innovation [DST/CON 0182/2017]; CSIR's Parliamentary Grant; National Research Foundation (NRF) [110729, 110717, 129225, 136491, 148867]</t>
  </si>
  <si>
    <t>Technology Innovation Agency (TIA); CSIR's Southern Ocean and Carbon Climate Observatory (SOCCO) Program - Department of Science and Innovation; CSIR's Parliamentary Grant; National Research Foundation (NRF)</t>
  </si>
  <si>
    <t>We thank Australia's Integrated Marine Observing System (IMOS), which is enabled by the National Collaborative Research Infrastructure Strategy (NCRIS). We also acknowledge Philip Boyd (Institute for Marine and Antarctic Studies, University of Tasmania), Thomas Trull (CSIRO, Tasmania, Australia), and Mathew Bressac (Institute for Marine and Antarctic Studies, University of Tasmania) for organizing the sampling of the MSC. In addition, we acknowledge Laique Djeutchouang, Natasha Van Horsten, and Thomas Ryan-Keogh for assistance with Python scripts. We acknowledge the Technology Innovation Agency for supporting the sequencing costs. We thank the Centre for High Performance Computing (Cape Town, South Africa) and the Centre for Bioinformatics and Computational Biology, University of Pretoria, for providing computational resources. We thank the Technology Innovation Agency (TIA) for supporting this project.The research voyage was operated by a consortium of institutions as an unincorporated joint venture, with the University of Tasmania as Lead Agent. The MSC sampling at SOTS was made possible by support to Philip Boyd (Institute for Marine and Antarctic Studies, University of Tasmania), Thomas Trull (CSIRO, Tasmania, Australia), and Mathew Bressac (Institute for Marine and Antarctic Studies, University of Tasmania) using the RV Investigator IN2019_V02 (GIpr08) research ship. This work was supported through the CSIR's Southern Ocean and Carbon Climate Observatory (SOCCO) Program (http://socco.org.za/) funded by the Department of Science and Innovation (DST/CON 0182/2017) and the CSIR's Parliamentary Grant, together with National Research Foundation (NRF) UID ID 110729, 110717, 129225, 136491, and 148867. These funding bodies were responsible for funding the design of the study, data collection, analysis, and interpretation and supported the authors through the manuscript preparation.</t>
  </si>
  <si>
    <t>AMER SOC MICROBIOLOGY</t>
  </si>
  <si>
    <t>1752 N ST NW, WASHINGTON, DC 20036-2904 USA</t>
  </si>
  <si>
    <t>2379-5042</t>
  </si>
  <si>
    <t>mSphere</t>
  </si>
  <si>
    <t>JUN 22</t>
  </si>
  <si>
    <t>10.1128/msphere.00420-22</t>
  </si>
  <si>
    <t>J4LJ2</t>
  </si>
  <si>
    <t>WOS:000974617200001</t>
  </si>
  <si>
    <t>Nel, W; Hedding, DW; Rudolph, EM</t>
  </si>
  <si>
    <t>Nel, Werner; Hedding, David W. W.; Rudolph, Elizabeth M. M.</t>
  </si>
  <si>
    <t>The sub-Antarctic islands are increasingly warming in the 21st century</t>
  </si>
  <si>
    <t>air temperature; climate change; ecosystem change; global warming; sub-Antarctic; tipping point</t>
  </si>
  <si>
    <t>SOUTHERN-OCEAN</t>
  </si>
  <si>
    <t>[Nel, Werner] Univ Ft Hare, Dept Geog &amp; Environm Sci, 1 King Williamstown Rd, ZA-5700 Alice, South Africa; [Hedding, David W. W.] Univ South Africa, Dept Geog, Pioneer Ave, ZA-1710 Florida, South Africa; [Rudolph, Elizabeth M. M.] Univ Free State, Dept Geog, Afromontane Res Unit, 205 Nelson Mandela Ave, ZA-9300 Bloemfontein, South Africa</t>
  </si>
  <si>
    <t>University of Fort Hare; University of South Africa; University of the Free State</t>
  </si>
  <si>
    <t>Nel, W (corresponding author), Univ Ft Hare, Dept Geog &amp; Environm Sci, 1 King Williamstown Rd, ZA-5700 Alice, South Africa.</t>
  </si>
  <si>
    <t>wnel@ufh.ac.za</t>
  </si>
  <si>
    <t>Rudolph, Elizabeth M./0000-0002-3823-3278; Nel, Werner/0000-0002-3769-4937</t>
  </si>
  <si>
    <t>PII S0954102023000056</t>
  </si>
  <si>
    <t>10.1017/S0954102023000056</t>
  </si>
  <si>
    <t>WOS:000972916100001</t>
  </si>
  <si>
    <t>Li, WY; Wu, YT; Hu, XM</t>
  </si>
  <si>
    <t>Li, Wenyi; Wu, Yuting; Hu, Xiaoming</t>
  </si>
  <si>
    <t>The Processes-Based Attributes of Four Major Surface Melting Events over the Antarctic Ross Ice Shelf</t>
  </si>
  <si>
    <t>Ross Ice Shelf (RIS); surface melting; warm and humid air advection; downward longwave radiation; Climate Feedback-Response Analysis Method (CFRAM)</t>
  </si>
  <si>
    <t>INDIVIDUAL FEEDBACK PROCESSES; MICROWAVE RADIOMETERS; CLIMATE; VARIABILITY; FRAMEWORK; IMPACTS; RECORD</t>
  </si>
  <si>
    <t>The Ross-Amundsen sector is experiencing an accelerating warming trend and a more intensive advective influx of marine air streams. As a result, massive surface melting events of the ice shelf are occurring more frequently, which puts the West Antarctica Ice Sheet at greater risk of degradation. This study shows the connection between surface melting and the prominent intrusion of warm and humid air flows from lower latitudes. By applying the Climate Feedback-Response Analysis Method (CFRAM), the temporal surge of the downward longwave (LW) fluxes over the surface of the Ross Ice Shelf (RIS) and adjacent regions are identified for four historically massive RIS surface melting events. The melting events are decomposed to identify which physical mechanisms are the main contributors. We found that intrusions of warm and humid airflow from lower latitudes are conducive to warm air temperature and water vapor anomalies, as well as cloud development. These changes exert a combined impact on the abnormal enhancement of the downward LW surface radiative fluxes, significantly contributing to surface warming and the resultant massive melting of ice.</t>
  </si>
  <si>
    <t>[Li, Wenyi; Hu, Xiaoming] Sun Yat Sen Univ, Sch Atmospher Sci, Zhuhai 519000, Peoples R China; [Li, Wenyi; Hu, Xiaoming] Southern Marine Sci &amp; Engn Guangdong Lab Zhuhai, Zhuhai 519000, Peoples R China; [Li, Wenyi] Chinese Acad Sci, Inst Atmospher Phys, Beijing 100000, Peoples R China; [Wu, Yuting] Peking Univ, Chongqing Res Inst Big Data, Chongqing 400000, Peoples R China; [Hu, Xiaoming] Sun Yat Sen Univ, Guangdong Prov Key Lab Climate Change &amp; Nat Disast, Zhuhai 519000, Peoples R China</t>
  </si>
  <si>
    <t>Sun Yat Sen University; Southern Marine Science &amp; Engineering Guangdong Laboratory; Southern Marine Science &amp; Engineering Guangdong Laboratory (Zhuhai); Chinese Academy of Sciences; Institute of Atmospheric Physics, CAS; Peking University; Sun Yat Sen University</t>
  </si>
  <si>
    <t>Hu, XM (corresponding author), Sun Yat Sen Univ, Sch Atmospher Sci, Zhuhai 519000, Peoples R China.;Hu, XM (corresponding author), Southern Marine Sci &amp; Engn Guangdong Lab Zhuhai, Zhuhai 519000, Peoples R China.;Hu, XM (corresponding author), Sun Yat Sen Univ, Guangdong Prov Key Lab Climate Change &amp; Nat Disast, Zhuhai 519000, Peoples R China.</t>
  </si>
  <si>
    <t>huxm6@mail.sysu.edu.cn</t>
  </si>
  <si>
    <t>Wu, Yuting/CAH-1016-2022</t>
  </si>
  <si>
    <t>Wu, Yuting/0000-0002-7550-3804</t>
  </si>
  <si>
    <t>National Natural Science Foundation of China [42075028, 42222502]; Southern Marine Science and Engineering Guangdong Laboratory (Zhuhai) [SML2021SP302]</t>
  </si>
  <si>
    <t>National Natural Science Foundation of China(National Natural Science Foundation of China (NSFC)); Southern Marine Science and Engineering Guangdong Laboratory (Zhuhai)</t>
  </si>
  <si>
    <t>AcknowledgementsThe authors are grateful for the insightful comments from the editor and two anonymous reviewers that helped to greatly improve the paper. This study was supported by the National Natural Science Foundation of China (Grant Nos. 42075028 and 42222502) and the Southern Marine Science and Engineering Guangdong Laboratory (Zhuhai) (Grant SML2021SP302).</t>
  </si>
  <si>
    <t>10.1007/s00376-023-2287-3</t>
  </si>
  <si>
    <t>L4VO3</t>
  </si>
  <si>
    <t>WOS:000973042700002</t>
  </si>
  <si>
    <t>Orekhova, NA; Konovalov, SK; Polukhin, AA; Seliverstova, AM</t>
  </si>
  <si>
    <t>Orekhova, Natalia A.; Konovalov, Sergey K.; Polukhin, Alexander A.; Seliverstova, Anna M.</t>
  </si>
  <si>
    <t>Oxygen and pCO2 in the Surface Waters of the Atlantic Southern Ocean in 2021-2022</t>
  </si>
  <si>
    <t>dissolved oxygen; pCO(2); Weddell Sea; Scotia Sea; Bransfield Strait; Southern Ocean</t>
  </si>
  <si>
    <t>BRANSFIELD STRAIT; WEDDELL SEA; CARBON; TEMPERATURE; ANTARCTICA; ECOSYSTEM; CYCLE; PART</t>
  </si>
  <si>
    <t>The carbon dioxide concentration in the atmosphere has progressively risen since pre-industrial times. About one-third of the anthropogenically generated CO2 is absorbed by the waters of the World Ocean, whereas the waters of the Southern Ocean take up about 40% of this CO2. The concentrations of oxygen and carbon dioxide dissolved in seawater are sensitive to climate changes, transferring anthropogenic pressures with consequences for the biogeochemical cycles in the World Ocean. The Southern Ocean is a key region for the exchange of oxygen and carbon between the surface water and the atmosphere and for their transfer with cold water masses to the deep layers of the Ocean. In this paper, we discuss the dynamics of the carbon dioxide partial pressure (pCO(2)) and dissolved oxygen (O-2) in the surface waters of the Atlantic Southern Ocean based on data collected during the 87th cruise of the R/V Academik Mstislav Keldysh. The study area includes the Bransfield Strait, Antarctic Sound, the Powell Basin, the Weddell, and Scotia Seas. We have analyzed the spatial distribution of pCO(2) and oxygen for the areas of transformation of water masses and changes in biogeochemical processes. In the zone of Scotia and Weddell Seas, we have observed an increase in pCO(2) and a decrease in oxygen concentrations at the transect from the Weddell Sea at 56 degrees W to the Powell Basin. From the Antarctic Sound to the Bransfield Strait, a decrease in oxygen saturation and an increase in pCO(2) has been traced. The surface waters of the Bransfield Strait have revealed the greatest variability of hydrochemical characteristics due to a complex structure of currents and intrusions of different water masses. In general, this area has been characterized by the maximum pCO(2), while the surface waters are undersaturated with oxygen. The variability of the AOU/Delta pCO(2) (w-a) ratio has revealed a pCO(2) oversaturation and an O-2 undersaturation in the waters of the Bransfield Strait. It is evidence of active organic carbon decomposition as the major controlling process. Yet, photosynthesis is the major biogeochemical process in the studied areas of the Weddell and Scotia seas, and their waters have been undersaturated with pCO(2) and oversaturated with O-2. As it comes from the analysis of the distribution and correlation coefficients of AOU and the sea-air gradient of pCO(2) with other physical and biogeochemical properties, the predominance of the biotic processes to the dynamics of O-2 and pCO(2) in the surface water layer has been demonstrated for the studied areas. Yet, there is evidence of additional sources of CO2 not associated with the production and destruction processes of organic matter.</t>
  </si>
  <si>
    <t>[Orekhova, Natalia A.; Konovalov, Sergey K.] Russian Acad Sci FRC MHI, Marine Hydrophys Inst, Sevastopol 299011, Russia; [Polukhin, Alexander A.; Seliverstova, Anna M.] Russian Acad Sci IO RAS, Shirshov Inst Oceanol, Moscow 117997, Russia</t>
  </si>
  <si>
    <t>Marine Hydrophysical Institute of RAS; Russian Academy of Sciences; Shirshov Institute of Oceanology</t>
  </si>
  <si>
    <t>Orekhova, NA (corresponding author), Russian Acad Sci FRC MHI, Marine Hydrophys Inst, Sevastopol 299011, Russia.</t>
  </si>
  <si>
    <t>natalia.orekhova@mhi-ras.ru</t>
  </si>
  <si>
    <t>Orekhova, Natalia/HCH-2002-2022; Polukhin, Alexander A/S-2879-2016; Konovalov, Sergey/F-9047-2014</t>
  </si>
  <si>
    <t>Orekhova, Natalia/0000-0002-1387-970X; Polukhin, Alexander A/0000-0003-1708-1428; Seliverstova, Anna/0009-0006-1489-8933; Konovalov, Sergey/0000-0002-5200-8448</t>
  </si>
  <si>
    <t>state assignments of FRC MHI [FNNN-2022-0001, FNNN-2022-0002]; state agreement of Shirshov Institute of Oceanology [FMWE-2021-0007]</t>
  </si>
  <si>
    <t>state assignments of FRC MHI; state agreement of Shirshov Institute of Oceanology</t>
  </si>
  <si>
    <t>This research was funded by the state assignments of FRC MHI # FNNN-2022-0001 Complex oceanological studies of abiotic factors of the ecosystem in the Atlantic Antarctic and # FNNN-2022-0002 Monitoring of the carbonate system, CO2 content and its fluxes in the marine environment of the Black and Azov Seas; the state agreement of Shirshov Institute of Oceanology FMWE-2021-0007.</t>
  </si>
  <si>
    <t>APR 23</t>
  </si>
  <si>
    <t>10.3390/w15091642</t>
  </si>
  <si>
    <t>G2YP7</t>
  </si>
  <si>
    <t>WOS:000987876900001</t>
  </si>
  <si>
    <t>Kebukawa, Y; Mathurin, J; Dartois, E; Dazzi, A; Deniset-Besseau, A; Duprat, J; Remusat, L; Noguchi, T; Miyake, A; Igami, Y; Paoletti, MV; Zolensky, ME; Engrand, C; Sandt, C; Borondics, F; Yamashita, S; Wakabayashi, D; Takeichi, Y; Takahashi, Y</t>
  </si>
  <si>
    <t>Kebukawa, Yoko; Mathurin, Jeremie; Dartois, Emmanuel; Dazzi, Alexandre; Deniset-Besseau, Ariane; Duprat, Jean; Remusat, Laurent; Noguchi, Takaaki; Miyake, Akira; Igami, Yohei; Paoletti, Maximilien Verdier; Zolensky, Michael E.; Engrand, Cecile; Sandt, Christophe; Borondics, Ferenc; Yamashita, Shohei; Wakabayashi, Daisuke; Takeichi, Yasuo; Takahashi, Yoshio</t>
  </si>
  <si>
    <t>Complex mixture of organic matter in a xenolithic clast from the Zag meteorite revealed by coordinated analyses using AFM-IR, NanoSIMS and STXM/XANES</t>
  </si>
  <si>
    <t>ICARUS</t>
  </si>
  <si>
    <t>Meteorite; Chondrite; Asteroid; Organic matter</t>
  </si>
  <si>
    <t>ULTRACARBONACEOUS ANTARCTIC MICROMETEORITES; FISCHER-TROPSCH CATALYSIS; SOLAR-SYSTEM; AQUEOUS ALTERATION; CARBONACEOUS CHONDRITE; RICH MICROMETEORITES; SHOCK METAMORPHISM; ZODIACAL CLOUD; TAGISH LAKE; MINERALOGY</t>
  </si>
  <si>
    <t>Primitive carbonaceous xenolithic clasts found in sturdy metamorphosed meteorites often provide opportunities to reach labile volatile-rich materials which are easily destroyed during atmospheric entry and materials which we do not have sampled as individual meteorites. Among them, a xenolithic carbonaceous clast in the Zag H3-6 ordinary chondrite has been providing us with the opportunity to analyze a possible sample from D/P-type asteroids. Here we performed a new suite of coordinated analyses of organic matter in the Zag clast using the atomic force microscope infrared spectroscopy (AFM-IR) combined with nanoscale secondary ion mass spectrometer (NanoSIMS), X-ray absorption near-edge spectroscopy (XANES) coupled with scanning transmission Xray macroscope (STXM), Raman, and (scanning) transmission electron microscopy [(S)TEM] on adjacent ultramicrotomed thin sections from a single sample grain. We successfully demonstrated the practicality of coordinated analyses using AFM-IR, Raman and NanoSIMS on the same sample area, as well as STXM/XANES on adjacent (and nearly identical) thin sections to those used for AFM-IR. The AFM-IR map and STXM maps provided consistent and complementary results. We found that at least two types of organics were closely mixed in this specimen. One was deuterium-rich, C--O rich organics with likely smaller aromatic domains, possibly originating in relatively oxidized environments from D-rich precursors. The other type was less deuterium-rich, but aromatic-rich organics, possibly produced in relatively reduced and higher temperature environments with less deuterium-rich precursors. These characteristics point to complex mixtures of materials with different origins and sampling a wide heliocentric range of the Solar System before accretion in the parent body of the clast.</t>
  </si>
  <si>
    <t>[Kebukawa, Yoko] Yokohama Natl Univ, Dept Chem &amp; Life Sci, 79-5 Tokiwadai, Hodogaya Ku, Yokohama 2408501, Japan; [Mathurin, Jeremie; Engrand, Cecile] Univ Paris Saclay, CNRS, IN2P3, IJCLab, F-91405 Orsay, France; [Dartois, Emmanuel] Univ Paris Saclay, CNRS, UMR 8214, Inst Sci Mol Orsay, F-91405 Orsay, France; [Dazzi, Alexandre; Deniset-Besseau, Ariane] Univ Paris Saclay, CNRS, UMR 8000, Inst Chim Phys, F-91405 Orsay, France; [Duprat, Jean; Remusat, Laurent; Paoletti, Maximilien Verdier] Sorbonne Univ, CNRS, UMR 7590, Museum Natl dHistoire Naturelle,Inst Mineral Phys, 57 Rue Cuvier, F-75005 Paris, France; [Noguchi, Takaaki; Miyake, Akira; Igami, Yohei] Kyoto Univ, Div Earth &amp; Planetary Sci, Kitashirakawaoiwake-Cho, Sakyo Ku, Kyoto 6068502, Japan; [Zolensky, Michael E.] NASA, Johnson Space Ctr, Astromat Res &amp; Explorat Sci, 2101 NASA Pkwy, Houston, TX 77058 USA; [Sandt, Christophe; Borondics, Ferenc] Synchrotron SOLEIL, LOrme Merisiers, St Aubin BP48, F-91192 Gif Sur Yvette, France; [Yamashita, Shohei; Wakabayashi, Daisuke; Takeichi, Yasuo] High Energy Accelerator Res Org, Inst Mat Struct Sci, 1-1 Oho, Tsukuba, Ibaraki 3050801, Japan; [Takahashi, Yoshio] Univ Tokyo, Dept Earth &amp; Planetary Sci, Bunkyo Ku, Tokyo 1130033, Japan; [Takeichi, Yasuo] Osaka Univ, Dept Appl Phys, 2-1 Yamadaoka, Suita, Osaka 5650871, Japan</t>
  </si>
  <si>
    <t>Yokohama National University; Universite Paris Saclay; Centre National de la Recherche Scientifique (CNRS); CNRS - National Institute of Nuclear and Particle Physics (IN2P3); Universite Paris Cite; Centre National de la Recherche Scientifique (CNRS); CNRS - Institute of Physics (INP); Universite Paris Cite; Universite Paris Saclay; Universite Paris Cite; Universite Paris Saclay; Centre National de la Recherche Scientifique (CNRS); CNRS - Institute of Chemistry (INC); Sorbonne Universite; Universite Paris Cite; Museum National d'Histoire Naturelle (MNHN); Centre National de la Recherche Scientifique (CNRS); CNRS - Institute of Physics (INP); Kyoto University; National Aeronautics &amp; Space Administration (NASA); NASA Johnson Space Center; SOLEIL Synchrotron; High Energy Accelerator Research Organization (KEK); University of Tokyo; Osaka University</t>
  </si>
  <si>
    <t>Kebukawa, Y (corresponding author), Yokohama Natl Univ, Dept Chem &amp; Life Sci, 79-5 Tokiwadai, Hodogaya Ku, Yokohama 2408501, Japan.</t>
  </si>
  <si>
    <t>kebukawa@ynu.ac.jp</t>
  </si>
  <si>
    <t>Noguchi, Takaaki/IWV-1123-2023; Takeichi, Yasuo/KBQ-3565-2024</t>
  </si>
  <si>
    <t>Noguchi, Takaaki/0000-0001-7211-2595; Takeichi, Yasuo/0000-0003-3334-0274; Remusat, Laurent/0009-0008-6423-6254; Wakabayashi, Daisuke/0000-0002-2623-5735</t>
  </si>
  <si>
    <t>Japan Society for the Promotion of Science (JSPS) KAKENHI [JP17H06458, JP19H05073]; JSPS KAKENHI [19H00725, 19KK0094]; NASA Emerging Worlds Program; Region Ile de France; DIM-ACAV + project C3E; European Research Council; ERC [819587]; CNRS, Region Ile de France; Ministere de legue a~l'Enseignement Superieur et a la Recherche; Museum National d'Histoire Naturelle; CNES; ANR [COMETOR ANR-18-CE31-0011]; European Research Council (ERC) [819587] Funding Source: European Research Council (ERC)</t>
  </si>
  <si>
    <t>Japan Society for the Promotion of Science (JSPS) KAKENHI(Ministry of Education, Culture, Sports, Science and Technology, Japan (MEXT)Japan Society for the Promotion of ScienceGrants-in-Aid for Scientific Research (KAKENHI)); JSPS KAKENHI(Ministry of Education, Culture, Sports, Science and Technology, Japan (MEXT)Japan Society for the Promotion of ScienceGrants-in-Aid for Scientific Research (KAKENHI)); NASA Emerging Worlds Program; Region Ile de France(Region Ile-de-France); DIM-ACAV + project C3E; European Research Council(European Research Council (ERC)); ERC(European Research Council (ERC)); CNRS, Region Ile de France(Region Ile-de-France); Ministere de legue a~l'Enseignement Superieur et a la Recherche; Museum National d'Histoire Naturelle; CNES(Centre National D'etudes Spatiales); ANR(Agence Nationale de la Recherche (ANR)); European Research Council (ERC)(European Research Council (ERC)Spanish Government)</t>
  </si>
  <si>
    <t>Y.K. was supported by Japan Society for the Promotion of Science (JSPS) KAKENHI (grant number JP17H06458 and JP19H05073). We thank travel support from the Core2disk program at Universite Paris Saclay. T.N. was supported by JSPS KAKENHI Grant Numbers 19H00725 and 19KK0094. M.Z. was supported by the NASA Emerging Worlds Program. J.D. thanks the Region Ile de France for funding via the DIM-ACAV+ project C3E. L.R. thanks the European Research Council for funding via the ERC project HYDROMA (grant agreement No. 819587). The NanoSIMS facility in Paris was established by funds from the CNRS, Region Ile de France, Ministere de legue a l'Enseignement Superieur et a la Recherche, and the Museum National d'Histoire Naturelle. We acknowledge SOLEIL for provision of synchrotron radiation facilities in using beamline SMIS. The AFM-IR studies were funded by CNES (MIAMI2) and ANR (COMETOR ANR-18-CE31-0011). We thank Richard Norton for donating the Zag clast to us. We are grateful to Markus Patzek and an anonymous reviewer for fruitful comments.</t>
  </si>
  <si>
    <t>ACADEMIC PRESS INC ELSEVIER SCIENCE</t>
  </si>
  <si>
    <t>SAN DIEGO</t>
  </si>
  <si>
    <t>525 B ST, STE 1900, SAN DIEGO, CA 92101-4495 USA</t>
  </si>
  <si>
    <t>0019-1035</t>
  </si>
  <si>
    <t>1090-2643</t>
  </si>
  <si>
    <t>Icarus</t>
  </si>
  <si>
    <t>10.1016/j.icarus.2023.115582</t>
  </si>
  <si>
    <t>G6DF9</t>
  </si>
  <si>
    <t>WOS:000990034000001</t>
  </si>
  <si>
    <t>King, J; Anchukaitis, KJ; Allen, K; Vance, T; Hessl, A</t>
  </si>
  <si>
    <t>King, Jonathan; Anchukaitis, Kevin J.; Allen, Kathryn; Vance, Tessa; Hessl, Amy</t>
  </si>
  <si>
    <t>Trends and variability in the Southern Annular Mode over the Common Era</t>
  </si>
  <si>
    <t>NATURE COMMUNICATIONS</t>
  </si>
  <si>
    <t>SEA-LEVEL PRESSURE; DATA ASSIMILATION; LAST MILLENNIUM; CLIMATE VARIABILITY; PART I; RECONSTRUCTIONS; ICE; SAM; SIMULATIONS; CIRCULATION</t>
  </si>
  <si>
    <t>This study uses data assimilation to reconstruct the Southern Annular Mode over the last 2000 years. The authors find that the mode's history reflects natural climate variability, except for the most-recent positive trend The Southern Annular Mode (SAM) is the leading mode of atmospheric variability in the extratropical Southern Hemisphere and has wide ranging effects on ecosystems and societies. Despite the SAM's importance, paleoclimate reconstructions disagree on its variability and trends over the Common Era, which may be linked to variability in SAM teleconnections and the influence of specific proxies. Here, we use data assimilation with a multi-model prior to reconstruct the SAM over the last 2000 years using temperature and drought-sensitive climate proxies. Our method does not assume a stationary relationship between the SAM and the proxy records and allows us to identify critical paleoclimate records and quantify reconstruction uncertainty through time. We find no evidence for a forced response in SAM variability prior to the 20th century. We do find the modern positive trend falls outside the 2 sigma range of the prior 2000 years at multidecadal time scales, supporting the inference that the SAM's positive trend over the last several decades is a response to anthropogenic climate change.</t>
  </si>
  <si>
    <t>[King, Jonathan; Anchukaitis, Kevin J.] Univ Arizona, Dept Geosci, Tucson, AZ 85721 USA; [King, Jonathan; Anchukaitis, Kevin J.] Univ Arizona, Lab Tree Ring Res, Tucson, AZ 85721 USA; [Anchukaitis, Kevin J.] Univ Arizona, Sch Geog Dev &amp; Environm, Tucson, AZ 85721 USA; [Allen, Kathryn] Univ Tasmania, Sch Geog Planning &amp; Spatial Sci, Hobart 7001, Australia; [Allen, Kathryn] Univ Melbourne, Sch Ecosyst &amp; Forest Sci, Richmond, Vic 3121, Australia; [Allen, Kathryn] Univ New South Wales, Ctr Excellence Australian Biodivers &amp; Heritage, Sydney, Australia; [Vance, Tessa] Univ Tasmania, Inst Marine &amp; Antarctic Studies, Australian Antarctic Program Partnership, Hobart, Australia; [Hessl, Amy] West Virginia Univ, Dept Geol &amp; Geog, Morgantown, WV USA</t>
  </si>
  <si>
    <t>University of Arizona; University of Arizona; University of Arizona; University of Tasmania; University of Melbourne; University of New South Wales Sydney; University of Tasmania; West Virginia University</t>
  </si>
  <si>
    <t>King, J (corresponding author), Univ Arizona, Dept Geosci, Tucson, AZ 85721 USA.;King, J (corresponding author), Univ Arizona, Lab Tree Ring Res, Tucson, AZ 85721 USA.</t>
  </si>
  <si>
    <t>jonking93@arizona.edu</t>
  </si>
  <si>
    <t>Anchukaitis, Kevin/0000-0002-8509-8080; King, Jonathan/0000-0003-0834-2200</t>
  </si>
  <si>
    <t>US National Science Foundation's Paleo Perspectives on Climatic Change program [(P2C2) AGS-1803946]; Australian Research Council Special Research Initiative for Antarctic Gateway Partnership [SR140300001]; Australian Antarctic Program Partnership [ASCI000002]; Australian Research Council [FT200100102]; Australian Research Council [FT200100102] Funding Source: Australian Research Council</t>
  </si>
  <si>
    <t>US National Science Foundation's Paleo Perspectives on Climatic Change program; Australian Research Council Special Research Initiative for Antarctic Gateway Partnership(Australian Research Council); Australian Antarctic Program Partnership; Australian Research Council(Australian Research Council); Australian Research Council(Australian Research Council)</t>
  </si>
  <si>
    <t>The authors thank David Meko for providing the original PDSI estimation code on which ours is based. This research is supported by a grant from the US National Science Foundation's Paleo Perspectives on Climatic Change program (P2C2) AGS-1803946 to K.J.A. and A.H; an Australian Research Council Special Research Initiative for Antarctic Gateway Partnership (SR140300001) to T.V.; a grant from the Australian Antarctic Program Partnership (ASCI000002) to T.V., and a grant from the Australian Research Council (FT200100102) to K.A. We acknowledge the World Climate Research Programme's Working Group on Coupled Modelling, which is responsible for CMIP, and we thank the climate modeling groups for producing and making available their model output. We also acknowledge the many proxy paleoclimatologists whose work has contributed to the large-scale networks and databases used in this paper.</t>
  </si>
  <si>
    <t>2041-1723</t>
  </si>
  <si>
    <t>NAT COMMUN</t>
  </si>
  <si>
    <t>Nat. Commun.</t>
  </si>
  <si>
    <t>APR 22</t>
  </si>
  <si>
    <t>10.1038/s41467-023-37643-1</t>
  </si>
  <si>
    <t>F7QW8</t>
  </si>
  <si>
    <t>Green Published, Green Submitted, gold</t>
  </si>
  <si>
    <t>WOS:000984264200014</t>
  </si>
  <si>
    <t>Nomura, D; Sahashi, R; Takahashi, KD; Makabe, R; Ito, M; Tozawa, M; Wongpan, P; Matsuda, R; Sano, M; Yamamoto-Kawai, M; Nojiro, N; Tachibana, A; Kurosawa, N; Moteki, M; Tamura, T; Aoki, S; Murase, H</t>
  </si>
  <si>
    <t>Nomura, Daiki; Sahashi, Reishi; Takahashi, Keigo D.; Makabe, Ryosuke; Ito, Masato; Tozawa, Manami; Wongpan, Pat; Matsuda, Ryo; Sano, Masayoshi; Yamamoto-Kawai, Michiyo; Nojiro, Natsumi; Tachibana, Aiko; Kurosawa, Norio; Moteki, Masato; Tamura, Takeshi; Aoki, Shigeru; Murase, Hiroto</t>
  </si>
  <si>
    <t>Biogeochemical characteristics of brash sea ice and icebergs during summer and autumn in the Indian sector of the Southern Ocean</t>
  </si>
  <si>
    <t>PROGRESS IN OCEANOGRAPHY</t>
  </si>
  <si>
    <t>STABLE-ISOTOPES; CHLOROPHYLL-A; NUTRIENT; WINTER; WATER; IRON; COMPONENTS; DIATOMS; OXYGEN</t>
  </si>
  <si>
    <t>We analyzed biogeochemical components of brash ice, originating from sea ice and icebergs, collected in the Indian sector of the Southern Ocean during the summer and autumn of 2018-2020. Ice samples, collected from seawater by net or cage methods, were melted in the dark under cool conditions to measure physical and biogeochemical components such as salinity, stable oxygen isotopes, nutrients, and chlorophyll-a. We compared brash ice parameters with those of seawater samples from the temperature minimum layer, corresponding to the water in which the sea ice originated, to examine the effects of processes such as brine drainage, snow-ice formation, and biological activities on the biogeochemical components in sea ice. Samples from icebergs (ice formed on land) had salinity of zero and low con-centrations of all other components, suggesting that the atmospheric deposition of nutrients is minimal in this clean environment. However, sea ice samples had a wide range of values for each parameter. Our results show that meteoric water makes a smaller contribution to sea ice than it typically does to multi-year landfast ice, and there is no correlation between this meteoric water contribution and nutrient concentrations, which suggests that the contribution of snow-ice formation to nutrients within sea ice is subordinate to the role of biological processes. Nutrient and chlorophyll-a concentrations in our brash ice samples are of similar magnitude to those in sea ice samples collected in the same area by coring of thick pack ice. Our data represent end-member values that may be useful to estimate the respective contributions of snow, sea ice, and seawater to surface water samples.</t>
  </si>
  <si>
    <t>[Nomura, Daiki] Hokkaido Univ, Field Sci Ctr Northern Biosphere, 3-1-1 Minato Cho, Hakodate, Hokkaido 0418611, Japan; [Nomura, Daiki] Hokkaido Univ, Arctic Res Ctr, N21 W11,Kita Ku, Sapporo, Hokkaido 0010021, Japan; [Nomura, Daiki; Sahashi, Reishi; Tozawa, Manami] Hokkaido Univ, Fac Grad Sch Fisheries Sci, 3-1-1 Minato Cho, Hakodate, Hokkaido 0418611, Japan; [Takahashi, Keigo D.; Makabe, Ryosuke; Tamura, Takeshi] SOKENDAI, Grad Univ Adv Studies, 10-3 Midori Cho, Tachikawa, Tokyo 1908518, Japan; [Makabe, Ryosuke; Ito, Masato; Moteki, Masato; Tamura, Takeshi] Natl Inst Polar Res, 10-3 Midori Cho, Tachikawa, Tokyo 1908518, Japan; [Makabe, Ryosuke; Yamamoto-Kawai, Michiyo; Nojiro, Natsumi; Tachibana, Aiko; Moteki, Masato; Murase, Hiroto] Tokyo Univ Marine Sci &amp; Technol, 4-5-7 Konan,Minato Ku, Tokyo 1088477, Japan; [Wongpan, Pat] Univ Tasmania, Inst Marine &amp; Antarctic Studies, Australian Antarctic Program Partnership, Nipaluna Hobart, Tas, Australia; [Matsuda, Ryo] Soka Univ, Grad Sch Sci &amp; Engn, 1-236 Tangi Machi, Hachioji, Tokyo 1928577, Japan; [Sano, Masayoshi] Univ Tokyo, Atmosphere &amp; Ocean Res Inst, 5-1-5 Kashiwanoha, Kashiwa, Chiba 2770882, Japan; [Aoki, Shigeru] Hokkaido Univ, Inst Low Temp Sci, N19 W8,Kita Ku, Sapporo, Hokkaido 0600819, Japan</t>
  </si>
  <si>
    <t>Hokkaido University; Hokkaido University; Hokkaido University; Graduate University for Advanced Studies - Japan; Research Organization of Information &amp; Systems (ROIS); National Institute of Polar Research (NIPR) - Japan; Tokyo University of Marine Science &amp; Technology; University of Tasmania; Soka University; University of Tokyo; Hokkaido University</t>
  </si>
  <si>
    <t>Nomura, D (corresponding author), Hokkaido Univ, Field Sci Ctr Northern Biosphere, 3-1-1 Minato Cho, Hakodate, Hokkaido 0418611, Japan.</t>
  </si>
  <si>
    <t>daiki.nomura@fish.hokudai.ac.jp</t>
  </si>
  <si>
    <t>Wongpan, Pat/AAX-6946-2020</t>
  </si>
  <si>
    <t>Wongpan, Pat/0000-0002-7113-8221; Matsuda, Ryo/0000-0001-9312-2231; Tozawa, Manami/0000-0002-9278-2753; Takahashi, Keigo/0000-0001-6021-704X</t>
  </si>
  <si>
    <t>Institute of Cetacean Research; Japan Fisheries Research and Education Agency; Fisheries Agency of Japan; Japan Society for the Promotion of Science [17H04715, 17H04710, 17H06317, 17H06322, 18F18794, 20H04345, 21H04931, BR221802, JP21J14914]; Science Program of the Japanese Antarctic Research Expedition as Prioritized Research [AJ0902]; National Institute of Polar Research [KP-303, 28-14, 2-13]; Center for the Promotion of Integrated Sciences of SOKENDAI; Institute of Low Temperature Science, Hokkaido University</t>
  </si>
  <si>
    <t>Institute of Cetacean Research; Japan Fisheries Research and Education Agency; Fisheries Agency of Japan; Japan Society for the Promotion of Science(Ministry of Education, Culture, Sports, Science and Technology, Japan (MEXT)Japan Society for the Promotion of Science); Science Program of the Japanese Antarctic Research Expedition as Prioritized Research; National Institute of Polar Research(National Institute of Polar Research (NIPR) - Japan); Center for the Promotion of Integrated Sciences of SOKENDAI; Institute of Low Temperature Science, Hokkaido University</t>
  </si>
  <si>
    <t>We thank the crews and scientists of R/V Kaiyo-Maru (cruise KY1804) , R/V Umitakamaru (cruise UM19-08) , and icebreaker Shirase (cruise JARE61) for their dedication to the fieldwork. Cruise KY1804 was supported by the Institute of Cetacean Research, Japan Fisheries Research and Education Agency, Fisheries Agency of Japan. We thank Megumi Kitagawa, Atsushi Ooki, and Hiroko Sasaki for the analyses of oxygen isotopic ratio, nutrients, and chl.a, respectively. This work was supported by grants from the Japan Society for the Promotion of Science (nos. 17H04715, 17H04710, 17H06317, 17H06322, 18F18794, 20H04345, 21H04931, BR221802, and JP21J14914) , the Science Program of the Japanese Antarctic Research Expedition as Prioritized Research AJ0902 (ROBOTICA) , the National Institute of Polar Research through Project Research KP-303 and General Collaboration Projects 28-14 and 2-13 and a grant for young scientists, the Center for the Promotion of Integrated Sciences of SOKENDAI, and the Joint Research Program of the Institute of Low Temperature Science, Hokkaido University. The data used in this study are available in the supplementary information (Table S1) and are archived in the data repository of the National Institute of Polar Research, Tokyo, Japan (https://ads.nipr.ac.jp).</t>
  </si>
  <si>
    <t>0079-6611</t>
  </si>
  <si>
    <t>1873-4472</t>
  </si>
  <si>
    <t>PROG OCEANOGR</t>
  </si>
  <si>
    <t>Prog. Oceanogr.</t>
  </si>
  <si>
    <t>10.1016/j.pocean.2023.103023</t>
  </si>
  <si>
    <t>G5DG7</t>
  </si>
  <si>
    <t>WOS:000989353200001</t>
  </si>
  <si>
    <t>Pala, N; Jiménez, B; Roscales, JL; Bertolino, M; Baroni, D; Figuerola, B; Avila, C; Corsolini, S</t>
  </si>
  <si>
    <t>Pala, Nicolas; Jimenez, Begona; Roscales, Jose L.; Bertolino, Marco; Baroni, Davide; Figuerola, Blanca; Avila, Conxita; Corsolini, Simonetta</t>
  </si>
  <si>
    <t>First evidence of legacy chlorinated POPs bioaccumulation in Antarctic sponges from the Ross sea and the South Shetland Islands</t>
  </si>
  <si>
    <t>ENVIRONMENTAL POLLUTION</t>
  </si>
  <si>
    <t>PCBs; Chlorinated pesticides; Porifera; Southern Ocean; Bioaccumulation; Benthic organisms</t>
  </si>
  <si>
    <t>PERSISTENT ORGANIC POLLUTANTS; POLYBROMINATED DIPHENYL ETHERS; POLYCHLORINATED-BIPHENYLS PCBS; KING GEORGE ISLAND; TERRA-NOVA BAY; MARINE SPONGES; DECEPTION ISLAND; MELTING GLACIERS; PROBABLE SOURCE; TRACE-ELEMENTS</t>
  </si>
  <si>
    <t>Antarctica is no longer pristine due to the confirmed presence of anthropogenic contaminants like Persistent Organic Pollutants (POPs). Benthic organisms are poorly represented in contamination studies in Antarctica although they are known to bioaccumulate contaminants. Sponges (Phylum Porifera) are dominant members in Antarctic benthos, both in terms of abundance and biomass, and are an important feeding source for other or-ganisms, playing key functional roles in benthic communities. To the best of our knowledge, legacy chlorinated POPs such as polychlorinated biphenyls (PCBs), hexachlorobenzene (HCB), and dichlorodiphenyltrichloroethane (DDT) and their metabolites have never been investigated in this Phylum in Antarctica. The aim of this work was to evaluate the bioaccumulation of PCBs, HCB, o,p'- and p,p'-DDT and their DDE and DDD isomers in 35 sponge samples, belonging to 17 different species, collected along the coast of Terra Nova Bay (Ade`lie Cove and Tethys Bay, Ross Sea), and at Whalers Bay (Deception Island, South Shetland Islands) in Antarctica. Lipid content showed a significant correlation with the three pollutant classes. The overall observed pattern in the three study sites was EPCBs&gt;EDDTs&gt;HCB and it was found in almost every species. The EPCBs, EDDTs, and HCB ranged from 54.2 to 133.7 ng/g lipid weight (lw), from 17.5 to 38.6 ng/g lw and from 4.8 to 8.5 ng/g lw, respectively. Sponges showed contamination levels comparable to other Antarctic benthic organisms from previous studies. The comparison among sponges of the same species from different sites showed diverse patterns for PCBs only in one out of four cases. The concentration of POPs did not vary significantly among the three sites. The pre-dominance of lower chlorinated organochlorines in the samples suggested that long-range atmospheric trans-portation (LRAT) could be the major driver of contamination as molecules with a high long range transport potential (e.g. low chlorinated PCBs, HCB) prevails on heavier ones.</t>
  </si>
  <si>
    <t>[Pala, Nicolas; Baroni, Davide; Corsolini, Simonetta] Univ Siena, Dept Phys Earth &amp; Environm Sci, Via Mattioli 4, I-53100 Siena, Italy; [Jimenez, Begona; Roscales, Jose L.] IQOG CSIC, Dept Instrumental Anal &amp; Environm Chem, Inst Organ Chem, Juan Cierva 3, Madrid 28006, Spain; [Bertolino, Marco] Univ Genoa, Dept Earth Environm &amp; Life Sci DISTAV, Corso Europa 26, I-16132 Genoa, Italy; [Figuerola, Blanca] Inst Marine Sci ICM CSIC, Pg Maritim Barceloneta 37-49, Barcelona 08003, Spain; [Avila, Conxita] Univ Barcelona, Dept Evolutionary Biol Ecol &amp; Environm Sci, Av Diagonal 643, Barcelona 08028, Catalonia, Spain; [Avila, Conxita] Biodivers Res Inst IRBio, Av Diagonal 643, Barcelona 08028, Catalonia, Spain</t>
  </si>
  <si>
    <t>University of Siena; Consejo Superior de Investigaciones Cientificas (CSIC); CSIC - Instituto de Quimica Organica General (IQOG); University of Genoa; Consejo Superior de Investigaciones Cientificas (CSIC); CSIC - Centro Mediterraneo de Investigaciones Marinas y Ambientales (CMIMA); CSIC - Instituto de Ciencias del Mar (ICM); University of Barcelona</t>
  </si>
  <si>
    <t>Corsolini, S (corresponding author), Univ Siena, Dept Phys Earth &amp; Environm Sci, Via Mattioli 4, I-53100 Siena, Italy.</t>
  </si>
  <si>
    <t>simonetta.corsolini@unisi.it</t>
  </si>
  <si>
    <t>Figuerola, Blanca/C-6252-2015; Roscales, Jose L/H-6716-2015; Avila, Conxita/B-9466-2008</t>
  </si>
  <si>
    <t>Figuerola, Blanca/0000-0003-4731-9337; Jimenez, Begona/0000-0002-2401-4648; Pala, Nicolas/0000-0002-5641-1023; Baroni, Davide/0000-0002-8852-927X; Avila, Conxita/0000-0002-5489-8376</t>
  </si>
  <si>
    <t>Italian National Antarctic Research Programme (PNRA) [PdR2013 C1_04]; Spanish Ministry of Economy and Competitiveness (MINECO) [CTM2015-70535-P]; Secretary of Universities and Research (Government of Catalonia); Horizon 2020 Programme of Research and Innovation of the European Union under the Marie SklodowskaCurie grant agreement [CTM2016-78901/ANT]; Juan de la Cierva Programme - Ministry of Science and Innovation (Incorporation grant); DISTANTCOM and BLUEBIO projects; [801370]; [2019 BP 00183]; [IJCI-2017-31478]; [CTM2013- 42667/ANT]</t>
  </si>
  <si>
    <t>Italian National Antarctic Research Programme (PNRA); Spanish Ministry of Economy and Competitiveness (MINECO)(Spanish Government); Secretary of Universities and Research (Government of Catalonia); Horizon 2020 Programme of Research and Innovation of the European Union under the Marie SklodowskaCurie grant agreement; Juan de la Cierva Programme - Ministry of Science and Innovation (Incorporation grant); DISTANTCOM and BLUEBIO projects; ; ; ;</t>
  </si>
  <si>
    <t>The Ross Sea samples were collected during expeditions in the framework of the Italian National Antarctic Research Programme (PNRA) (PdR2013 C1_04) . The authors thank Prof. Gaetano Odierna, Dr. Luigi Michaud and Dr. Nicoletta Borghesi for the collection of samples in the Ross Sea. The Deception Island samples were collected during the DISTANTCOM-2 cruise by the authors. This work was also supported by the Spanish Ministry of Economy and Competitiveness (MINECO) through the SENTINEL (CTM2015-70535-P to B. Jimenez) and the DISTANTCOM and BLUEBIO projects (CTM2013- 42667/ANT and CTM2016-78901/ANT to C. Avila) . This research is part of POLARCSIC activities. This research is part of the collaboration between S. Corsolini, B. Jimenez and J.L. Roscales within the Action Group of the Scientific Committee on Antarctic Research (SCAR) on Input Pathways of Persistent Organic Pollutants to Antarctica (ImPACT Action Group) . This research is also part of Ant -ICON research program (SCAR) . J.L.R. acknowledges CSIC and MITERD for his contract under Projects 15CAES004 and 17CAES004. B.F. received funding from the post- doctoral fellowships programme Beatriu de Pinos funded by the Secretary of Universities and Research (Government of Catalonia) and by the Horizon 2020 Programme of Research and Innovation of the European Union under the Marie SklodowskaCurie grant agreement No. 801370 (Incorporation grant 2019 BP 00183) and the Juan de la Cierva Programme funded by the Ministry of Science and Innovation (Incorporation grant IJCI-2017-31478) . Special thanks go to the personnel of the Spanish Antarctic Station Gabriel de Castilla for their help and support during the fieldwork.</t>
  </si>
  <si>
    <t>0269-7491</t>
  </si>
  <si>
    <t>1873-6424</t>
  </si>
  <si>
    <t>ENVIRON POLLUT</t>
  </si>
  <si>
    <t>Environ. Pollut.</t>
  </si>
  <si>
    <t>10.1016/j.envpol.2023.121661</t>
  </si>
  <si>
    <t>G3ZP8</t>
  </si>
  <si>
    <t>Green Published, hybrid</t>
  </si>
  <si>
    <t>WOS:000988580400001</t>
  </si>
  <si>
    <t>Campitelli, E; Díaz, LB; Vera, C</t>
  </si>
  <si>
    <t>Campitelli, Elio; Diaz, Leandro B.; Vera, Carolina</t>
  </si>
  <si>
    <t>Revisiting the zonally asymmetric extratropical circulation of the Southern Hemisphere spring using complex empirical orthogonal functions</t>
  </si>
  <si>
    <t>CLIMATE DYNAMICS</t>
  </si>
  <si>
    <t>Article; Early Access</t>
  </si>
  <si>
    <t>Southern hemisphere circulation; Teleconnections; Pacific South American mode; Southern annular mode; Stratosphere</t>
  </si>
  <si>
    <t>SEA-SURFACE TEMPERATURE; PLANETARY-WAVES; ANTARCTIC OSCILLATION; HIGH-LATITUDE; DIPOLE MODE; VARIABILITY; PACIFIC; OZONE; ENSO; PRECIPITATION</t>
  </si>
  <si>
    <t>The large-scale extratropical circulation in the Southern Hemisphere is much more zonally symmetric than that of the Northern Hemisphere, but its zonal departures, albeit highly relevant for regional impacts, have been less studied. In this study we analyse the joint variability of the zonally asymmetric springtime stratospheric and tropospheric circulation using Complex Empirical Orthogonal Functions (cEOF) to characterise planetary waves of varying amplitude and phase. The leading cEOF represents variability of a zonal wave 1 in the stratosphere that correlates slightly with the Symmetric Southern Annular Mode (S-SAM). The second cEOF (cEOF2) is an alternative representation of the Pacific-South American modes. One phase of this cEOF is also very highly correlated with the Asymmetric SAM (A-SAM) in the troposphere. Springs with an active ENSO tend to lock the cEOF2 to a specific phase, but have no consistent impact on its magnitude. Furthermore, we find indications that the location of Pacific Sea Surface Temperature anomalies affect the phase of the cEOF2. As a result, the methodology proposed in this study provides a deeper understanding of the zonally asymmetric springtime extratropical SH circulation.</t>
  </si>
  <si>
    <t>[Campitelli, Elio; Diaz, Leandro B.; Vera, Carolina] Univ Buenos Aires, Fac Ciencias Exactas &amp; Nat, Dept Ciencias Atmosfera &amp; Oceanos, Buenos Aires, Argentina; [Campitelli, Elio; Diaz, Leandro B.; Vera, Carolina] Univ Buenos Aires, Ctr Invest Mar &amp; Atmosfera CIMA, CONICET, Buenos Aires, Argentina; [Campitelli, Elio; Diaz, Leandro B.; Vera, Carolina] UBA, Inst Franco Argentino Estudio Clima &amp; Impactos IR, CONICET, CNRS,IRD, Buenos Aires, Argentina</t>
  </si>
  <si>
    <t>University of Buenos Aires; University of Buenos Aires; Consejo Nacional de Investigaciones Cientificas y Tecnicas (CONICET); Consejo Nacional de Investigaciones Cientificas y Tecnicas (CONICET); University of Buenos Aires</t>
  </si>
  <si>
    <t>Campitelli, E (corresponding author), Univ Buenos Aires, Fac Ciencias Exactas &amp; Nat, Dept Ciencias Atmosfera &amp; Oceanos, Buenos Aires, Argentina.;Campitelli, E (corresponding author), Univ Buenos Aires, Ctr Invest Mar &amp; Atmosfera CIMA, CONICET, Buenos Aires, Argentina.;Campitelli, E (corresponding author), UBA, Inst Franco Argentino Estudio Clima &amp; Impactos IR, CONICET, CNRS,IRD, Buenos Aires, Argentina.</t>
  </si>
  <si>
    <t>elio.campitelli@cima.fcen.uba.ar</t>
  </si>
  <si>
    <t>Campitelli, Elio/0000-0002-7742-9230; Diaz, Leandro Baltasar/0000-0002-9237-6704</t>
  </si>
  <si>
    <t>UBACyT [20020170100428BA]; Consejo Nacional de Investigaciones Cientificas y Tecnicas (CONI-CET) [PIP 11220200102038CO, PICT-2020-SERIEA-I-INVI-00540]; Belmont Forum [ANR-15-JCL/-0002-01]; CONICET, Argentina</t>
  </si>
  <si>
    <t>UBACyT; Consejo Nacional de Investigaciones Cientificas y Tecnicas (CONI-CET)(Consejo Nacional de Investigaciones Cientificas y Tecnicas (CONICET)); Belmont Forum; CONICET, Argentina(Consejo Nacional de Investigaciones Cientificas y Tecnicas (CONICET))</t>
  </si>
  <si>
    <t>The research was supported by UBACyT 20020170100428BA, Consejo Nacional de Investigaciones Cientificas y Tecnicas (CONI-CET) PIP 11220200102038CO, PICT-2020-SERIEA-I-INVI-00540, and the CLIMAX Project funded by Belmont Forum/ANR-15-JCL/-0002-01. Elio Campitelli was supported by a PhD grant from CONICET, Argentina.</t>
  </si>
  <si>
    <t>0930-7575</t>
  </si>
  <si>
    <t>1432-0894</t>
  </si>
  <si>
    <t>CLIM DYNAM</t>
  </si>
  <si>
    <t>Clim. Dyn.</t>
  </si>
  <si>
    <t>2023 APR 22</t>
  </si>
  <si>
    <t>10.1007/s00382-023-06780-0</t>
  </si>
  <si>
    <t>E3GN5</t>
  </si>
  <si>
    <t>WOS:000974462600001</t>
  </si>
  <si>
    <t>Bothale, RV; Pathakoti, M; Mohammed, S; Shaik, I; Nagamani, PV; Mahalakshmi, DV; Chauhan, P</t>
  </si>
  <si>
    <t>Bothale, Rajashree Vinod; Pathakoti, Mahesh; Mohammed, Suhail; Shaik, Ibrahim; Nagamani, P. V.; Mahalakshmi, D. V.; Chauhan, Prakash</t>
  </si>
  <si>
    <t>Asymmetric distribution of Pan-Antarctic snowmelt under changing Climate: In perspective of natural climatic events and marine biology</t>
  </si>
  <si>
    <t>ADVANCES IN SPACE RESEARCH</t>
  </si>
  <si>
    <t>Snowmelt distribution; Sea surface temperature; Chlorophyll -a; ENSO; Antarctica</t>
  </si>
  <si>
    <t>SEA-ICE; SCATTEROMETER; TRENDS</t>
  </si>
  <si>
    <t>Understanding global climatic changes resulting from global warming and their impact on polar snowmelt and ocean biogeochemistry requires an assessment of the spatio-temporal variability of surface ice melt over the Antarctica region. Even though various studies have been carried out on the ice melts in the Antarctica region, there is a lack of studies related to biophysical (temperature and chlorophyll-a) parameters and El Nin similar to o-Southern Oscillation (ENSO) influences in the Antarctica region. To address this problem, the present study assessed the ice melt and its impact on the Antarctica region from 2002 to 2021 using satellite-derived products of sea surface temperature (SST), chlorophyll-a (Chl), and snowmelt. After analyzing the data, it shows that larger ice shelves like Larsen, George VI, Brunt, RiiserLarsen on the western side and Shackleton, West, and Totten on the eastern side are showing higher snowmelt than usual in a strong La Nin similar to a year (2010-2011) (ENSO index greater than -1.5 for austral summer months), while other ice shelves are showing a reduction in snowmelt. The Abbott ice shelf and parts of the Larsen and Ross ice shelves on the western side experienced higher snowmelt during a strong El Nin similar to o year (2015-2016) (ENSO index greater than + 1.5 for austral summer months). In contrast, inner land areas adjacent to the ice shelves experienced higher than usual snowmelt. Also, results revealed a significant increase in Chl from the open ocean towards the Antarctica continental shelf, where SST values are decreasing towards the shelf. Moreover, the present study provides critical information on the effect of ENSO on snowmelt and the impact of snowmelt on Chl and SST under changing climate conditions. (c) 2022 COSPAR. Published by Elsevier B.V. All rights reserved.</t>
  </si>
  <si>
    <t>[Bothale, Rajashree Vinod; Pathakoti, Mahesh; Mohammed, Suhail; Shaik, Ibrahim; Nagamani, P. V.; Mahalakshmi, D. V.; Chauhan, Prakash] Indian Space Res Org ISRO, Natl Remote Sensing Ctr NRSC, Earth &amp; Climate Sci Area ECSA, Hyderabad 500037, India</t>
  </si>
  <si>
    <t>Department of Space (DoS), Government of India; Indian Space Research Organisation (ISRO); National Remote Sensing Centre (NRSC)</t>
  </si>
  <si>
    <t>Pathakoti, M (corresponding author), Indian Space Res Org ISRO, Natl Remote Sensing Ctr NRSC, Earth &amp; Climate Sci Area ECSA, Hyderabad 500037, India.</t>
  </si>
  <si>
    <t>rajashree_vb@nrsc.gov.in; mahesh_p@nrsc.gov.in; mohammed_suhail@nrsc.gov.in; ibrahim_s@nrsc.gov.in; nagamani_pv@nrsc.gov; mahalaksmi_dv@nrsc.gov.in; prakash@nrsc.gov.in</t>
  </si>
  <si>
    <t>, Mohammed Suhail/0000-0002-8747-5142; , Prakash/0000-0002-8273-3501; Pathakoti, Mahesh/0000-0002-1887-9792; D V, Mahalakshmi/0000-0002-0324-0291</t>
  </si>
  <si>
    <t>0273-1177</t>
  </si>
  <si>
    <t>1879-1948</t>
  </si>
  <si>
    <t>ADV SPACE RES</t>
  </si>
  <si>
    <t>Adv. Space Res.</t>
  </si>
  <si>
    <t>MAY 15</t>
  </si>
  <si>
    <t>10.1016/j.asr.2022.12.040</t>
  </si>
  <si>
    <t>Engineering, Aerospace; Astronomy &amp; Astrophysics; Geosciences, Multidisciplinary; Meteorology &amp; Atmospheric Sciences</t>
  </si>
  <si>
    <t>Engineering; Astronomy &amp; Astrophysics; Geology; Meteorology &amp; Atmospheric Sciences</t>
  </si>
  <si>
    <t>F8GN7</t>
  </si>
  <si>
    <t>WOS:000984678800001</t>
  </si>
  <si>
    <t>Feng, JD; Wang, KX; Li, W; Han, BM; Zhao, ZZ; Zhang, T; Meng, D</t>
  </si>
  <si>
    <t>Feng, Jiandi; Wang, Kaixin; Li, Wang; Han, Baomin; Zhao, Zhenzhen; Zhang, Ting; Meng, Di</t>
  </si>
  <si>
    <t>Analysis of temporal and spatial variation characteristics of midlatitude summer nighttime anomaly in low and middle solar activity period</t>
  </si>
  <si>
    <t>MSNA; Solar Activity; Global Ionosphere Map; FORMOSAT-3; COSMIC</t>
  </si>
  <si>
    <t>ENHANCEMENT; IONOSPHERE; ASYMMETRY; NMF2</t>
  </si>
  <si>
    <t>The spatiotemporal variation characteristics of midlatitude summer nighttime anomaly (MSNA) are essential for ionospheric mod-eling in the MSNA region. Based on GIM TEC, COSMIC NmF2, COSMIC IEC (Integrate Electron Content), and GPS TEC, this paper analyzes the spatiotemporal variation characteristics of MSNA during the low and middle solar activity period. First, we use the fourth-order Fourier function to fit the TEC, NmF2, and IEC. Second, we calculate an MSNA index and give its spatiotemporal distribution during the low and middle solar activity period. Third, on the basis of GIM TEC and GPS TEC, we describe the spatiotem-poral distribution of TEC peak moments from October to January (Oct-Jan) and May to August (May-Aug). Our detailed analysis shows the following: (1) MSNA in the Southern Hemisphere is most significant in Oct-Jan. Moreover, MSNA in the Northern Hemi-sphere is most significant in May-Aug. (2) MSNA mainly occurs in three regions: South America and Antarctica, Western Europe to eastern North America, and Northeast Asia to the Pacific. (3) When solar activity increases, the MSNA region in the Northern Hemi-sphere becomes smaller, and the MSNA index is unchanged. Moreover, the MSNA region in the Southern Hemisphere is unchanged, but the MSNA index increases. (4) From Oct-Jan, there are some apparent differences between the east and west sides of the MSNA region of the Antarctic Peninsula. The peak moments of TEC in the west region concentrate before midnight (20:00-22:00 LT), and the peak moments of TEC in the east region concentrate after midnight (00:00-08:00 LT). As the level of solar activity increases, the peak moments in the eastern region are significantly shifted to later local time. (5) As the level of solar activity increases, the incidence of MSNA at three GPS stations (OHI300ATA, YSSK00RUS, and BRST00FRA) shows a decreasing trend. (c) 2022 COSPAR. Published by Elsevier B.V. All rights reserved.</t>
  </si>
  <si>
    <t>[Feng, Jiandi; Wang, Kaixin; Han, Baomin; Zhao, Zhenzhen; Zhang, Ting; Meng, Di] Shandong Univ Technol, Sch Civil Architectural Engn, Zibo 255000, Peoples R China; [Feng, Jiandi] State Key Lab Geoinformat Engn, Xian 710054, Peoples R China; [Li, Wang] Kunming Univ Sci &amp; Technol, Fac Land Resources Engn, Kunming 650031, Peoples R China</t>
  </si>
  <si>
    <t>Shandong University of Technology; Kunming University of Science &amp; Technology</t>
  </si>
  <si>
    <t>Li, W (corresponding author), Kunming Univ Sci &amp; Technol, Fac Land Resources Engn, Kunming 650031, Peoples R China.</t>
  </si>
  <si>
    <t>liwang@kust.edu.cn; hanbm@sdut.edu.cn; zzzhao@whu.edu.cn</t>
  </si>
  <si>
    <t>Zhang, Ting/AHE-0691-2022</t>
  </si>
  <si>
    <t>Zhang, Ting/0000-0002-1386-8795</t>
  </si>
  <si>
    <t>National Natural Science Foundation of China [42274040, 41804032]; State Key Laboratory of Geo-Information Engineering [SKLGIE2021-M-3-2]</t>
  </si>
  <si>
    <t>National Natural Science Foundation of China(National Natural Science Foundation of China (NSFC)); State Key Laboratory of Geo-Information Engineering</t>
  </si>
  <si>
    <t>This work is supported by the National Natural Science Foundation of China under Grant (No. 42274040, 41804032) and Funded by the State Key Laboratory of Geo-Information Engineering, No. SKLGIE2021-M-3-2. Thanks to CDAAC for providing us with COSMIC data, CODE for providing us with GIM TEC data, and IONO- LAB for providing us with GPS TEC data.</t>
  </si>
  <si>
    <t>10.1016/j.asr.2022.12.039</t>
  </si>
  <si>
    <t>F8GC3</t>
  </si>
  <si>
    <t>WOS:000984667400001</t>
  </si>
  <si>
    <t>Thomas, ER; Tetzner, DR; Roberts, SL; Turner, SD; Rose, NL</t>
  </si>
  <si>
    <t>Thomas, E. R.; Tetzner, D. R.; Roberts, S. L.; Turner, S. D.; Rose, N. L.</t>
  </si>
  <si>
    <t>First evidence of industrial fly-ash in an Antarctic ice core</t>
  </si>
  <si>
    <t>SPHEROIDAL CARBONACEOUS PARTICLES; FUEL-TYPE CHARACTERIZATION; SOUTHERN-OCEAN; TRANSPORT; SEDIMENT; DUST</t>
  </si>
  <si>
    <t>Spheroidal carbonaceous particles (SCPs) are a component of fly-ash, the particulate by-product of industrial high temperature combustion of fuel-oil and coal-series fuels. We provide the first evidence that these indelible markers of industrialisation have been deposited in Antarctic ice, thousands of kilometres from any potential source. The earliest observed particle was deposited in an ice layer from 1936 CE. While depositional fluxes are low, chemical analysis of individual SCPs indicates a coal combustion origin.</t>
  </si>
  <si>
    <t>[Thomas, E. R.; Tetzner, D. R.] Ice Dynam &amp; Paleoclimate British Antarctic Survey, Madingley Rd, Cambridge CB3 0ET, Cambridgeshire, England; [Roberts, S. L.; Turner, S. D.; Rose, N. L.] UCL, Environm Change Res Ctr, Dept Geog, Gower St, London WC1E 6BT, England</t>
  </si>
  <si>
    <t>University of London; University College London</t>
  </si>
  <si>
    <t>Thomas, ER (corresponding author), Ice Dynam &amp; Paleoclimate British Antarctic Survey, Madingley Rd, Cambridge CB3 0ET, Cambridgeshire, England.</t>
  </si>
  <si>
    <t>lith@bas.ac.uk</t>
  </si>
  <si>
    <t>Turner, Simon David/GLR-3136-2022; Thomas, Elizabeth Ruth/ADF-3660-2022</t>
  </si>
  <si>
    <t>Turner, Simon David/0000-0001-8692-8210; Thomas, Elizabeth Ruth/0000-0002-3010-6493; Rose, Neil/0000-0002-5697-7334</t>
  </si>
  <si>
    <t>APR 21</t>
  </si>
  <si>
    <t>10.1038/s41598-023-33849-x</t>
  </si>
  <si>
    <t>G5RU4</t>
  </si>
  <si>
    <t>WOS:000989734900018</t>
  </si>
  <si>
    <t>Pörtner, HO; Scholes, RJ; Arneth, A; Barnes, DKA; Burrows, MT; Diamond, SE; Duarte, CM; Kiessling, W; Leadley, P; Managi, S; McElwee, P; Midgley, G; Ngo, HT; Obura, D; Pascual, U; Sankaran, M; Shin, YJ; Val, AL</t>
  </si>
  <si>
    <t>Poertner, H. -O.; Scholes, R. J.; Arneth, A.; Barnes, D. K. A.; Burrows, M. T.; Diamond, S. E.; Duarte, C. M.; Kiessling, W.; Leadley, P.; Managi, S.; McElwee, P.; Midgley, G.; Ngo, H. T.; Obura, D.; Pascual, U.; Sankaran, M.; Shin, Y. J.; Val, A. L.</t>
  </si>
  <si>
    <t>Overcoming the coupled climate and biodiversity crises and their societal impacts</t>
  </si>
  <si>
    <t>SCIENCE</t>
  </si>
  <si>
    <t>NATURES CONTRIBUTIONS; GOVERNANCE; ADAPTATION; MITIGATION; WORLD; PRINCIPLES; SYNERGIES; STRESSES; FORESTS; SYSTEMS</t>
  </si>
  <si>
    <t>Earth's biodiversity and human societies face pollution, overconsumption of natural resources, urbanization, demographic shifts, social and economic inequalities, and habitat loss, many of which are exacerbated by climate change. Here, we review links among climate, biodiversity, and society and develop a roadmap toward sustainability. These include limiting warming to 1.5 degrees C and effectively conserving and restoring functional ecosystems on 30 to 50% of land, freshwater, and ocean scapes. We envision a mosaic of interconnected protected and shared spaces, including intensively used spaces, to strengthen self-sustaining biodiversity, the capacity of people and nature to adapt to and mitigate climate change, and nature's contributions to people. Fostering interlinked human, ecosystem, and planetary health for a livable future urgently requires bold implementation of transformative policy interventions through interconnected institutions, governance, and social systems from local to global levels.</t>
  </si>
  <si>
    <t>[Poertner, H. -O.] Alfred Wegener Inst Polar &amp; Marine Res, Bremerhaven, Germany; [Poertner, H. -O.] Univ Bremen, Dept Biol &amp; Chem, Bremen, Germany; [Scholes, R. J.] Univ Witwatersrand, Global Change Inst, Johannesburg, South Africa; [Arneth, A.] Karlsruhe Inst Technol KIT, Atmospher Environm Res, Garmisch Partenkirchen, Germany; [Barnes, D. K. A.] British Antarctic Survey, Nat Environm Res Council, Cambridge, England; [Burrows, M. T.] Scottish Assoc Marine Sci, Oban, Argyll, Scotland; [Diamond, S. E.] Case Western Reserve Univ, Dept Biol, Cleveland, OH USA; [Duarte, C. M.] King Abdullah Univ Sci &amp; Technol, Red Sea Res Ctr RSRC, Thuwal, Saudi Arabia; [Duarte, C. M.] King Abdullah Univ Sci &amp; Technol, Computat Biosci Res Ctr CBRC, Thuwal, Saudi Arabia; [Kiessling, W.] Friedrich Alexander Univ, Geozentrum Nordbayern, Erlangen, Germany; [Leadley, P.] Univ Paris Saclay, Lab Ecol Systemat Evolut, CNRS, AgroParisTech, F-91400 Orsay, France; [Managi, S.] Kyushu Univ, Urban Inst, Fukuoka, Japan; [McElwee, P.] Rutgers State Univ, Department Human Ecol, New Brunswick, NJ USA; [Midgley, G.] Univ Stellenbosch, Global Change Biol Grp, Bot &amp; Zool Dept, ZA-7600 Stellenbosch, South Africa; [Ngo, H. T.] Intergovt Sci Policy Platform Biodivers &amp; Ecosyst, Bonn, Germany; [Ngo, H. T.] Food &amp; Agr Org United Nations, Viale Terme Caracalla, Rome, Italy; [Obura, D.] Coastal Oceans Res &amp; Dev Indian Ocean CORDIO East, Mombasa, Kenya; [Obura, D.] Univ Queensland, Global Climate Inst, Brisbane, Qld 4072, Australia; [Pascual, U.] Basque Ctr Climate Change BC3, Leioa, Spain; [Pascual, U.] Basque Fdn Sci Ikerbasque, Bilbao, Spain; [Pascual, U.] Univ Bern, Ctr Dev &amp; Environm, Bern, Switzerland; [Sankaran, M.] Natl Ctr Biol Sci, Tata Inst Fundamental Res, Bellary Rd, Bangalore, India; [Shin, Y. J.] Univ Montpellier, Marine Biodivers Exploitat &amp; Conservat MARBEC, Inst Rech Dev IRD, Inst Francais Rech Exploitat Mer IFREMER,CNRS, F-34000 Montpellier, France; [Val, A. L.] Brazilian Natl Inst Res, BR-69080971 Manaus, Amazonas, Brazil</t>
  </si>
  <si>
    <t>Helmholtz Association; Alfred Wegener Institute, Helmholtz Centre for Polar &amp; Marine Research; University of Bremen; University of Witwatersrand; Helmholtz Association; Karlsruhe Institute of Technology; UK Research &amp; Innovation (UKRI); Natural Environment Research Council (NERC); NERC British Antarctic Survey; UHI Millennium Institute; University System of Ohio; Case Western Reserve University; King Abdullah University of Science &amp; Technology; King Abdullah University of Science &amp; Technology; University of Erlangen Nuremberg; Centre National de la Recherche Scientifique (CNRS); Universite Paris Cite; Universite Paris Saclay; AgroParisTech; Kyushu University; Rutgers University System; Rutgers University New Brunswick; Stellenbosch University; Food &amp; Agriculture Organization of the United Nations (FAO); University of Queensland; Basque Centre for Climate Change (BC3); Basque Foundation for Science; University of Bern; Tata Institute of Fundamental Research (TIFR); National Centre for Biological Sciences (NCBS); Institut de Recherche pour le Developpement (IRD); Centre National de la Recherche Scientifique (CNRS); Ifremer; Universite de Montpellier</t>
  </si>
  <si>
    <t>Pörtner, HO (corresponding author), Alfred Wegener Inst Polar &amp; Marine Res, Bremerhaven, Germany.;Pörtner, HO (corresponding author), Univ Bremen, Dept Biol &amp; Chem, Bremen, Germany.</t>
  </si>
  <si>
    <t>hans.poertner@awi.de</t>
  </si>
  <si>
    <t>Arneth, Almut/B-2702-2013; Duarte Quesada, Carlos Manuel/ABD-6208-2021; Managi, Shunsuke/G-1740-2013; Burrows, Michael/D-9844-2013; Kiessling, Wolfgang/E-2259-2015; Portner, Hans-O./K-9429-2016; Shin, Yunne-Jai/A-7575-2012; Duarte, Carlos M./A-7670-2013</t>
  </si>
  <si>
    <t>Arneth, Almut/0000-0001-6616-0822; Managi, Shunsuke/0000-0001-7883-1427; Burrows, Michael/0000-0003-4620-5899; Kiessling, Wolfgang/0000-0002-1088-2014; Portner, Hans-O./0000-0001-6535-6575; Shin, Yunne-Jai/0000-0002-7259-9265; Duarte, Carlos M./0000-0002-1213-1361; Diamond, Sarah/0000-0001-8518-773X</t>
  </si>
  <si>
    <t>AMER ASSOC ADVANCEMENT SCIENCE</t>
  </si>
  <si>
    <t>1200 NEW YORK AVE, NW, WASHINGTON, DC 20005 USA</t>
  </si>
  <si>
    <t>0036-8075</t>
  </si>
  <si>
    <t>1095-9203</t>
  </si>
  <si>
    <t>Science</t>
  </si>
  <si>
    <t>eabl4881</t>
  </si>
  <si>
    <t>10.1126/science.abl4881</t>
  </si>
  <si>
    <t>G5PJ8</t>
  </si>
  <si>
    <t>Y</t>
  </si>
  <si>
    <t>N</t>
  </si>
  <si>
    <t>WOS:000989671000004</t>
  </si>
  <si>
    <t>Fernandes, M; González-Ballesteros, N; da Costa, A; Machado, R; Gomes, AC; Rodríguez-Argüelles, MC</t>
  </si>
  <si>
    <t>Fernandes, Mario; Gonzalez-Ballesteros, Noelia; da Costa, Andre; Machado, Raul; Gomes, Andreia C.; Rodriguez-Arguelles, Maria Carmen</t>
  </si>
  <si>
    <t>Antimicrobial and anti-biofilm activity of silver nanoparticles biosynthesized with Cystoseira algae extracts</t>
  </si>
  <si>
    <t>JOURNAL OF BIOLOGICAL INORGANIC CHEMISTRY</t>
  </si>
  <si>
    <t>Silver nanoparticles; Gold nanoparticles; Green synthesis; Cystoseira sp; Antimicrobial activity; Antibiofilm activity</t>
  </si>
  <si>
    <t>IN-VITRO; PSEUDOMONAS-AERUGINOSA; ANTIBACTERIAL ACTIVITY; STAPHYLOCOCCUS-AUREUS; ANTARCTIC MACROALGAE; GREEN SYNTHESIS; RESISTANT; GOLD; NANOMATERIALS; ANTIBIOTICS</t>
  </si>
  <si>
    <t>Antimicrobial resistance is an ever-growing global concern to public health with no clear or immediate solution. Silver nanoparticles (AgNPs) have long been proposed as efficient agents to fight the growing number of antibiotic- resistant strains. However, the synthesis of these particles is often linked to high costs and the use of toxic, hazardous chemicals, with environmental and health impact. In this study, we successfully produced AgNPs by green synthesis with the aid of the extract of two brown algae-Cystoseira baccata (CB) and Cystoseira tamariscifolia (CT)-and characterized their physicochemical properties. The NPs produced in both cases (Ag@CB and Ag@ CT) present similar sizes, with mean diameters of around 22 nm. The antioxidant activity of the extracts and the NPs was evaluated, with the extracts showing important antioxidant activity. The bacteriostatic and bactericidal properties of both Ag@CB and Ag@CT were tested and compared with gold NPs produced in the same algae extracts as previously reported. AgNPs demonstrated the strongest bacteriostatic and bactericidal properties, at concentrations as low as 2.16 mu g/mL against Pseudomonas aeruginosa and Escherichia coli. Finally, the capacity of these samples to prevent the formation of biofilms characteristic of infections with a poorer outcome was assessed, obtaining similar results. This work points towards an alternative for the treatment of bacterial infections, even biofilm-inducing, with the possibility of minimizing the risk of drug resistance, albeit the necessary caution implied using metallic NPs.</t>
  </si>
  <si>
    <t>[Fernandes, Mario; da Costa, Andre; Machado, Raul; Gomes, Andreia C.] Univ Minho, Ctr Mol &amp; Environm Biol CBMA, Dept Biol, Aquat Res Network ARNET Associate Lab, Campus Gualtar, P-4710057 Braga, Portugal; [Fernandes, Mario; da Costa, Andre; Machado, Raul; Gomes, Andreia C.] Univ Minho, Inst Sci &amp; Innovat Sustainabil IB S, Campus Gualtar, P-4710057 Braga, Portugal; [Gonzalez-Ballesteros, Noelia; Rodriguez-Arguelles, Maria Carmen] Univ Vigo, Dept Quim Inorgan, Vigo 36310, Spain</t>
  </si>
  <si>
    <t>Universidade do Minho; Universidade do Minho; Universidade de Vigo</t>
  </si>
  <si>
    <t>Gomes, AC (corresponding author), Univ Minho, Ctr Mol &amp; Environm Biol CBMA, Dept Biol, Aquat Res Network ARNET Associate Lab, Campus Gualtar, P-4710057 Braga, Portugal.;Gomes, AC (corresponding author), Univ Minho, Inst Sci &amp; Innovat Sustainabil IB S, Campus Gualtar, P-4710057 Braga, Portugal.;Rodríguez-Argüelles, MC (corresponding author), Univ Vigo, Dept Quim Inorgan, Vigo 36310, Spain.</t>
  </si>
  <si>
    <t>agomes@bio.uminho.pt; mcarmen@uvigo.es</t>
  </si>
  <si>
    <t>Machado, Raul/A-8356-2012; González-Ballesteros, Noelia/D-7849-2018; Gomes, Andreia/B-5905-2009; da Costa, Andre/Q-4382-2016; Rodriguez-Arguelles, M Carmen/G-9341-2015</t>
  </si>
  <si>
    <t>Machado, Raul/0000-0002-9477-9945; González-Ballesteros, Noelia/0000-0001-5514-1984; Gomes, Andreia/0000-0002-0567-064X; da Costa, Andre/0000-0002-4098-2083; Fernandes, Mario/0000-0003-0987-4073; Rodriguez-Arguelles, M Carmen/0000-0003-4415-3204</t>
  </si>
  <si>
    <t>FCT\FCCN (b-on); Contrato-Programa - FCT I.P. [UIDB/04050/2020, NORTE-01-0145-FEDER-000040]; NORTE2020 through the European Regional Development Fund (ERDF); Xunta de Galicia [ED431C 2018]; Fundacao para a Ciencia e a Tecnologia I.P. [SFRH/BD/147819/2019]; Universidade de Vigo; Ministerio de Ciencia, Innovacion y Universidades (Spain); FCT I.P. [CEECIND/00526/2018]</t>
  </si>
  <si>
    <t>FCT\FCCN (b-on); Contrato-Programa - FCT I.P.; NORTE2020 through the European Regional Development Fund (ERDF)(European Union (EU)); Xunta de Galicia(Xunta de Galicia); Fundacao para a Ciencia e a Tecnologia I.P.(Fundacao para a Ciencia e a Tecnologia (FCT)); Universidade de Vigo; Ministerio de Ciencia, Innovacion y Universidades (Spain)(Spanish Government); FCT I.P.(Fundacao para a Ciencia e a Tecnologia (FCT))</t>
  </si>
  <si>
    <t>Open access funding provided by FCT vertical bar FCCN (b-on). This work was supported by the Contrato-Programa UIDB/04050/2020 funded by national funds through the FCT I.P., project ATLANTIDA-platform for the monitoring of the north Atlantic Ocean and tools for the sustainable exploitation of the marine resources, operation NORTE-01-0145-FEDER-000040, co-financed by NORTE2020 through the European Regional Development Fund (ERDF), and by the Xunta de Galicia Ref.: ED431C 2018. MF (SFRH/BD/147819/2019) holds a scholarship from Fundacao para a Ciencia e a Tecnologia I.P. NGB thanks for her postdoctoral Margarita Salas grant to Universidade de Vigo and Ministerio de Ciencia, Innovacion y Universidades (Spain). Raul Machado acknowledges FCT I.P. for funding within the Scientific Employment Stimulus instrument (CEECIND/00526/2018).</t>
  </si>
  <si>
    <t>0949-8257</t>
  </si>
  <si>
    <t>1432-1327</t>
  </si>
  <si>
    <t>J BIOL INORG CHEM</t>
  </si>
  <si>
    <t>J. Biol. Inorg. Chem.</t>
  </si>
  <si>
    <t>2023 APR 21</t>
  </si>
  <si>
    <t>10.1007/s00775-023-01999-y</t>
  </si>
  <si>
    <t>Biochemistry &amp; Molecular Biology; Chemistry, Inorganic &amp; Nuclear</t>
  </si>
  <si>
    <t>Biochemistry &amp; Molecular Biology; Chemistry</t>
  </si>
  <si>
    <t>E8PS4</t>
  </si>
  <si>
    <t>WOS:000978102900001</t>
  </si>
  <si>
    <t>Spilling, K; Piiparinen, J; Achterberg, EP; Arístegui, J; Bach, LT; Camarena-Gómez, MT; von der Esch, E; Fischer, MA; Gómez-Letona, M; Hernández-Hernández, N; Meyer, J; Schmitz, RA; Riebesell, U</t>
  </si>
  <si>
    <t>Spilling, Kristian; Piiparinen, Jonna; Achterberg, Eric P.; Aristegui, Javier; Bach, Lennart T.; Camarena-Gomez, Maria T.; von der Esch, Elisabeth; Fischer, Martin A.; Gomez-Letona, Markel; Hernandez-Hernandez, Nauzet; Meyer, Judith; Schmitz, Ruth A.; Riebesell, Ulf</t>
  </si>
  <si>
    <t>Extracellular enzyme activity in the coastal upwelling system off Peru: amesocosm experiment</t>
  </si>
  <si>
    <t>BIOGEOSCIENCES</t>
  </si>
  <si>
    <t>ALKALINE-PHOSPHATASE ACTIVITY; ORGANIC-MATTER; PHYTOPLANKTON; WATERS; OCEAN; SEA; STOICHIOMETRY; FLUORESCENCE; ECTOENZYMES; VARIABILITY</t>
  </si>
  <si>
    <t>The Peruvian upwelling system is a highly productive ecosystem with a large oxygen minimum zone (OMZ) close to the surface. In this work, we carried out a mesocosm experiment off Callao, Peru, with the addition of water masses from the regional OMZ collected at two different sites simulating two different upwelling scenarios. Here, we focus on the pelagic remineralization of organic matter by the extracellular enzyme activity of leucine aminopeptidase (LAP) and alkaline phosphatase activity (APA). After the addition of the OMZ water, dissolved inorganic nitrogen (N) was depleted, but the standing stock of phytoplankton was relatively high, even after N depletion (mostly &gt; 4 mu g chlorophyll a L-1). During the initial phase of the experiment, APA was 0.6 nmol L-1 h(-1) even though the PO43- concentration was &gt; 0.5 mu mol L-1. Initially, the dissolved organic phosphorus (DOP) decreased, coinciding with an increase in the PO43- concentration that was probably linked to the APA. The LAP activity was very high, with most of the measurements in the range of 200-800 nmol L-1 h(-1). This enzyme hydrolyzes terminal amino acids from larger molecules (e.g., peptides or proteins), and these high values are probably linked to the highly productive but N-limited coastal ecosystem. Moreover, the experiment took place during a rare coastal El Nino event with higher than normal surface temperatures, which could have affected enzyme activity. Using a nonparametric multidimensional scaling analysis (NMDS) with a generalized additive model (GAM), we found that biogeochemical variables (e.g., nutrient and chlorophyll-a concentrations) and phytoplankton and bacterial communities explained up to 64 % of the variability in APA. The bacterial community best explained the variability (34 %) in LAP. The high hydrolysis rates for this enzyme suggest that pelagic N remineralization, likely driven by the bacterial community, supported the high standing stock of primary producers in the mesocosms after N depletion.</t>
  </si>
  <si>
    <t>[Spilling, Kristian; Piiparinen, Jonna] Finnish Environm Inst, Marine &amp; Freshwater Solut, Helsinki, Finland; [Spilling, Kristian] Univ Agder, Ctr Coastal Res, Kristiansand, Norway; [Achterberg, Eric P.; Meyer, Judith; Riebesell, Ulf] GEOMAR Helmholtz Ctr Ocean Res Kiel, Kiel, Germany; [Aristegui, Javier; Gomez-Letona, Markel; Hernandez-Hernandez, Nauzet] Univ Las Palmas Gran Canaria, Inst Oceanog &amp; Cambio Global, IOCAG, Las Palmas Gran Canaria, Spain; [Bach, Lennart T.] Univ Tasmania, Inst Marine &amp; Antarctic Studies, Hobart, Tas, Australia; [Camarena-Gomez, Maria T.] IEO CSIC, Inst Espanol Oceanog, Ctr Oceanog Malaga, Malaga, Spain; [von der Esch, Elisabeth] Tech Univ Munich, Inst Hydrochem, Chair Analyt Chem &amp; Water Chem, Munich, Germany; [Fischer, Martin A.; Schmitz, Ruth A.] Christian Albrechts Univ Kiel, Inst Gen Microbiol, Kiel, Germany</t>
  </si>
  <si>
    <t>Finnish Environment Institute; University of Agder; Helmholtz Association; GEOMAR Helmholtz Center for Ocean Research Kiel; Universidad de Las Palmas de Gran Canaria; University of Tasmania; Spanish Institute of Oceanography; Technical University of Munich; University of Kiel</t>
  </si>
  <si>
    <t>Spilling, K (corresponding author), Finnish Environm Inst, Marine &amp; Freshwater Solut, Helsinki, Finland.;Spilling, K (corresponding author), Univ Agder, Ctr Coastal Res, Kristiansand, Norway.</t>
  </si>
  <si>
    <t>kristian.spilling@syke.fi</t>
  </si>
  <si>
    <t>Spilling, Kristian/KEH-0764-2024; Arístegui, Javier/D-5833-2013; Spilling, Kristian/L-7932-2014; Hernández-Hernández, Nauzet/AAH-5738-2019</t>
  </si>
  <si>
    <t>Arístegui, Javier/0000-0002-7526-7741; Hernández-Hernández, Nauzet/0000-0003-1503-4214; Bach, Lennart/0000-0003-0202-3671; Gomez Letona, Markel/0000-0001-9325-3979</t>
  </si>
  <si>
    <t>German Research Foundation (DFG) Collaborative Research Centre project Climate-biogeochemistry interactions in the tropical ocean [SFB 754]; Academy of Finland [259164]; EU project AQUACOSM (Ulf Riebesell) of the European Union's Horizon 2020 Research and Innovation program [731065]; Leibniz Award 2012 of the German Research Foundation (Ulf Riebesell); Helmholtz International Fellow; Academy of Finland (AKA) [259164] Funding Source: Academy of Finland (AKA)</t>
  </si>
  <si>
    <t>German Research Foundation (DFG) Collaborative Research Centre project Climate-biogeochemistry interactions in the tropical ocean(German Research Foundation (DFG)); Academy of Finland(Research Council of Finland); EU project AQUACOSM (Ulf Riebesell) of the European Union's Horizon 2020 Research and Innovation program; Leibniz Award 2012 of the German Research Foundation (Ulf Riebesell); Helmholtz International Fellow; Academy of Finland (AKA)</t>
  </si>
  <si>
    <t>The experiment was funded through the German Research Foundation (DFG) Collaborative Research Centre project Climate-biogeochemistry interactions in the tropical ocean (SFB 754). Additional funding came from the Academy of Finland (decision no. 259164; Kristian Spilling and Jonna Piiparinen), the EU project AQUACOSM (Ulf Riebesell) under grant no. 731065 of the European Union's Horizon 2020 Research and Innovation program, the Leibniz Award 2012 of the German Research Foundation (Ulf Riebesell) and the Helmholtz International Fellow Award 2015 (Javier Aristegui).</t>
  </si>
  <si>
    <t>1726-4170</t>
  </si>
  <si>
    <t>1726-4189</t>
  </si>
  <si>
    <t>Biogeosciences</t>
  </si>
  <si>
    <t>10.5194/bg-20-1605-2023</t>
  </si>
  <si>
    <t>Ecology; Geosciences, Multidisciplinary</t>
  </si>
  <si>
    <t>E5NL4</t>
  </si>
  <si>
    <t>WOS:000976006000001</t>
  </si>
  <si>
    <t>Fernández, PA; Labbé, B; Gaitán-Espitia, JD; Hurd, CL; Paine, ER; Willis, A; Sanderson, C; Buschmann, AH</t>
  </si>
  <si>
    <t>Fernandez, Pamela A.; Labbe, Barbara; Gaitan-Espitia, Juan D.; Hurd, Catriona L.; Paine, Ellie R.; Willis, Anusuya; Sanderson, Craig; Buschmann, Alejandro H.</t>
  </si>
  <si>
    <t>The influence of ammonium to nitrate ratio on the thermal responses of early life stages of the giant kelp Macrocystis pyrifera</t>
  </si>
  <si>
    <t>Nitrogen metabolism; Nitrate; Ammonium; Kelp; Thermal tolerance; Macrocystis pyrifera</t>
  </si>
  <si>
    <t>NITROGEN UPTAKE; INORGANIC NITROGEN; NUTRIENT AVAILABILITY; LAMINARIA-SACCHARINA; INTERTIDAL SEAWEEDS; MARINE MACROALGAE; NEW-ZEALAND; TEMPERATURE; GROWTH; RHODOPHYTA</t>
  </si>
  <si>
    <t>The distribution and productivity of seaweeds, including kelps, are strongly influenced by changes in temper-ature and inorganic nitrogen (Ni) availability. However, their tolerances, sensitivities, and capacity to adjust to these changes can vary across their complex life cycle (microscopic and macroscopic stages). For the early life stages of Macrocystis, this study investigated the effect of the nitrate: ammonium ratio on physiological traits and gametophyte development at a range of temperatures (6.5 to 26.5 degrees C). Thermal performance curves (TPCs) were utilized to determine and predict the effect of temperature on meiospore germination success (%), gametophyte size (mu m(2)), sex ratio and physiological traits (photosynthetic efficiency and nitrate and ammonium uptake rates). We found that the presence of NH4+ led to negative NO3- uptake rates in Macrocystis pyrifera gametophytes and reduced growth rates, and results suggest that thermal tolerance windows might vary between developmental stages and physiological traits. Our findings indicate that reduced meiospore germination and gametophyte size induced by suboptimal temperatures and increased NH(4)(+)concentrations can lead to lower physiological perfor-mance that might subsequently affect adult individuals and populations. Knowledge of the Ni uptake kinetics and source preferences across different life cycle phases can be crucial for conservation and aquaculture purposes as it might increase species productivity and persistence in a changing ocean.</t>
  </si>
  <si>
    <t>[Fernandez, Pamela A.; Buschmann, Alejandro H.] Univ Lagos, Ctr Imar, CeBiB &amp; MASH, Camino Chinquihue km6, Puerto Montt 580000, Chile; [Labbe, Barbara; Hurd, Catriona L.; Paine, Ellie R.] Inst Marine &amp; Antarctic Studies IMAS, 20 Castray Esplanade, Hobart, Tas 7004, Australia; [Gaitan-Espitia, Juan D.] Univ Hong Kong, SWIRE Inst Marine Sci, Sch Biol Sci, Hong Kong, Peoples R China; [Willis, Anusuya] CSIRO Natl Collect &amp; Marine Infrastruct, Castray Esplanade, Hobart, Tas 7000, Australia; [Sanderson, Craig] Tassal Pty Ltd, Hobart, Tas 7001, Australia</t>
  </si>
  <si>
    <t>Universidad de Los Lagos; University of Tasmania; University of Hong Kong; Commonwealth Scientific &amp; Industrial Research Organisation (CSIRO)</t>
  </si>
  <si>
    <t>Fernández, PA (corresponding author), Univ Lagos, Ctr Imar, CeBiB &amp; MASH, Camino Chinquihue km6, Puerto Montt 580000, Chile.</t>
  </si>
  <si>
    <t>pamela.fernandez@ulagos.cl</t>
  </si>
  <si>
    <t>Wilis, Anusuya/AAV-6917-2020; Gaitan-Espitia, Juan Diego/A-9945-2012; Fernandez, Pamela Andrea/K-2021-2014</t>
  </si>
  <si>
    <t>Wilis, Anusuya/0000-0003-0829-7446; Gaitan-Espitia, Juan Diego/0000-0001-8781-5736; Buschmann, Alejandro/0000-0003-3246-681X; Fernandez, Pamela Andrea/0000-0003-3122-0084</t>
  </si>
  <si>
    <t>Chilean National Agency for Scientific and Technological Research [ANID/PCI REDES 180023]; ANID/FONDECYT-iniciacion [11200474]; Proyecto interno Ulagos [R21/19]; ANID/Programa Basal (CeBiB) [FB-0001]</t>
  </si>
  <si>
    <t>Chilean National Agency for Scientific and Technological Research; ANID/FONDECYT-iniciacion; Proyecto interno Ulagos; ANID/Programa Basal (CeBiB)</t>
  </si>
  <si>
    <t>This research was supported by the Chilean National Agency for Scientific and Technological Research (ANID/PCI REDES 180023). PAF and AHB also acknowledge the support of ANID/FONDECYT-iniciacion 11200474, Proyecto interno Ulagos R21/19, and ANID/Programa Basal (CeBiB, FB-0001).</t>
  </si>
  <si>
    <t>10.1016/j.algal.2023.103114</t>
  </si>
  <si>
    <t>F8EO2</t>
  </si>
  <si>
    <t>WOS:000984626300001</t>
  </si>
  <si>
    <t>Lu, D; Luo, XC; Liu, J; Wu, GL; Yu, Y; Xu, YN; Lin, HW; Yang, F</t>
  </si>
  <si>
    <t>Lu, Di; Luo, Xiang-Chao; Liu, Jie; Wu, Gao-Ling; Yu, Yong; Xu, Yong-Nan; Lin, Hou-Wen; Yang, Fan</t>
  </si>
  <si>
    <t>Phyllofolactones N-T, bioactive bishomoscalarane sesterterpenoids from the marine sponge Phyllospongia foliascens</t>
  </si>
  <si>
    <t>TETRAHEDRON</t>
  </si>
  <si>
    <t>Marine sponge; Phyllospongia foliascens; Bishomoscalarane; Sesterterpenoids; Cytotoxicity</t>
  </si>
  <si>
    <t>SCALARANE-TYPE BISHOMOSESTERTERPENES</t>
  </si>
  <si>
    <t>The chemical investigation of the marine sponge Phyllospongia foliascens, collected from the South China Sea, resulted in the separation and identification of seven new bishomoscalarane-type sesterterpenoids, phyllofolactones N-T (1-7), together with three known analogues (8-10). Their structures were deter-mined by analyses of extensive NMR data and HRESI-MS. Compounds 6 and 8 showed cytotoxicities against human colon cancer cells (HCT116) with the IC50 values of 9.46 and 2.67 mM, respectively.(c) 2023 Elsevier Ltd. All rights reserved.</t>
  </si>
  <si>
    <t>[Lu, Di; Luo, Xiang-Chao; Liu, Jie; Wu, Gao-Ling; Lin, Hou-Wen; Yang, Fan] Shanghai Jiao Tong Univ, Renji Hosp, Res Ctr Marine Drugs, Sch Med,Dept Pharm,State Key Lab Oncogenes &amp; Relat, Shanghai 200127, Peoples R China; [Lu, Di; Xu, Yong-Nan; Lin, Hou-Wen] Shenyang Pharmaceut Univ, Sch Tradit Chinese Mat Med, Shenyang 110016, Peoples R China; [Yu, Yong] Minist Nat Resources, Antarctic Great Wall Ecol Natl Observat &amp; Res Stn, Key Lab Polar Sci, Polar Res Inst China, Shanghai 200136, Peoples R China; [Yu, Yong] Shanghai Jiao Tong Univ, Sch Oceanog SOO, Shanghai 200030, Peoples R China; [Yu, Yong] Minist Nat Resources, Key Lab Polar Sci, Shanghai 200136, Peoples R China; [Yu, Yong] Antarctic Great Wall Ecol Natl Observat &amp; Res Stn, Shanghai 200136, Peoples R China; [Yu, Yong] Polar Res Inst China, Shanghai 200136, Peoples R China</t>
  </si>
  <si>
    <t>Shanghai Jiao Tong University; Shenyang Pharmaceutical University; Ministry of Natural Resources of the People's Republic of China; Polar Research Institute of China; Shanghai Jiao Tong University; Ministry of Natural Resources of the People's Republic of China; Polar Research Institute of China</t>
  </si>
  <si>
    <t>Lin, HW; Yang, F (corresponding author), Shanghai Jiao Tong Univ, Renji Hosp, Res Ctr Marine Drugs, Sch Med,Dept Pharm,State Key Lab Oncogenes &amp; Relat, Shanghai 200127, Peoples R China.;Yu, Y (corresponding author), Minist Nat Resources, Key Lab Polar Sci, Shanghai 200136, Peoples R China.;Yu, Y (corresponding author), Antarctic Great Wall Ecol Natl Observat &amp; Res Stn, Shanghai 200136, Peoples R China.;Yu, Y (corresponding author), Polar Res Inst China, Shanghai 200136, Peoples R China.</t>
  </si>
  <si>
    <t>1226364492@qq.com; luoxc981@163.com; 2289105131@qq.com; wugaoling0803@126.com; yuyong@pric.org.cn; ynxu@syphu.edu.cn; linhouwen@renji.com; yang-fan@sjtu.edu.cn</t>
  </si>
  <si>
    <t>Luo, Xiangchao/0009-0001-1094-3083</t>
  </si>
  <si>
    <t>National Key Research and Development Program of China [2022YFC2804300, 2022YFC2804100]; National Natural Science Foundation of China [82073758, 22137006, U2106227, 82204228]; Oceanic Interdisciplinary Program of Shanghai Jiao Tong University [SL2020MS029]; Open Project of National Major Science and Technology Infrastructure of Translational Medicine [TMSK-2021-206]</t>
  </si>
  <si>
    <t>National Key Research and Development Program of China; National Natural Science Foundation of China(National Natural Science Foundation of China (NSFC)); Oceanic Interdisciplinary Program of Shanghai Jiao Tong University; Open Project of National Major Science and Technology Infrastructure of Translational Medicine</t>
  </si>
  <si>
    <t>This research was funded by the National Key Research and Development Program of China (2022YFC2804300, 2022YFC2804100) . The National Natural Science Foundation of China (82073758, 22137006, U2106227, 82204228) , the Oceanic Interdisciplinary Program of Shanghai Jiao Tong University (SL2020MS029) , Open Project of National Major Science and Technology Infrastructure of Translational Medicine (TMSK-2021-206) . This work is in memory of Mr. Yi-Zhen Yan.</t>
  </si>
  <si>
    <t>0040-4020</t>
  </si>
  <si>
    <t>1464-5416</t>
  </si>
  <si>
    <t>Tetrahedron</t>
  </si>
  <si>
    <t>MAY 12</t>
  </si>
  <si>
    <t>10.1016/j.tet.2023.133382</t>
  </si>
  <si>
    <t>Chemistry, Organic</t>
  </si>
  <si>
    <t>Science Citation Index Expanded (SCI-EXPANDED); Index Chemicus (IC)</t>
  </si>
  <si>
    <t>Chemistry</t>
  </si>
  <si>
    <t>G1KR4</t>
  </si>
  <si>
    <t>WOS:000986834700001</t>
  </si>
  <si>
    <t>Roque, C; Hernández-Molina, J; Brito, P; Madureira, P; Quartau, R; Magalhaes, V; Carrara, G</t>
  </si>
  <si>
    <t>Roque, C.; Hernandez-Molina, J.; Brito, P.; Madureira, P.; Quartau, R.; Magalhaes, V.; Carrara, G.</t>
  </si>
  <si>
    <t>Contourite depositional systems offshore Madeira Island: Decoding the deepwater circulation since the Late Cretaceous to the Quaternary in the NE-Central Atlantic</t>
  </si>
  <si>
    <t>GLOBAL AND PLANETARY CHANGE</t>
  </si>
  <si>
    <t>Oceanic island; Contourite features; Drift; Southern Component Water; Antarctic Bottom Water; Late Cretaceous; Quaternary</t>
  </si>
  <si>
    <t>BOTTOM CURRENT ACTIVITY; EASTERN NORTH-ATLANTIC; OCEAN CIRCULATION; CONTINENTAL-MARGIN; SOUTHERN-OCEAN; GEOCHEMICAL EVOLUTION; ISOTOPE STRATIGRAPHY; SEISMIC STRATIGRAPHY; EQUATORIAL ATLANTIC; TURBIDITY CURRENTS</t>
  </si>
  <si>
    <t>There is still a great unawareness about the deep-water circulation in the NE-Central Atlantic since the Late Cretaceous. The morphology, sedimentary stacking pattern and distribution of contourite depositional systems have been widely used as paleoceanographic indicators, given clues about the relative velocity and pathways of bottom currents past-circulation. We present here evidence of a new contourite features developed in the NECentral Atlantic offshore Madeira Island between -3000 m and - 4950 m water depth. These features allowed us to define two Contourite Depositional Systems (CDSs). The dataset used in our work is composed of multichannel reflection seismic profiles and DSDP and ODP sites for the chronostratigraphic framework. The seismic stratigraphy analysis allowed the identification of six seismic units (U1-U6) and a sub-unit (U6a) separated by erosional discontinuities (D1-D6). The acoustic basement corresponds to oceanic crust located in the Cretaceous Magnetic Quite Zone (-120 Ma to 84 Ma), but basalts drilled at DSDP Site 136 near Madeira Island, indicate an age of about 106 Ma. Sedimentary deposits from seismic units are interpreted as pelagic (unit U1; Early Cretaceous); contourite (U2 to U6; Late Cretaceous to Quaternary); and mass transport deposits (U6a; Quaternary). These seismic units characterize the CDSs from Late Cretaceous (Campanian?), resting unconformably on pelagic sediments of probable Aptian to Santonian age. The CDS-1 (U2 to U4) was formed from Late Cretaceous (Campanian?) to Middle Miocene and the CDS-2 (U5 and U6) was deposited from Middle Miocene to Quaternary. They are bounded by major erosional surfaces and characterized by giant elongated mounded contourite drifts (Drift 1 and Drift 2, respectively). Presently, CDS-1 is inactive and buried by pelagic sediments. Conversely, CDS-2 outcrops between -3000 and 4800 m water depth on the lower slope of Madeira plateau. These results reveal that this region of the NE-Central Atlantic has been swept by long-term northward bottom currents. We propose that the most plausible water masses responsible for these bottom-currents and drifts generation have been the Southern Component Water (SCW) and more recently the Antarctic Bottom Water (AABW). Consequently, the onset of the first incursion of the SCW was near the end of Late Cretaceous, probably in the Campanian. Since the late Eocene, the AABW would have a dominant role in this region of the NE-Central Atlantic. Assuming that during cool periods, the AABW had a greater volume and circulated shallower than 4000 m, we hypothesized that CDS-2 has been mainly active during these periods. On the contrary, during warmer periods, the AABW circulates deeper (&gt;4000 m) and thus contourite deposition associated with the AABW shifted to deeper water depths. Presently the CDS-2 can be considered as a relict feature. Therefore, the Madeira CDCs represents a unique and very promising sedimentary archive for reconstructing deep-water masses circu-lation and their variability in the NE-Central Atlantic since the end of Cretaceous through the Quaternary, where the oceanic seafloor irregularities have been key in controlling the water masses and bottom currents behavior.</t>
  </si>
  <si>
    <t>[Roque, C.; Madureira, P.] EMEPC Estrutura Missao Extensao Plataforma Contine, P-2770047 Paco De Arcos, Portugal; [Roque, C.; Quartau, R.; Magalhaes, V.] Univ Lisbon, Inst Dom Luiz, P-1749016 Lisbon, Portugal; [Hernandez-Molina, J.] Royal Holloway Univ London, Dept Earth Sci, Egham TW20 0EX, Surrey, England; [Brito, P.; Magalhaes, V.] Inst Portugues Mar &amp; Atmosfera, Div Geol Marinha &amp; Georecursos, Lisbon, Portugal; [Madureira, P.] Univ Evora, Dept Geosci, P-7000 Evora, Portugal; [Madureira, P.] Univ Evora, Inst Earth Sci, P-7000 Evora, Portugal; [Quartau, R.] Inst Hidrograf, Div Geol Marinha, Lisbon, Portugal; [Carrara, G.] CNR, CNR Inst Microelect &amp; Microsyst, Bologna, Italy</t>
  </si>
  <si>
    <t>Universidade de Lisboa; University of London; Royal Holloway University London; Instituto Portugues do Mar e da Atmosfera; University of Evora; University of Evora; Consiglio Nazionale delle Ricerche (CNR); Istituto per la Microelettronica e Microsistemi (IMM-CNR)</t>
  </si>
  <si>
    <t>Roque, C (corresponding author), EMEPC Estrutura Missao Extensao Plataforma Contine, P-2770047 Paco De Arcos, Portugal.</t>
  </si>
  <si>
    <t>croque@emepc-portugal.org</t>
  </si>
  <si>
    <t>Magalhaes, Vitor Hugo/F-6770-2011; Roque, Cristina/IUQ-7364-2023; Quartau, Rui/F-1035-2012</t>
  </si>
  <si>
    <t>Magalhaes, Vitor Hugo/0000-0002-3205-771X; Roque, Cristina/0000-0002-2583-594X; Quartau, Rui/0000-0003-3148-7520; Madureira, Pedro Miguel/0000-0003-4762-6273</t>
  </si>
  <si>
    <t>0921-8181</t>
  </si>
  <si>
    <t>1872-6364</t>
  </si>
  <si>
    <t>GLOBAL PLANET CHANGE</t>
  </si>
  <si>
    <t>Glob. Planet. Change</t>
  </si>
  <si>
    <t>10.1016/j.gloplacha.2023.104118</t>
  </si>
  <si>
    <t>F6WG8</t>
  </si>
  <si>
    <t>WOS:000983722200001</t>
  </si>
  <si>
    <t>Postigo, C; Moreno-Merino, L; López-García, E; López-Martínez, J; de Alda, ML</t>
  </si>
  <si>
    <t>Postigo, Cristina; Moreno-Merino, Luis; Lopez-Garcia, Ester; Lopez-Martinez, Jeronimo; de Alda, Miren Lopez</t>
  </si>
  <si>
    <t>Human footprint on the water quality from the northern Antarctic Peninsula region</t>
  </si>
  <si>
    <t>JOURNAL OF HAZARDOUS MATERIALS</t>
  </si>
  <si>
    <t>Polar region; Emerging organic contaminants; Anthropogenic impact; Hydrochemistry; Risk assessment</t>
  </si>
  <si>
    <t>PERSISTENT ORGANIC POLLUTANTS; WASTE-WATER; SURFACE WATERS; RESIDUES; CONTAMINANTS; DICLOFENAC; PRODUCTS; LEGACY; RANGE; SEAL</t>
  </si>
  <si>
    <t>This study assessed the human footprint on the chemical pollution of Antarctic waters by characterizing inor-ganic chemicals and selected organic anthropogenic contaminants of emerging concern (CECs) in inland fresh-water and coastal seawater and the associated ecotoxicological risk. Nicotine and tolytriazole, present in 74% and 89% of the samples analyzed, respectively, were the most ubiquitous CECs in the investigated area. The most abundant CECs were citalopram, clarithromycin, and nicotine with concentrations reaching 292, 173, and 146 ng/L, respectively. The spatial distribution of CECs was not linked to any water characteristic or inorganic component. The contamination pattern by CECs in inland freshwater varied among locations, whereas it was very similar in coastal seawater. This suggests that concentrations in inland freshwater may be ruled by envi-ronmental processes (reemission from ice, atmospheric deposition, limited photo-and biodegradation processes, etc.) in addition to human activities. Following risk assessment, citalopram, clarithromycin, nicotine, ven-lafaxine, and hydrochlorothiazide should be considered of concern in this area, and hence, included in future monitoring of Antarctic waters and biota. This work provides evidence on the fact that current measures taken to protect the pristine environment of Antarctica from human activities are not effective to avoid CEC spread in its aquatic environment.</t>
  </si>
  <si>
    <t>[Postigo, Cristina] Univ Granada, Dept Civil Engn, Technol Water Management &amp; Treatment Res Grp, Campus Fuentenueva S N, Granada 18071, Spain; [Moreno-Merino, Luis] Univ Granada, Inst Water Res IdA, Ramon &amp; Cajal 4, Granada 18071, Spain; [Moreno-Merino, Luis] Spanish Geol Survey CN IGME CSIC, Rios Rosas 23, Madrid 28003, Spain; [Lopez-Garcia, Ester; de Alda, Miren Lopez] Inst Environm Assessment &amp; Water Res IDAEA CSIC, Water Environm &amp; Food Chem Unit ENFOCHEM, Dept Environm Chem, C Jordi Girona 18-26, Barcelona 08034, Spain; [Lopez-Martinez, Jeronimo] Univ Autonoma Madrid, Fac Sci, Campus Cantoblanco, Madrid 28049, Spain</t>
  </si>
  <si>
    <t>University of Granada; University of Granada; Consejo Superior de Investigaciones Cientificas (CSIC); CSIC - Centro de Investigacion y Desarrollo Pascual Vila (CID-CSIC); CSIC - Instituto de Diagnostico Ambiental y Estudios del Agua (IDAEA); Autonomous University of Madrid</t>
  </si>
  <si>
    <t>Postigo, C (corresponding author), Univ Granada, Dept Civil Engn, Technol Water Management &amp; Treatment Res Grp, Campus Fuentenueva S N, Granada 18071, Spain.</t>
  </si>
  <si>
    <t>cristina.postigo@ugr.es</t>
  </si>
  <si>
    <t>López-de-Alda, Miren/E-3357-2014; Lopez-Martinez, Jeronimo/C-5744-2011; Postigo, Cristina/H-7876-2015</t>
  </si>
  <si>
    <t>López-de-Alda, Miren/0000-0002-9347-2765; Lopez-Martinez, Jeronimo/0000-0002-1750-8287; Moreno Merino, Luis/0000-0002-9984-6035; Postigo, Cristina/0000-0002-7344-7044</t>
  </si>
  <si>
    <t>MCIN/AEI [RYC2020-028901-I]; ESF investing in your future; project GEOCHANGES - MCIU/AEI; Universidad de Granada/CBUA; [CEX2018-000794-S]; [RTI2018-098099-B-I00]</t>
  </si>
  <si>
    <t>MCIN/AEI; ESF investing in your future; project GEOCHANGES - MCIU/AEI; Universidad de Granada/CBUA; ;</t>
  </si>
  <si>
    <t>CP acknowledges grant RYC2020-028901-I funded by MCIN/AEI/10.13039/501100011033 and ESF investing in your future. This work was supported by grant CEX2018-000794-S, funded by MCIN/AEI (10.13039/501100011033) , and the project GEOCHANGES (grant RTI2018-098099-B-I00) funded by MCIU/AEI/10.13039/501100011033 and ERDF A way of making Europe. The authors would also like to acknowledge the logistic support for the field work provided by the Spanish Antarctic Programme. This work represents a contribution to CSIC Thematic Interdisciplinary Platform PTI POLARC- SIC. Funding for open access charge: Universidad de Granada/CBUA.</t>
  </si>
  <si>
    <t>0304-3894</t>
  </si>
  <si>
    <t>1873-3336</t>
  </si>
  <si>
    <t>J HAZARD MATER</t>
  </si>
  <si>
    <t>J. Hazard. Mater.</t>
  </si>
  <si>
    <t>JUL 5</t>
  </si>
  <si>
    <t>10.1016/j.jhazmat.2023.131394</t>
  </si>
  <si>
    <t>Engineering, Environmental; Environmental Sciences</t>
  </si>
  <si>
    <t>Engineering; Environmental Sciences &amp; Ecology</t>
  </si>
  <si>
    <t>F7JM1</t>
  </si>
  <si>
    <t>WOS:000984068300001</t>
  </si>
  <si>
    <t>Foddai, M; Carter, CG; Anderson, K; Ruff, N; Wang, SY; Wood, AT; Semmens, JM</t>
  </si>
  <si>
    <t>Foddai, Marco; Carter, Chris G.; Anderson, Kelli; Ruff, Nicole; Wang, Shuangyao; Wood, Andrew T.; Semmens, Jayson M.</t>
  </si>
  <si>
    <t>Impact of temperature and dietary replacement of fishmeal on cardiovascular remodelling and growth performance of adult Atlantic salmon (Salmo salar L.)</t>
  </si>
  <si>
    <t>Atlantic salmon; Myocardial remodelling; Climate change; Fishmeal; Gene expression</t>
  </si>
  <si>
    <t>EPICARDIAL ADIPOSE-TISSUE; RAINBOW-TROUT; ONCORHYNCHUS-MYKISS; HEART MORPHOLOGY; FEED-UTILIZATION; SEAWATER; ENERGY; ACCUMULATION; AQUACULTURE; METABOLISM</t>
  </si>
  <si>
    <t>The development of pathophysiological cardiac alterations in farmed salmonids is a recurrent and widespread welfare issue. Although the aetiology of such cardiac alterations is still unclear, several factors, including rearing temperature, selective breeding programs, and feeding strategies, could induce a morpho-physiological remod-elling of cardiac structure. This maladaptive cardiac remodelling could impair cardiac function and health of farmed salmonids leading to premature mortality and production losses. In this study, we aimed to better un-derstand the impact of suboptimal elevated temperature, resembling a typical summer temperature in Tasmania, and different feed formulations with low inclusion of fishmeal on cardiovascular remodelling and growth per-formance of adult Tasmanian Atlantic salmon. Fish were reared in a seawater recirculating aquaculture system and fed one of three diets with different fishmeal contents (6, 12, and 18%), while exposed to a temperature profile characterised by an incremental increase (1 degrees C per day) from 15 to 19.5 degrees C, 84 days at 19.5 degrees C (elevated temperature), and finally 34 days at 15 degrees C (optimal temperature). In terms of cardiac morphometric parameters, ventricular roundness (measured as height:width ratio) was not affected by temperature or dietary treatment. Conversely, the angle between the bulbus arteriosus and the ventricle significantly increased after the elevated temperature phase, along with relative ventricular mass, showing signs of maladaptive remodelling compared to initial conditions. However, these cardiac parameters were not different between the elevated and optimal temperature phase, which was associated with no changes in transcript abundance of molecular markers of pathological hypertrophy and remodelling, such as, atrial natriuretic peptide (anp) and b-type natriuretic peptide (bnp). Collectively, standard growth rate (SGR) and temperature growth coefficient (TGC), along with feed conversion ratio (FCR), were significantly elevated following exposure to suboptimum elevated temperature relative to optimal temperature. However, no differences in growth rate were observed in fish fed distinct dietary treatments at both elevated and optimal temperatures. These results imply that feeds with low levels of fishmeal can be used under challenging Tasmanian summer conditions without detrimental effect on salmon growth performance. Furthermore, our findings suggest that suboptimal elevated temperatures may induce remodelling of cardiac structure in adult Atlantic salmon, thereby potentially compromising cardiac function and overall health. Future efforts to manage Atlantic salmon susceptibility to climate change will require further research on the effect of challenging environmental conditions on cardiac physiology and performance in an attempt to prevent cardiac pathology, thereby improving health and welfare of farmed salmonids.</t>
  </si>
  <si>
    <t>[Foddai, Marco; Carter, Chris G.; Anderson, Kelli; Wang, Shuangyao; Semmens, Jayson M.] Univ Tasmania, Inst Marine &amp; Antarctic Studies IMAS, 15-21 Nubeena Crescent, Taroona, Tas 7053, Australia; [Wood, Andrew T.] CSIRO Agr &amp; Food, 3-4 Castray Esplanade, Battery Point, Tas 7004, Australia; [Ruff, Nicole] Skretting Australia, 26 Maxwells Rd, Cambridge, Tas 7170, Australia</t>
  </si>
  <si>
    <t>University of Tasmania; Commonwealth Scientific &amp; Industrial Research Organisation (CSIRO)</t>
  </si>
  <si>
    <t>Foddai, M (corresponding author), Univ Tasmania, Inst Marine &amp; Antarctic Studies IMAS, 15-21 Nubeena Crescent, Taroona, Tas 7053, Australia.</t>
  </si>
  <si>
    <t>marco.foddai@utas.edu.au</t>
  </si>
  <si>
    <t>Carter, Chris Guy/A-3438-2008; Wang, Shuangyao/JNT-4380-2023</t>
  </si>
  <si>
    <t>Carter, Chris Guy/0000-0001-5210-1282; Wang, Shuangyao/0000-0003-1074-011X; Foddai, Marco/0000-0001-5715-6004; Anderson, Kelli/0000-0001-7749-4641</t>
  </si>
  <si>
    <t>Institute for Marine and Antarctic Studies; Skretting Australia</t>
  </si>
  <si>
    <t>This work was funded by the Institute for Marine and Antarctic Studies and Skretting Australia.</t>
  </si>
  <si>
    <t>10.1016/j.aquaculture.2023.739590</t>
  </si>
  <si>
    <t>F8CH1</t>
  </si>
  <si>
    <t>WOS:000984566700001</t>
  </si>
  <si>
    <t>Bernhard, GH; Bais, AF; Aucamp, PJ; Klekociuk, AR; Liley, JB; McKenzie, RL</t>
  </si>
  <si>
    <t>Bernhard, G. H.; Bais, A. F.; Aucamp, P. J.; Klekociuk, A. R.; Liley, J. B.; McKenzie, R. L.</t>
  </si>
  <si>
    <t>Stratospheric ozone, UV radiation, and climate interactions</t>
  </si>
  <si>
    <t>PHOTOCHEMICAL &amp; PHOTOBIOLOGICAL SCIENCES</t>
  </si>
  <si>
    <t>TOTAL COLUMN OZONE; ENERGETIC PARTICLE-PRECIPITATION; SPECTRAL ULTRAVIOLET IRRADIANCE; QUASI-BIENNIAL OSCILLATION; GROUND-BASED MEASUREMENTS; AEROSOL OPTICAL DEPTH; ANTARCTIC SEA-ICE; SOUTHERN-HEMISPHERE; MONTREAL PROTOCOL; SOLAR IRRADIANCE</t>
  </si>
  <si>
    <t>This assessment provides a comprehensive update of the effects of changes in stratospheric ozone and other factors (aerosols, surface reflectivity, solar activity, and climate) on the intensity of ultraviolet (UV) radiation at the Earth's surface. The assessment is performed in the context of the Montreal Protocol on Substances that Deplete the Ozone Layer and its Amendments and Adjustments. Changes in UV radiation at low-and mid-latitudes (0-60 degrees) during the last 25 years have generally been small (e.g., typically less than 4% per decade, increasing at some sites and decreasing at others) and were mostly driven by changes in cloud cover and atmospheric aerosol content, caused partly by climate change and partly by measures to control tropospheric pollution. Without the Montreal Protocol, erythemal (sunburning) UV irradiance at northern and southern latitudes of less than 50 degrees would have increased by 10-20% between 1996 and 2020. For southern latitudes exceeding 50 degrees, the UV Index (UVI) would have surged by between 25% (year-round at the southern tip of South America) and more than 100% (South Pole in spring). Variability of erythemal irradiance in Antarctica was very large during the last four years. In spring 2019, erythemal UV radiation was at the minimum of the historical (1991-2018) range at the South Pole, while near record-high values were observed in spring 2020, which were up to 80% above the historical mean. In the Arctic, some of the highest erythemal irradiances on record were measured in March and April 2020. For example in March 2020, the monthly average UVI over a site in the Canadian Arctic was up to 70% higher than the historical (2005-2019) average, often exceeding this mean by three standard deviations. Under the presumption that all countries will adhere to the Montreal Protocol in the future and that atmospheric aerosol concentrations remain constant, erythemal irradiance at mid-latitudes (30-60 degrees) is projected to decrease between 2015 and 2090 by 2-5% in the north and by 4-6% in the south due to recovering ozone. Changes projected for the tropics are = 3%. However, in industrial regions that are currently affected by air pollution, UV radiation will increase as measures to reduce air pollutants will gradually restore UV radiation intensities to those of a cleaner atmosphere. Since most substances controlled by the Montreal Protocol are also greenhouse gases, the phase-out of these substances may have avoided warming by 0.5-1.0 degrees C over mid-latitude regions of the continents, and by more than 1.0 degrees C in the Arctic; however, the uncertainty of these calculations is large. We also assess the effects of changes in stratospheric ozone on climate, focusing on the poleward shift of climate zones, and discuss the role of the small Antarctic ozone hole in 2019 on the devastating Black Summer fires in Australia. Additional topics include the assessment of advances in measuring and modeling of UV radiation; methods for determining personal UV exposure; the effect of solar radiation management (stratospheric aerosol injections) on UV radiation relevant for plants; and possible revisions to the vitamin D action spectrum, which describes the wavelength dependence of the synthesis of previtamin D3 in human skin upon exposure to UV radiation.</t>
  </si>
  <si>
    <t>[Bernhard, G. H.] Biospher Inc, San Diego, CA 92110 USA; [Bais, A. F.] Aristotle Univ Thessaloniki, Dept Phys, Lab Atmospher Phys, Thessaloniki, Greece; [Aucamp, P. J.] Ptersa Environm Consultants, Pretoria, South Africa; [Klekociuk, A. R.] Australian Antarctic Div, Antarctic Climate Program, Kingston, Australia; [Liley, J. B.; McKenzie, R. L.] Natl Inst Water &amp; Atmospher Res, Lauder, New Zealand</t>
  </si>
  <si>
    <t>Aristotle University of Thessaloniki; Australian Antarctic Division; National Institute of Water &amp; Atmospheric Research (NIWA) - New Zealand</t>
  </si>
  <si>
    <t>Bernhard, GH (corresponding author), Biospher Inc, San Diego, CA 92110 USA.;Bais, AF (corresponding author), Aristotle Univ Thessaloniki, Dept Phys, Lab Atmospher Phys, Thessaloniki, Greece.</t>
  </si>
  <si>
    <t>bernhard@biospherical.com; abais@auth.gr</t>
  </si>
  <si>
    <t>Bais, Alkiviadis F/D-2230-2009; Klekociuk, Andrew/A-4498-2015</t>
  </si>
  <si>
    <t>Bais, Alkiviadis F/0000-0003-3899-2001; Aucamp, Pieter/0000-0003-0977-9228; Klekociuk, Andrew/0000-0003-3335-0034; McKenzie, Richard Lloyd/0000-0002-4484-7057</t>
  </si>
  <si>
    <t>HEAL-Link Greece; Aristotle University, Thessaloniki, Greece</t>
  </si>
  <si>
    <t>Open access funding provided by HEAL-Link Greece. Open access funding was provided by Aristotle University, Thessaloniki, Greece.</t>
  </si>
  <si>
    <t>1474-905X</t>
  </si>
  <si>
    <t>1474-9092</t>
  </si>
  <si>
    <t>PHOTOCH PHOTOBIO SCI</t>
  </si>
  <si>
    <t>Photochem. Photobiol. Sci.</t>
  </si>
  <si>
    <t>10.1007/s43630-023-00371-y</t>
  </si>
  <si>
    <t>Biochemistry &amp; Molecular Biology; Biophysics; Chemistry, Physical</t>
  </si>
  <si>
    <t>Biochemistry &amp; Molecular Biology; Biophysics; Chemistry</t>
  </si>
  <si>
    <t>J5RO8</t>
  </si>
  <si>
    <t>WOS:000976252000001</t>
  </si>
  <si>
    <t>Phillips, GAC; Krueck, N; Ogier, E; Barrett, N; Dutton, I; Hartmann, K</t>
  </si>
  <si>
    <t>Phillips, Genevieve A. C.; Krueck, Nils; Ogier, Emily; Barrett, Neville; Dutton, Ian; Hartmann, Klaas</t>
  </si>
  <si>
    <t>Assessing the multiple benefits of partially protected marine protected areas in Australia: A systematic review protocol</t>
  </si>
  <si>
    <t>PLOS ONE</t>
  </si>
  <si>
    <t>RESERVES; AGE</t>
  </si>
  <si>
    <t>BackgroundThere is global pressure to protect more of the world's oceans, primarily to protect biodiversity, and to fulfill the 30 by 30 goal set by the International Union for the Conservation of Nature (IUCN) that has recently been ratified under the Kunming-Montreal Global Biodiversity Framework at the fifteenth Conference of Parties (COP-15). Fully protected marine protected areas (MPAs) provide the highest level of protection for biodiversity from destructive or extractive practices and may limit access to the area itself. Fully protected MPAs (also commonly referred to as 'no-take MPAs') ban all fishing activities, thereby removing the realisation of direct economic and social benefits from resource extraction within these areas. However, fully protected MPAs can still act as source of productivity to surrounding areas, while also providing an important scientific reference role for off-reserve management thereby providing indirect economic and social outcomes, as well as biodiversity benefits. Sustainable marine resource management strives to achieve 'triple-bottom line' benefits, where economic, social, and biodiversity benefits are maximised in managed areas of the ocean. Implementing 'partially protected' areas (PPAs) in areas of high biodiversity value (i.e., inshore, productive areas of the ocean) that allow for some extractive activities, may allow us to supplement fully MPAs to meet IUCN conservation goals, while maximising social and economic benefits. However, our current understanding lacks explicit quantitative assessments of whether and how PPAs can benefit (or otherwise) biodiversity, while also providing economic and social benefits. This study provides a method to systematically review the scientific and legislative literature to understand how PPAs may contribute to conserving biodiversity while also providing social and economic benefits to Australia. Methods and expected outputsThe implementation of partially protected areas (PPAs) requires careful consideration of many potentially competing factors, and an understanding of the types of partial protection already in place in a region. We have developed a systematic literature review protocol focussing on the primary research question: What is the current state of partially protected area (PPA) implementation across Australian marine areas?. The aim of the review is to provide marine resource managers with a comprehensive overview of PPAs in Australia, including associated goals and stated management strategies to achieve these goals, and a methodological approach that may be utilised globally.The review protocol was designed by the research team for a Fisheries Resource and Development Corporation (FRDC) strategic research grant and will seek input from a project steering committee for the project on aggregation of the initial results. The steering committee is made up of stakeholders from a wide range of backgrounds and interests, covering marine conservation, fisheries management, Indigenous values, and academic research in Australia. Multiple academic databases, alongside Australian Federal, State, and Territory legislation and related policies will be reviewed using Boolean keyword search strings for both academic databases and relevant grey literature. Results from eligible documents will be compiled and insights from the review collated to provide information on the status of PPA implementation in Australia.</t>
  </si>
  <si>
    <t>[Phillips, Genevieve A. C.; Krueck, Nils; Ogier, Emily; Barrett, Neville; Hartmann, Klaas] Univ Tasmania, Inst Marine &amp; Antarctic Studies, Taroona, Tas, Australia; [Phillips, Genevieve A. C.; Ogier, Emily; Barrett, Neville; Dutton, Ian] Univ Tasmania, Ctr Marine Socioecol, Hobart, Tas, Australia; [Dutton, Ian] Dept Nat Resources &amp; Environm, Hobart, Tas, Australia</t>
  </si>
  <si>
    <t>University of Tasmania; University of Tasmania</t>
  </si>
  <si>
    <t>Phillips, GAC (corresponding author), Univ Tasmania, Inst Marine &amp; Antarctic Studies, Taroona, Tas, Australia.;Phillips, GAC (corresponding author), Univ Tasmania, Ctr Marine Socioecol, Hobart, Tas, Australia.</t>
  </si>
  <si>
    <t>Genevieve.Phillips@utas.edu.au</t>
  </si>
  <si>
    <t>Hartmann, Klaas/B-3991-2008; Barrett, Neville/J-7593-2014</t>
  </si>
  <si>
    <t>Ogier, Emily/0000-0001-6157-5279; Barrett, Neville/0000-0002-6167-1356; Phillips, Genevieve/0000-0002-2347-2321</t>
  </si>
  <si>
    <t>Australian Government's Fisheries Research and Development Corporation (FRDC) [2021-070]</t>
  </si>
  <si>
    <t>Australian Government's Fisheries Research and Development Corporation (FRDC)(Fisheries R&amp;D Corp)</t>
  </si>
  <si>
    <t>This research was funded by the Australian Government's Fisheries Research and Development Corporation (FRDC) (www.frdc.com.au) Project 2021-070 - The multiple benefits of partially protected areas. All authors are members of the project team that received the funding. The funder (as is detailed a requirement in the contract for the funding) reviewed the manuscript prior to submission. No edits were received from the FRDC prior to submission. The funders have no role in the study design, data collection and analysis, decision to publish, or preparation of the manuscript.</t>
  </si>
  <si>
    <t>PUBLIC LIBRARY SCIENCE</t>
  </si>
  <si>
    <t>SAN FRANCISCO</t>
  </si>
  <si>
    <t>1160 BATTERY STREET, STE 100, SAN FRANCISCO, CA 94111 USA</t>
  </si>
  <si>
    <t>1932-6203</t>
  </si>
  <si>
    <t>PLoS One</t>
  </si>
  <si>
    <t>APR 20</t>
  </si>
  <si>
    <t>e0284711</t>
  </si>
  <si>
    <t>10.1371/journal.pone.0284711</t>
  </si>
  <si>
    <t>F9EP3</t>
  </si>
  <si>
    <t>Green Accepted, gold</t>
  </si>
  <si>
    <t>WOS:000985308900070</t>
  </si>
  <si>
    <t>Otosaka, IN; Shepherd, A; Ivins, ER; Schlegel, NJ; Amory, C; van den Broeke, MR; Horwath, M; Joughin, I; King, MD; Krinner, G; Nowicki, S; Payne, AJ; Rignot, E; Scambos, T; Simon, KM; Smith, BE; Sorensen, LS; Velicogna, I; Whitehouse, PL; Geruo, A; Agosta, C; Ahlstrom, AP; Blazquez, A; Colgan, W; Engdahl, ME; Fettweis, X; Forsberg, R; Gallée, H; Gardner, A; Gilbert, L; Gourmelen, N; Groh, A; Gunter, BC; Harig, C; Helm, V; Khan, SA; Kittel, C; Konrad, H; Langen, PL; Lecavalier, BS; Liang, CC; Loomis, BD; McMillan, M; Melini, D; Mernild, SH; Mottram, R; Mouginot, J; Nilsson, J; Noël, B; Pattle, ME; Peltier, WR; Pie, N; Roca, M; Sasgen, I; Save, HV; Seo, KW; Scheuchl, B; Schrama, EJO; Schröder, L; Simonsen, SB; Slater, T; Spada, G; Sutterley, TC; Vishwakarma, BD; van Wessem, JM; Wiese, D; van der Wal, W; Wouters, B</t>
  </si>
  <si>
    <t>Otosaka, Ines N.; Shepherd, Andrew; Ivins, Erik R.; Schlegel, Nicole-Jeanne; Amory, Charles; van den Broeke, Michiel R.; Horwath, Martin; Joughin, Ian; King, Michalea D.; Krinner, Gerhard; Nowicki, Sophie; Payne, Anthony J.; Rignot, Eric; Scambos, Ted; Simon, Karen M.; Smith, Benjamin E.; Sorensen, Louise S.; Velicogna, Isabella; Whitehouse, Pippa L.; Geruo, A.; Agosta, Cecile; Ahlstrom, Andreas P.; Blazquez, Alejandro; Colgan, William; Engdahl, Marcus E.; Fettweis, Xavier; Forsberg, Rene; Gallee, Hubert; Gardner, Alex; Gilbert, Lin; Gourmelen, Noel; Groh, Andreas; Gunter, Brian C.; Harig, Christopher; Helm, Veit; Khan, Shfaqat Abbas; Kittel, Christoph; Konrad, Hannes; Langen, Peter L.; Lecavalier, Benoit S.; Liang, Chia-Chun; Loomis, Bryant D.; McMillan, Malcolm; Melini, Daniele; Mernild, Sebastian H.; Mottram, Ruth; Mouginot, Jeremie; Nilsson, Johan; Noel, Brice; Pattle, Mark E.; Peltier, William R.; Pie, Nadege; Roca, Monica; Sasgen, Ingo; Save, Himanshu V.; Seo, Ki-Weon; Scheuchl, Bernd; Schrama, Ernst J. O.; Schroder, Ludwig; Simonsen, Sebastian B.; Slater, Thomas; Spada, Giorgio; Sutterley, Tyler C.; Vishwakarma, Bramha Dutt; van Wessem, Jan Melchior; Wiese, David; van der Wal, Wouter; Wouters, Bert</t>
  </si>
  <si>
    <t>Mass balance of the Greenland and Antarctic ice sheets from 1992 to 2020</t>
  </si>
  <si>
    <t>EARTH SYSTEM SCIENCE DATA</t>
  </si>
  <si>
    <t>GLACIAL ISOSTATIC-ADJUSTMENT; AMUNDSEN SEA EMBAYMENT; ELEVATION CHANGE; LEVEL RISE; WEST ANTARCTICA; GRACE; SURFACE; MODEL; FUTURE; ACCELERATION</t>
  </si>
  <si>
    <t>Ice losses from the Greenland and Antarctic ice sheets have accelerated since the 1990s, accounting for a significant increase in the global mean sea level. Here, we present a new 29-year record of ice sheet mass balance from 1992 to 2020 from the Ice Sheet Mass Balance Inter-comparison Exercise (IMBIE). We compare and combine 50 independent estimates of ice sheet mass balance derived from satellite observations of temporal changes in ice sheet flow, in ice sheet volume, and in Earth's gravity field. Between 1992 and 2020, the ice sheets contributed 21 :0 +/- 1 :9mm to global mean sea level, with the rate of mass loss rising from 105 Gt yr(-1) between 1992 and 1996 to 372 Gt yr(-1) between 2016 and 2020. In Greenland, the rate of mass loss is 169 +/- 9 Gt yr(-1) between 1992 and 2020, but there are large inter-annual variations in mass balance, with mass loss ranging from 86 Gt yr(-1) in 2017 to 444 Gt yr(-1) in 2019 due to large variability in surface mass balance. In Antarctica, ice losses continue to be dominated by mass loss from West Antarctica (82 +/- 9 Gt yr(-1)) and, to a lesser extent, from the Antarctic Peninsula (13 +/- 5 Gt yr(-1)). East Antarctica remains close to a state of balance, with a small gain of 3 +/- 15 Gt yr(-1), but is the most uncertain component of Antarctica's mass balance. The dataset is publicly available at https://doi.org/10.5285/77B64C55-7166-4A06-9DEF-2E400398E452 (IMBIE Team, 2021).</t>
  </si>
  <si>
    <t>[Otosaka, Ines N.; Shepherd, Andrew; Slater, Thomas] Univ Leeds, Ctr Polar Observat &amp; Modelling, Leeds, England; [Shepherd, Andrew] Northumbria Univ, Dept Geog &amp; Environm Sci, Newcastle Upon Tyne, Tyne &amp; Wear, England; [Ivins, Erik R.; Schlegel, Nicole-Jeanne; Velicogna, Isabella; Gardner, Alex; Nilsson, Johan; Wiese, David] CALTECH, Jet Prop Lab, Pasadena, CA USA; [Amory, Charles; Krinner, Gerhard; Gallee, Hubert; Kittel, Christoph; Mouginot, Jeremie] Univ Grenoble Alpes, Inst Environm Geosci, Grenoble, France; [van den Broeke, Michiel R.; Noel, Brice; van Wessem, Jan Melchior; Wouters, Bert] Univ Utrecht, Inst Marine &amp; Atmospher Res, Utrecht, Netherlands; [Horwath, Martin; Groh, Andreas; Schroder, Ludwig] Tech Univ Dresden, Inst Planetare Geodasie, Dresden, Germany; [Joughin, Ian; King, Michalea D.; Smith, Benjamin E.] Univ Washington, Polar Sci Ctr, Seattle, WA USA; [Nowicki, Sophie] SUNY Buffalo, Dept Geol, Buffalo, NY USA; [Payne, Anthony J.] Univ Bristol, Sch Geog Sci, Bristol, England; [Rignot, Eric; Velicogna, Isabella; Geruo, A.; Liang, Chia-Chun; Scheuchl, Bernd] Univ Calif Irvine, Earth Syst Sci, Irvine, CA USA; [Scambos, Ted] Univ Colorado, Earth Sci &amp; Observat Ctr, CIRES, Boulder, CO USA; [Simon, Karen M.; van der Wal, Wouter; Wouters, Bert] Delft Univ Technol, Fac Civil Engn &amp; Geosci, Delft, Netherlands; [Sorensen, Louise S.; Forsberg, Rene; Khan, Shfaqat Abbas; Simonsen, Sebastian B.] Tech Univ Denmark, Natl Space Inst, Lyngby, Denmark; [Whitehouse, Pippa L.] Univ Durham, Dept Geog, Durham, England; [Agosta, Cecile] CEA CNRS UVSQ, LSCE IPSL, Lab Sci Climat &amp; Environm, Gif Sur Yvette, France; [Ahlstrom, Andreas P.; Colgan, William] Geol Survey Denmark &amp; Greenland, Glaciol &amp; Climate, Copenhagen, Denmark; [Blazquez, Alejandro] CNRS, Spatial Geophys &amp; Oceanog Studies Lab, Toulouse, France; [Engdahl, Marcus E.] ESA ESRIN, Frascati, Italy; [Fettweis, Xavier] Univ Liege, Geog, Liege, Belgium; [Gilbert, Lin] UCL, Mullard Space Sci Lab, London, W Sussex, England; [Gourmelen, Noel] Univ Edinburgh, Sch Geosci, Edinburgh, Scotland; [Gunter, Brian C.] Georgia Inst Technol, Aerosp Engn, Atlanta, GA USA; [Harig, Christopher] Univ Arizona, Dept Geosci, Tucson, AZ USA; [Helm, Veit; Sasgen, Ingo] Helmholtz Ctr Polar &amp; Marine Res, Alfred Wegener Inst, Glaciol, Bremerhaven, Germany; [Konrad, Hannes] Deutsch Wetterdienst, Satellite Based Climate Monitoring, Offenbach, Germany; [Langen, Peter L.] Aarhus Univ, Dept Environm Sci, iClimate, Roskilde, Denmark; [Lecavalier, Benoit S.] Mem Univ, Dept Phys &amp; Phys Oceanog, St John, NF, Canada; [Loomis, Bryant D.] NASA GSFC, Geodesy &amp; Geophys Lab, Greenbelt, MD USA; [McMillan, Malcolm] Univ Lancaster, Lancaster Environm Ctr, Lancaster, England; [Melini, Daniele] Ist Nazl Geofis &amp; Vulcanol, Rome, Italy; [Mernild, Sebastian H.] Univ Southern Denmark, SDU Climate Cluster, Odense, Denmark; [Mottram, Ruth] Danish Meteorol Inst, Res &amp; Dev Dept, Copenhagen, Denmark; [Pattle, Mark E.] isardSAT, Guildford, England; [Peltier, William R.] Univ Toronto, Phys, Toronto, ON, Canada; [Pie, Nadege; Save, Himanshu V.] Univ Texas Austin, Ctr Space Res, Austin, TX USA; [Roca, Monica] isardSAT, Barcelona, Spain; [Seo, Ki-Weon] Seoul Natl Univ, Dept Earth Sci Educ, Seoul, South Korea; [Schrama, Ernst J. O.] Delft Univ Technol, Fac Aerosp Engn, Dept Space Engn, Delft, Netherlands; [Spada, Giorgio] Univ Bologna, Dipartimento Fis &amp; Astron, Alma Mater Studiorum, Bologna, Italy; [Sutterley, Tyler C.] Univ Washington, Appl Phys Lab, Seattle, WA USA; [Vishwakarma, Bramha Dutt] Indian Inst Sci, Interdisciplinary Ctr Water Res, Bengaluru, India</t>
  </si>
  <si>
    <t>University of Leeds; Northumbria University; California Institute of Technology; National Aeronautics &amp; Space Administration (NASA); NASA Jet Propulsion Laboratory (JPL); Communaute Universite Grenoble Alpes; Universite Grenoble Alpes (UGA); Utrecht University; Technische Universitat Dresden; University of Washington; University of Washington Seattle; State University of New York (SUNY) System; State University of New York (SUNY) Buffalo; University of Bristol; University of California System; University of California Irvine; University of Colorado System; University of Colorado Boulder; Delft University of Technology; Technical University of Denmark; Durham University; CEA; Centre National de la Recherche Scientifique (CNRS); Universite Paris Saclay; Geological Survey Of Denmark &amp; Greenland; Centre National de la Recherche Scientifique (CNRS); European Space Agency; University of Liege; University of London; University College London; University of Edinburgh; University System of Georgia; Georgia Institute of Technology; University of Arizona; Helmholtz Association; Alfred Wegener Institute, Helmholtz Centre for Polar &amp; Marine Research; Deutscher Wetterdienst; Aarhus University; Memorial University Newfoundland; National Aeronautics &amp; Space Administration (NASA); NASA Goddard Space Flight Center; Lancaster University; Istituto Nazionale Geofisica e Vulcanologia (INGV); University of Southern Denmark; Danish Meteorological Institute DMI; University of Toronto; University of Texas System; University of Texas Austin; Seoul National University (SNU); Delft University of Technology; University of Bologna; University of Washington; University of Washington Seattle; Indian Institute of Science (IISC) - Bangalore</t>
  </si>
  <si>
    <t>Otosaka, IN (corresponding author), Univ Leeds, Ctr Polar Observat &amp; Modelling, Leeds, England.</t>
  </si>
  <si>
    <t>i.n.otosaka@leeds.ac.uk</t>
  </si>
  <si>
    <t>Simonsen, Sebastian Bjerregaard/F-4791-2013; Krinner, Gerhard/A-6450-2011; Payne, Anthony/ITY-8434-2023; Velicogna, Isabella/R-5561-2018; Rignot, Eric/A-4560-2014; Peltier, William R./A-1102-2008; Mouginot, Jeremie/G-7045-2015; Krinner, Gerhard/AAB-8837-2022; Harig, Christopher T/B-4714-2009; Khan, Shfaqat Abbas/B-2664-2012; Mernild, Sebastian H./M-5516-2013; payne, antony/A-8916-2008; Wouters, Bert/A-5301-2017; van den Broeke, Michiel Roland/F-7867-2011; Sorensen, Louise Sandberg/E-5282-2014</t>
  </si>
  <si>
    <t>Simonsen, Sebastian Bjerregaard/0000-0001-9569-1294; Payne, Anthony/0000-0002-9907-7635; Rignot, Eric/0000-0002-3366-0481; Mouginot, Jeremie/0000-0001-9155-5455; Krinner, Gerhard/0000-0002-2959-5920; Khan, Shfaqat Abbas/0000-0002-2689-8563; SCAMBOS, Ted A./0000-0003-4268-6322; Mernild, Sebastian H./0000-0003-0797-3975; payne, antony/0000-0001-8825-8425; Wouters, Bert/0000-0002-1086-2435; Otosaka, Ines Natsuki/0000-0001-9740-3735; King, Michalea/0000-0002-8138-4362; van den Broeke, Michiel Roland/0000-0003-4662-7565; Amory, Charles/0000-0002-5906-4303; Forsberg, Rene/0000-0002-7288-9545; Langen, Peter L./0000-0003-2185-012X; Schlegel, Nicole-Jeanne/0000-0001-8035-448X; Sorensen, Louise Sandberg/0000-0002-3771-4061</t>
  </si>
  <si>
    <t>ESA EOEP-5 EO Science for Society; ESA Climate Change Initiative; NASA Cryosphere Program</t>
  </si>
  <si>
    <t>This work is an outcome of the Ice Sheet Mass Balance Inter-comparison Exercise (IMBIE) supported by the ESA EOEP-5 EO Science for Society, the ESA Climate Change Initiative, and the NASA Cryosphere Program.</t>
  </si>
  <si>
    <t>1866-3508</t>
  </si>
  <si>
    <t>1866-3516</t>
  </si>
  <si>
    <t>EARTH SYST SCI DATA</t>
  </si>
  <si>
    <t>Earth Syst. Sci. Data</t>
  </si>
  <si>
    <t>10.5194/essd-15-1597-2023</t>
  </si>
  <si>
    <t>E4VG2</t>
  </si>
  <si>
    <t>Green Published, gold, Green Submitted, Green Accepted</t>
  </si>
  <si>
    <t>WOS:000975528500001</t>
  </si>
  <si>
    <t>Câmara, PEAS; Lopes, FAC; Bones, FLV; Rodrigues, LAC; Carvalho-Silva, M; Stech, M; Convey, P; Rosa, LH</t>
  </si>
  <si>
    <t>Camara, Paulo Eduardo Aguiar Saraiva; Lopes, Fabyano Alvares Cardoso; Bones, Fabio Leal Viana; Rodrigues, Luiz Antonio Costa; Carvalho-Silva, Micheline; Stech, Michael; Convey, Peter; Rosa, Luiz Henrique</t>
  </si>
  <si>
    <t>Investigating aerial diversity of non- fungal eukaryotes across a 40° latitudinal transect using DNA metabarcoding</t>
  </si>
  <si>
    <t>AUSTRAL ECOLOGY</t>
  </si>
  <si>
    <t>Antarctica; ITS; South America; South Atlantic; wind dispersal</t>
  </si>
  <si>
    <t>DISPERSAL; TRANSPORT; PLANT</t>
  </si>
  <si>
    <t>The high number of bipolar and widespread bryophyte and microbial taxa in the Antarctic flora suggests the effective Long--Distance Dispersal (LDD) of spores and other propagules from lower latitudes and even the Northern Hemisphere to Antarctica and the sub--Antarctic regions. However, few studies have attempted to document the transfer mechanisms by which potential newcomers may arrive in Antarctica. Commonly suggested or assumed mechanisms include transport in air currents, adventitious transfer with migrating or vagrant birds, and with human assistance. In this study, we investigated the biodiversity present in the air along a 40 degrees latitudinal transect, from the port city of Rio de Janeiro, Brazil (ca. 22 degrees S) to Comandante Ferraz Station on King George Island (South Shetland Islands, ca. 62 degrees S), maritime Antarctica, to shed light on the potential role of LDD in species distribution. Air samples were collected in October 2021 on the Brazilian polar support vessel Ary Rongel using air filters with membranes of 0.22 mu m. Total DNA was extracted from the filters and the Internal Transcribed Spacer (ITS2) DNA sequence was used for metabarcoding. A total of 53 non-fungal taxa representing three kingdoms (most abundantly Viridiplantae) and six phyla (most abundantly Bryophyta and Magnoliophyta) were assigned from the sequences found. Aerial biodiversity was greater closer to the coast and generally decreased with increasing latitude, although a small increase was apparent in the South Shetland Islands. The taxa assigned are generally present in coastal biomes, although a small proportion of the assignments represented taxa of more distant origin, supporting the occurrence of LDD in the air column.</t>
  </si>
  <si>
    <t>[Camara, Paulo Eduardo Aguiar Saraiva; Carvalho-Silva, Micheline] Univ Brasilia, Dept Bot, Brasilia, DF, Brazil; [Camara, Paulo Eduardo Aguiar Saraiva; Bones, Fabio Leal Viana] Univ Fed Santa Catarina, Programa Posgrad Algas Fungos &amp; Plantas, Florianopolis, SC, Brazil; [Lopes, Fabyano Alvares Cardoso] Univ Fed Tocantins, Lab Microbiol, Porto Nacl, Tocantins, Brazil; [Rodrigues, Luiz Antonio Costa] Fac Celso Lisboa, Rio De Janeiro, Brazil; [Stech, Michael] Nat Biodivers Ctr, Leiden, Netherlands; [Stech, Michael] Leiden Univ, Leiden, Netherlands; [Convey, Peter] British Antarctic Survey, Cambridge, England; [Convey, Peter] Univ Johannesburg, Dept Zool, Johannesburg, South Africa; [Convey, Peter] Millennium Inst Biodivers Antarctic &amp; Subantarcti, Santiago, Chile; [Convey, Peter] CHIC, Puerto Williams, Chile; [Rosa, Luiz Henrique] Univ Fed Minas Gerais, Dept Microbiol, Belo Horizonte, MG, Brazil</t>
  </si>
  <si>
    <t>Universidade de Brasilia; Universidade Federal de Santa Catarina (UFSC); Universidade Federal do Tocantins (UFT); Naturalis Biodiversity Center; Leiden University; Leiden University - Excl LUMC; UK Research &amp; Innovation (UKRI); Natural Environment Research Council (NERC); NERC British Antarctic Survey; University of Johannesburg; Universidade Federal de Minas Gerais</t>
  </si>
  <si>
    <t>Câmara, PEAS (corresponding author), Univ Brasilia, Dept Bot, Brasilia, DF, Brazil.</t>
  </si>
  <si>
    <t>paducamara@gmail.com</t>
  </si>
  <si>
    <t>Costa Rodrigues, Luiz Antonio/J-5841-2018; Lopes, Fabyano/F-7558-2018; Camara, Paulo/J-5482-2014</t>
  </si>
  <si>
    <t>Costa Rodrigues, Luiz Antonio/0000-0003-0025-4177; Lopes, Fabyano/0000-0002-4565-9103; Camara, Paulo/0000-0002-3944-996X</t>
  </si>
  <si>
    <t>Conselho Nacional de Desenvolvimento Cientifico e Tecnologico</t>
  </si>
  <si>
    <t>Conselho Nacional de Desenvolvimento Cientifico e Tecnologico(Conselho Nacional de Desenvolvimento Cientifico e Tecnologico (CNPQ))</t>
  </si>
  <si>
    <t>WILEY</t>
  </si>
  <si>
    <t>HOBOKEN</t>
  </si>
  <si>
    <t>111 RIVER ST, HOBOKEN 07030-5774, NJ USA</t>
  </si>
  <si>
    <t>1442-9985</t>
  </si>
  <si>
    <t>1442-9993</t>
  </si>
  <si>
    <t>AUSTRAL ECOL</t>
  </si>
  <si>
    <t>Austral Ecol.</t>
  </si>
  <si>
    <t>2023 APR 20</t>
  </si>
  <si>
    <t>10.1111/aec.13332</t>
  </si>
  <si>
    <t>Ecology</t>
  </si>
  <si>
    <t>E5GI9</t>
  </si>
  <si>
    <t>WOS:000975819400001</t>
  </si>
  <si>
    <t>Lamont, BB; He, TH; Cowling, RM</t>
  </si>
  <si>
    <t>Lamont, Byron B.; He, Tianhua; Cowling, Richard M.</t>
  </si>
  <si>
    <t>Fossil pollen resolves origin of the South African Proteaceae as transcontinental not transoceanic</t>
  </si>
  <si>
    <t>ANNALS OF BOTANY</t>
  </si>
  <si>
    <t>Australia; Cape of South Africa; Cretaceous; kimberlite (Arnot) pipes; palaeobiogeography; palaeofire; palynomorphs; Protea; Proteaceae; Proteacidites; transoceanic dispersal; Triorites africaensis</t>
  </si>
  <si>
    <t>EVOLUTION; OCEAN; DIVERSIFICATION; CIRCULATION; ADAPTATION; PALYNOLOGY; SIMULATION; DIVERSITY</t>
  </si>
  <si>
    <t>Background and Aims The prevailing view from the areocladogenesis of molecular phylogenies is that the iconic South African Cape Proteaceae (subfamily Proteoideae) arrived from Australia across the Indian Ocean during the Late Cretaceous (100-65 million years ago, Ma). Since fossil pollen indicates that the family probably arose in North-West Africa during the Early Cretaceous, an alternative view is that it migrated to the Cape from North-West-Central Africa. The plan therefore was to collate fossil pollen records throughout Africa to determine if they are consistent with an African (para-autochthonous) origin for the Cape Proteaceae, and to seek further support from other palaeo-disciplines. Methods We used palynology (identity, date and location of records), molecular phylogeny and chronogram preparation, biogeography of plate tectonics, and palaeo-atmospheric and ocean circulation models. Key Results Our collation of the rich assemblage of Proteaceae palynomorphs stretching back to 107 Ma (Triorites africaensis) in North-West Africa showed its progressive overland migration to the Cape by 75-65 Ma. No key palynomorphs recorded in Australia-Antarctica have morphological affinities with African fossils but specific clade assignment of the pre-Miocene records is not currently possible. The Cape Proteaceae encompass three molecular-based clades (tribes) whose most recent apparent ancestors are sisters to those in Australia. However, our chronogram shows that the major Adenanthos/Leucadendron-related clade, originating 54-34 Ma, would have 'arrived' too late as species with Proteaceae affinities were already present similar to 20 million years earlier. The Franklandia/Protea-related clade arose 118-81 Ma so its distinctive pollen should have been the foundation for the scores of palynomorphs recorded at 100-80 Ma, but it was not. Also, the prevailing winds and ocean currents trended away from South Africa rather than towards, as the 'out-of-Australia' hypothesis requires. Based on the evidence assembled here, we list three points favouring an Australian origin and nine against; four points favouring an Antarctic origin and seven against; and nine points favouring a North-West-Central African origin and three against. Conclusions We conclude that a gradual migration of the Proteaceae from North-West-Central Africa southeast -&gt; south -&gt; southwest to the Cape and its surroundings occurred via adaptation and speciation during the period 95-70 Ma. We caution that incorrect conclusions may be drawn from literal interpretations of molecular phylogenies that neglect the fossil record and do not recognize the possible confounding effects of selection under matched environments leading to parallel evolution and extinction of bona fide sister clades.</t>
  </si>
  <si>
    <t>[Lamont, Byron B.] Curtin Univ, Sch Mol &amp; Life Sci, Ecol Sect, Perth, WA 6845, Australia; [He, Tianhua] Murdoch Univ, Coll Sci Hlth Engn &amp; Educ, Murdoch, WA, Australia; [Cowling, Richard M.] Nelson Mandela Univ, African Ctr Coastal Palaeosci, Eastern Cape, South Africa</t>
  </si>
  <si>
    <t>Curtin University; Murdoch University; Nelson Mandela University</t>
  </si>
  <si>
    <t>Lamont, BB (corresponding author), Curtin Univ, Sch Mol &amp; Life Sci, Ecol Sect, Perth, WA 6845, Australia.</t>
  </si>
  <si>
    <t>B.Lamont@curtin.edu.au</t>
  </si>
  <si>
    <t>Cowling, Richard M/G-1577-2017</t>
  </si>
  <si>
    <t>OXFORD UNIV PRESS</t>
  </si>
  <si>
    <t>GREAT CLARENDON ST, OXFORD OX2 6DP, ENGLAND</t>
  </si>
  <si>
    <t>0305-7364</t>
  </si>
  <si>
    <t>1095-8290</t>
  </si>
  <si>
    <t>ANN BOT-LONDON</t>
  </si>
  <si>
    <t>Ann. Bot.</t>
  </si>
  <si>
    <t>10.1093/aob/mcad055</t>
  </si>
  <si>
    <t>Plant Sciences</t>
  </si>
  <si>
    <t>F9ET5</t>
  </si>
  <si>
    <t>WOS:000985313300001</t>
  </si>
  <si>
    <t>Asimus, JL; Daczko, NR; Ezad, IS</t>
  </si>
  <si>
    <t>Asimus, Jeremy L.; Daczko, Nathan R.; Ezad, Isra S.</t>
  </si>
  <si>
    <t>Melt-present deformation at the Entia Dome, Central Australia: A metamorphic core complex formed during lower crustal tectonic extrusion</t>
  </si>
  <si>
    <t>LITHOS</t>
  </si>
  <si>
    <t>Melt migration; Melt-rock interaction; Gneiss dome; Strain localisation; Reaction replacement; Alice Springs Orogeny</t>
  </si>
  <si>
    <t>EASTERN ARUNTA-INLIER; RUBY MINE AREA; THOR-ODIN DOME; ROCK INTERACTION; HARTS RANGE; U-PB; BASIN FORMATION; GNEISS DOMES; ORIGIN; RHEOLOGY</t>
  </si>
  <si>
    <t>Core complexes are domal structures that exhume crust and mantle during extension. They occur in tectonic settings such as mid-ocean-ridges and continental rifted margins and provide important windows into deep Earth processes. The Entia Dome, central Australia, is an enigmatic core complex since it formed during the contractional Alice Springs Orogeny. Here, we provide field, petrographic, geochemical, and experimental evidence that demonstrates melt-present deformation in the lower crust formed weak high strain gneisses at the Entia Dome. Syn-tectonic melt migration within the high strain zones induced melt-mediated reaction softening, grain size reduction, phase mixing and thermal softening, enhancing the dominant rheological weakening caused by the physical presence of melt. We combine our recognition of melt weakened lower crust with the structural architecture of the dome to suggest that NE- and SW-verging, upper crustal thrusting during the Alice Springs Orogeny was kinematically decoupled from the SE-directed extrusion of rheologically weak lower crust. For the first time, we place the evolution of the Entia Dome into the context of a tectonic extrusion hypothesis proposed for the Alice Springs Orogeny, where lower crustal extrusion provided the extensional setting necessary for core complex formation during a contractional orogeny.</t>
  </si>
  <si>
    <t>[Asimus, Jeremy L.; Daczko, Nathan R.; Ezad, Isra S.] Macquarie Univ, ARC Ctr Excellence Core Crust Fluid Syst, Sch Nat Sci, Sydney, NSW 2109, Australia; [Asimus, Jeremy L.; Daczko, Nathan R.; Ezad, Isra S.] Macquarie Univ, Sch Nat Sci, GEMOC, Sydney, NSW 2109, Australia; [Asimus, Jeremy L.] Univ Tasmania, Inst Marine &amp; Antarctic Studies, Private Bag 129, Hobart, Tas 7001, Australia</t>
  </si>
  <si>
    <t>Macquarie University; Macquarie University; University of Tasmania</t>
  </si>
  <si>
    <t>Asimus, JL (corresponding author), Univ Tasmania, Inst Marine &amp; Antarctic Studies, Private Bag 129, Hobart, Tas 7001, Australia.</t>
  </si>
  <si>
    <t>jeremy.asimus@utas.edu.au</t>
  </si>
  <si>
    <t>Asimus, Jeremy/0000-0002-6495-5813</t>
  </si>
  <si>
    <t>School of Natural Sciences, Macquarie University; Geological Society of Australia, through the GSA endowment fund; Stephen Foley's ARC Laureate Fellowship [FL180100134]</t>
  </si>
  <si>
    <t>School of Natural Sciences, Macquarie University; Geological Society of Australia, through the GSA endowment fund; Stephen Foley's ARC Laureate Fellowship</t>
  </si>
  <si>
    <t>We acknowledge Sean Murray and Yi-Jen Lai of Macquarie University GeoAnalytical (MQGA) , as well as Karsten Goemann and Thomas Rodemann at the Central Science Laboratory (CSL) , University of Tasmania, for facilitating laboratory analyses used in this study. We further thank Jo Whelan and Cait Stuart of the Northern Territory Geological Survey (NTGS) for providing constructive discussion about the geology of the Arunta Region. This study was financially supported internally through the School of Natural Sciences, Macquarie University, and by the Geological Society of Australia, through the GSA endowment fund. I.S.E. acknowledges funding from Stephen Foley's ARC Laureate Fellowship FL180100134. We would like to thank Iain Neill and Melanie Finch for their careful and constructive reviews and Nadia Malaspina for editorial handling.</t>
  </si>
  <si>
    <t>0024-4937</t>
  </si>
  <si>
    <t>1872-6143</t>
  </si>
  <si>
    <t>Lithos</t>
  </si>
  <si>
    <t>10.1016/j.lithos.2023.107170</t>
  </si>
  <si>
    <t>Geochemistry &amp; Geophysics; Mineralogy</t>
  </si>
  <si>
    <t>F8OA8</t>
  </si>
  <si>
    <t>WOS:000984875100001</t>
  </si>
  <si>
    <t>Zhang, HF; Wang, RJ; Han, ZB; Sun, YM; Fan, GJ; Zhao, J; Hu, J; Ren, JA; Pan, JM</t>
  </si>
  <si>
    <t>Zhang, Haifeng; Wang, Rujian; Han, Zhengbing; Sun, Yongming; Fan, Gaojing; Zhao, Jun; Hu, Ji; Ren, Jian; Pan, Jianming</t>
  </si>
  <si>
    <t>Seasonal variations of siliceous microplankton fluxes and radiolarian assemblages linked to environmental conditions in Prydz Bay polynya, Eastern Antarctica</t>
  </si>
  <si>
    <t>Prydz Bay; siliceous microplankton flux; radiolarian assemblage; seasonal variation; polynya; primary productivity; Ice Shelf Water</t>
  </si>
  <si>
    <t>CIRCUMPOLAR DEEP-WATER; SUB-ARCTIC PACIFIC; AMERY ICE SHELF; SURFACE SEDIMENTS; PARTICLE FLUXES; BERING-SEA; POLYCYSTINE RADIOLARIANS; ECOLOGICAL IMPLICATION; SPATIAL-DISTRIBUTION; AUSTRAL SUMMER</t>
  </si>
  <si>
    <t>Siliceous microplankton is an effective proxy for connecting modern and past marine environments; however, radiolarians have been understudied in Prydz Bay, Eastern Antarctica. This study investigated the changes in the siliceous microbiota fluxes and radiolarian assemblages captured in a 1-year time-series sediment trap (February 2014 to February 2015, similar to 490 m water depth) in the polynya of Prydz Bay. The results exhibited the strong seasonality in the radiolarian assemblages and the fluxes of radiolarians, diatoms, silicoflagellates and sponge spicules, with low numbers in winter and high numbers in summer. Seasonal variations in the sea ice and plankton community were critical in these patterns. The total radiolarian flux (TRF) displayed three peaks with higher flux than the annual average TRF over the year, all of which occurred in summer. These TRF peaks were mainly driven by seasonal fluctuations of sea ice, primary productivity, grazing pressure caused by phytophagous zooplankton and resuspension of small radiolarians in the surface sediments induced by modified Circumpolar Deep Water (mCDW) intrusion onto the shelf. There were also two notable low-TRF stages, mainly related to full sea-ice coverage and high grazing pressure. Two dominant assemblages were recognized by means of Q-factor analysis. Dominant assemblage one was composed of three small-sized taxa, Antarctissa sp., Phormacantha hystrix and Plectacantha oikiskos, which could be used as a proxy for primary productivity in the Marginal Ice Zone (MIZ) in Prydz Bay. Dominant assemblage two was composed of Antarctissa strelkovi and Antarctissa denticulata, with A. strelkovi dominating. The high flux and high relative abundance of A. strelkovi marked the extension of Ice Shelf Water (ISW) to the shelf area in Prydz Bay. These findings will provide new insights and reliable proxies for modern and paleoceanographic research in the Southern Ocean.</t>
  </si>
  <si>
    <t>[Zhang, Haifeng; Wang, Rujian] Tongji Univ, State Key Lab Marine Geol, Shanghai, Peoples R China; [Zhang, Haifeng; Han, Zhengbing; Zhao, Jun; Hu, Ji; Ren, Jian; Pan, Jianming] Minist Nat Resources, Inst Oceanog 2, Key Lab Marine Ecosyst Dynam, Hangzhou, Peoples R China; [Sun, Yongming] Ocean Univ China, Coll Ocean &amp; Atmospher Sci, Qingdao, Peoples R China; [Fan, Gaojing] Polar Res Inst China, Key Lab Polar Sci, MNR, Shanghai, Peoples R China; [Pan, Jianming] Zhejiang Univ, Ocean Coll, Zhoushan, Peoples R China</t>
  </si>
  <si>
    <t>Tongji University; Ministry of Natural Resources of the People's Republic of China; Ocean University of China; Polar Research Institute of China; Zhejiang University</t>
  </si>
  <si>
    <t>Wang, RJ (corresponding author), Tongji Univ, State Key Lab Marine Geol, Shanghai, Peoples R China.;Pan, JM (corresponding author), Minist Nat Resources, Inst Oceanog 2, Key Lab Marine Ecosyst Dynam, Hangzhou, Peoples R China.;Pan, JM (corresponding author), Zhejiang Univ, Ocean Coll, Zhoushan, Peoples R China.</t>
  </si>
  <si>
    <t>rjwang@tongji.edu.cn; jmpan@sio.org.cn</t>
  </si>
  <si>
    <t>Ren, Jian/K-6951-2018</t>
  </si>
  <si>
    <t>Ren, Jian/0000-0002-1889-5661</t>
  </si>
  <si>
    <t>National Natural Science Foundation of China [42030401, 41506223, 41976228, 42276255]; Scientific Research Fund of the Second Institute of Oceanography, MNR [JG2211]; National Polar Special Program Impact and Response of Antarctic Seas to Climate Change [IRASCC 01-01-02A, IRASCC 02-02]</t>
  </si>
  <si>
    <t>National Natural Science Foundation of China(National Natural Science Foundation of China (NSFC)); Scientific Research Fund of the Second Institute of Oceanography, MNR; National Polar Special Program Impact and Response of Antarctic Seas to Climate Change</t>
  </si>
  <si>
    <t>The study was financially supported by National Natural Science Foundation of China (Grant nos. 42030401, 41506223, 41976228, 42276255), Scientific Research Fund of the Second Institute of Oceanography, MNR, (Grant nos. JG2211), and National Polar Special Program Impact and Response of Antarctic Seas to Climate Change (Grant nos. IRASCC 01-01-02A, IRASCC 02-02).</t>
  </si>
  <si>
    <t>10.3389/fmars.2023.1135900</t>
  </si>
  <si>
    <t>F3AB9</t>
  </si>
  <si>
    <t>WOS:000981096100001</t>
  </si>
  <si>
    <t>Dalman, LA; Schallenberg, C; Fraser, AD; Bestley, S; Yang, EJ; Clementson, L; Meiners, KM</t>
  </si>
  <si>
    <t>Dalman, Laura A.; Schallenberg, Christina; Fraser, Alexander D.; Bestley, Sophie; Yang, Eun Jin; Clementson, Lesley; Meiners, Klaus M.</t>
  </si>
  <si>
    <t>Bio-optical properties of algal communities in Antarctic pack ice during spring</t>
  </si>
  <si>
    <t>Ice algae; Pigments; Photoprotection; Light absorption; Sea ice; Community composition</t>
  </si>
  <si>
    <t>SEA-ICE; PHAEOCYSTIS-ANTARCTICA; LIGHT-TRANSMISSION; ABSORPTION-COEFFICIENTS; PHYTOPLANKTON PIGMENTS; NATURAL PHYTOPLANKTON; MCMURDO SOUND; SNOW DEPTH; PHOTOPROTECTION; IRRADIANCE</t>
  </si>
  <si>
    <t>Microalgae use Antarctic sea ice as habitat and accumulate in spring, leading to significant early-season production in Southern Ocean ecosystems. As key contributors to the marine food web and carbon fixation within the Antarctic pack-ice zone, ice algae depend on the light environment and their adaptability to irradiance extremes. This study examines spectral ice algal and non-algal particulate absorption coefficients, pigments, and community composition in pack-ice cores sampled off East Antarctica and in the Weddell Sea during the winterspring transitions in 2012 and 2013, respectively. Our results show that ice algae dominated particulate absorption in pack ice in both regions. From high- to low-light exposure in both East Antarctica and Weddell Sea, biomass-specific absorption decreased, suggesting strong pigment packaging with depth towards the ice-water interface. Ice algae also showed increased production of photoprotective pigments in the surface in comparison to the bottom of the sea ice, with flagellates being more dominant in the surface ice sections. Our results indicate species-specific light-acclimation and photoprotection through the ice profiles, and highlight the role of light conditions in influencing pigment production and shifts in community composition.</t>
  </si>
  <si>
    <t>[Dalman, Laura A.; Bestley, Sophie] Univ Tasmania, Inst Marine &amp; Antarctic Studies, Hobart, Tas, Australia; [Dalman, Laura A.; Schallenberg, Christina; Fraser, Alexander D.; Bestley, Sophie; Meiners, Klaus M.] Univ Tasmania, Inst Marine &amp; Antarctic Studies, Australian Antarctic Program Partnership, Hobart, Tas, Australia; [Schallenberg, Christina; Clementson, Lesley] CSIRO Environm, Hobart, Tas, Australia; [Yang, Eun Jin] Korea Polar Res Inst, Div Polar Ocean Sci, Incheon, South Korea; [Meiners, Klaus M.] Dept Climate Change Energy Environm &amp; Water, Australian Antarctic Div, Hobart, Tas, Australia; [Meiners, Klaus M.] Univ Tasmania, Australian Ctr Excellence Antarctic Sci, Hobart, Tas, Australia</t>
  </si>
  <si>
    <t>University of Tasmania; University of Tasmania; Korea Polar Research Institute (KOPRI); Australian Antarctic Division; University of Tasmania</t>
  </si>
  <si>
    <t>Dalman, LA (corresponding author), Univ Tasmania, Inst Marine &amp; Antarctic Studies, Hobart, Tas, Australia.</t>
  </si>
  <si>
    <t>laura.dalman@utas.edu.au</t>
  </si>
  <si>
    <t>Schallenberg, Christina/N-4187-2017</t>
  </si>
  <si>
    <t>Schallenberg, Christina/0000-0002-3073-7500; Dalman, Laura/0000-0002-3931-6753; Clementson, Lesley/0000-0003-4415-993X; Fraser, Alexander/0000-0003-1924-0015</t>
  </si>
  <si>
    <t>10.1016/j.jmarsys.2023.103890</t>
  </si>
  <si>
    <t>F5RU3</t>
  </si>
  <si>
    <t>WOS:000982924900001</t>
  </si>
  <si>
    <t>Bradley, AT; De Rydt, J; Bett, DT; Dutrieux, P; Holland, PR</t>
  </si>
  <si>
    <t>Bradley, Alexander T.; De Rydt, Jan; Bett, David T.; Dutrieux, Pierre; Holland, Paul R.</t>
  </si>
  <si>
    <t>The ice dynamic and melting response of Pine Island Ice Shelf to calving</t>
  </si>
  <si>
    <t>Calving; ice/ocean interactions; ice shelves; ice-sheet modelling; polar and subpolar oceans</t>
  </si>
  <si>
    <t>WEST ANTARCTICA; OCEAN; RETREAT; GLACIER; PARAMETERIZATION; MODEL</t>
  </si>
  <si>
    <t>Sea level rise contributions from the Pine Island Glacier (PIG) are strongly modulated by the backstress that its floating extension - Pine Island Ice Shelf (PIIS) - exerts on the adjoining grounded ice. The front of PIIS has recently retreated significantly via calving, and satellite and theoretical analyses have suggested further retreat is inevitable. As well as inducing an instantaneous increase in ice flow, retreat of the PIIS front may result in increased ocean melting, by relaxing the topographic barrier to warm ocean water that is currently provided by a prominent seabed ridge. Recently published research (Bradley and others, 2022a) has shown that PIIS may exhibit a strong melting response to calving, with melting close to the PIG grounding line always increasing with ice front retreat. Here, we summarise this research and, additionally, place the results in a glaciological context by comparing the impact of melt-induced and ice-dynamical changes in the ice shelf thinning rate. We find that while PIG is expected to experience rapid acceleration in response to further ice front retreat, the mean instantaneous thinning response is set primarily by changes in melting, rather than ice dynamics. Overall, further ice front retreat is expected to lead to enhanced ice-shelf thinning, with potentially detrimental consequences for ice shelf stability.</t>
  </si>
  <si>
    <t>[Bradley, Alexander T.; Bett, David T.; Dutrieux, Pierre; Holland, Paul R.] British Antarctic Survey, Madingley Rd, Cambridge CB3 0ET, England; [De Rydt, Jan] Northumbria Univ, Dept Geog &amp; Environm Sci, Newcastle Upon Tyne, England</t>
  </si>
  <si>
    <t>UK Research &amp; Innovation (UKRI); Natural Environment Research Council (NERC); NERC British Antarctic Survey; Northumbria University</t>
  </si>
  <si>
    <t>Bradley, AT (corresponding author), British Antarctic Survey, Madingley Rd, Cambridge CB3 0ET, England.</t>
  </si>
  <si>
    <t>aleey@bas.ac.uk</t>
  </si>
  <si>
    <t>Dutrieux, Pierre/GVS-2890-2022; Bradley, Alex/GRO-6619-2022; De Rydt, Jan/H-5692-2018</t>
  </si>
  <si>
    <t>Dutrieux, Pierre/0000-0002-8066-934X; De Rydt, Jan/0000-0002-2978-8706; Bradley, Alexander/0000-0001-8381-5317</t>
  </si>
  <si>
    <t>PII S0260305523000241</t>
  </si>
  <si>
    <t>10.1017/aog.2023.24</t>
  </si>
  <si>
    <t>Green Accepted, gold, Green Submitted</t>
  </si>
  <si>
    <t>WOS:000975502900001</t>
  </si>
  <si>
    <t>Paul, F; Baumann, S; Anderson, B; Rastner, P</t>
  </si>
  <si>
    <t>Paul, Frank; Baumann, Sabine; Anderson, Brian; Rastner, Philipp</t>
  </si>
  <si>
    <t>Deriving a year 2000 glacier inventory for New Zealand from the existing 2016 inventory</t>
  </si>
  <si>
    <t>Debris-covered glaciers; glacier delineation; glacier fluctuations; New Zealand; remote sensing</t>
  </si>
  <si>
    <t>RETREAT; ALPS</t>
  </si>
  <si>
    <t>Due to adverse snow and cloud conditions, only a few inventories are available for the maritime glaciers in New Zealand. These are difficult to compare as different approaches and baseline data have been used to create them. In consequence, glacier fluctuations in New Zealand over the past two decades are only known for a few glaciers based on field observations. Here we present the results of a new inventory for the 'year 2000' (some scenes are from 2001 and 2002) that is based on glacier outlines from a recently published inventory for the year 2016 and allowed consistent change assessment for nearly 3000 glaciers over this period. The year 2000 inventory was created by manual on-screen digitizing using Landsat ETM+ satellite imagery (15 m panchromatic band) in the background and the year 2016 outlines as a starting point. Major challenges faced were late and early seasonal snow, clouds and shadow, the geo-location mismatch between Landsat and Sentinel-2 as well as the correct interpretation of ice patches and ice under debris cover. In total, we re-mapped 2967 glaciers covering an area of 885.5 km(2) in 2000, which is 91.7 km(2) (or 10.4%) more than the 793.8 km(2) mapped in 2016. Area change rates (mean rate -0.65% a(-1)) increase towards smaller glaciers. Strongest area loss from 2000 to 2016 occurred at elevations similar to 1900 m but the highest relative loss was found below 800 m a.s.l. In total, 109 glaciers split into two or more entities and 264 had wasted away by 2016.</t>
  </si>
  <si>
    <t>[Paul, Frank; Rastner, Philipp] Univ Zurich, Dept Geog, Zurich, Switzerland; [Baumann, Sabine] DLR, Earth Observat Ctr, Oberpfaffenhofen, Germany; [Baumann, Sabine] Binis, Grobenzell, Germany; [Anderson, Brian] Victoria Univ, Antarctic Res Ctr, POB 600, Wellington, New Zealand; [Rastner, Philipp] Univ Innsbruck, Dept Atmospher &amp; Cryospher Sci, Innsbruck, Austria</t>
  </si>
  <si>
    <t>University of Zurich; Helmholtz Association; German Aerospace Centre (DLR); Victoria University Wellington; University of Innsbruck</t>
  </si>
  <si>
    <t>Paul, F (corresponding author), Univ Zurich, Dept Geog, Zurich, Switzerland.</t>
  </si>
  <si>
    <t>frank.paul@geo.uzh.ch</t>
  </si>
  <si>
    <t>ESA project Glaciers_cci [4000127593/19/I-NB]; Copernicus Climate Change Service (C3S)</t>
  </si>
  <si>
    <t>ESA project Glaciers_cci; Copernicus Climate Change Service (C3S)</t>
  </si>
  <si>
    <t>The work of F.P. and P.R. was funded by the ESA project Glaciers_cci (4000127593/19/I-NB) and the Copernicus Climate Change Service (C3S) that is implemented by the European Centre for Medium-Range Weather Forecasts (ECMWF) on behalf of the European Commission. S.B. and B.A. want to thank Trevor Chinn, who passed away in 2018, for his excellent discussions on glacier inventories. We thank Shaun Eaves for his help with the outline interpretation for the North Island and the two reviewers for their constructive comments.</t>
  </si>
  <si>
    <t>PII S0260305523000204</t>
  </si>
  <si>
    <t>10.1017/aog.2023.20</t>
  </si>
  <si>
    <t>E1ID7</t>
  </si>
  <si>
    <t>WOS:000973148300001</t>
  </si>
  <si>
    <t>Rosenheim, BE; Michaud, AB; Broda, J; Gagnon, A; Venturelli, RA; Campbell, TD; Leventer, A; Patterson, M; Siegfried, MR; Christner, BC; Duling, D; Harwood, D; Dore, JE; Tranter, M; Skidmore, ML; Priscu, JC</t>
  </si>
  <si>
    <t>Rosenheim, Brad B.; Michaud, Alexander; Broda, James; Gagnon, Alan A.; Venturelli, Ryan D.; Campbell, Timothy; Leventer, Amy; Patterson, Molly R.; Siegfried, Matthew C.; Christner, Brent; Duling, Dennis; Harwood, David E.; Dore, John; Tranter, Martyn L.; Skidmore, Mark C.; Priscu, John</t>
  </si>
  <si>
    <t>SALSA Sci Team</t>
  </si>
  <si>
    <t>A method for successful collection of multicores and gravity cores from Antarctic subglacial lakes</t>
  </si>
  <si>
    <t>LIMNOLOGY AND OCEANOGRAPHY-METHODS</t>
  </si>
  <si>
    <t>SEDIMENTARY PROCESSES; ICE STREAM; BENEATH; WHILLANS; INVENTORY; WISSARD; SYSTEM; SHEET</t>
  </si>
  <si>
    <t>During the 2018-2019 Antarctic field season, the Subglacial Antarctic Lakes Scientific Access project team cleanly accessed Mercer Subglacial Lake, West Antarctica, to sample water and sediments beneath 1087 m of overlying ice. A multicorer was successful in sampling the sediment-water interface, with 4 deployments retrieving 10 cores between 0.3 and 0.4 m in length. Gravity coring was also successful, retrieving cores of 0.97 and 1.78 m in glacial diamict. However, sediment cores retrieved by the gravity cores were shorter than the core barrel penetration (as measured by mud streaks on the outside of the coring system), indicating that the system can likely be improved. This manuscript describes the design, implementation, successes, and lessons learned while coring sediments in a subglacial lake.</t>
  </si>
  <si>
    <t>[Rosenheim, Brad B.] Univ S Florida, Coll Marine Sci, St Petersburg, FL 33701 USA; [Michaud, Alexander] Bigelow Lab Ocean Sci, E Boothbay, ME USA; [Broda, James; Gagnon, Alan A.] Woods Hole Oceanog Inst, Dept Geol &amp; Geophys, Woods Hole, MA USA; [Venturelli, Ryan D.] Colorado Sch Mines, Dept Geol &amp; Geol Engn, Golden, CO USA; [Campbell, Timothy; Skidmore, Mark C.] Montana State Univ, Dept Earth Sci, Bozeman, MT USA; [Leventer, Amy] Colgate Univ, Dept Earth &amp; Environm Geosci, Hamilton, NY USA; [Patterson, Molly R.] Binghamton Univ, Dept Earth Sci, Binghamton, NY USA; [Siegfried, Matthew C.] Colorado Sch Mines, Dept Geophys, Golden, CO USA; [Christner, Brent] Univ Florida, Dept Microbiol &amp; Cell Sci, Gainesville, FL USA; [Duling, Dennis; Harwood, David E.] Univ Nebraska, Dept Earth &amp; Atmospher Sci, Lincoln, NE USA; [Dore, John] Montana State Univ, Dept Land Resources &amp; Environm Sci, Bozeman, MT USA; [Tranter, Martyn L.] Univ Bristol, Sch Geog Sci, Bristol, England; [Priscu, John] Polar Oceans Res Grp, Sheridan, MT USA</t>
  </si>
  <si>
    <t>State University System of Florida; University of South Florida; Bigelow Laboratory for Ocean Sciences; Woods Hole Oceanographic Institution; Colorado School of Mines; Montana State University System; Montana State University Bozeman; Colgate University; State University of New York (SUNY) System; State University of New York (SUNY) Binghamton; Colorado School of Mines; State University System of Florida; University of Florida; University of Nebraska System; University of Nebraska Lincoln; Montana State University System; Montana State University Bozeman; University of Bristol</t>
  </si>
  <si>
    <t>Rosenheim, BE (corresponding author), Univ S Florida, Coll Marine Sci, St Petersburg, FL 33701 USA.</t>
  </si>
  <si>
    <t>brosenheim@usf.edu</t>
  </si>
  <si>
    <t>Michaud, Alex/AAC-4890-2020; Rosenheim, Brad/F-6349-2012</t>
  </si>
  <si>
    <t>Michaud, Alex/0000-0001-5714-8741; Patterso, Molly/0000-0002-5058-9269; Leventer, Amy/0000-0001-9401-0987; Rosenheim, Brad/0000-0001-6141-4651</t>
  </si>
  <si>
    <t>US National Science Foundation [1543347, 1543396, 1543405, 1543441, 1543537, 1836328, 1938087]</t>
  </si>
  <si>
    <t>US National Science Foundation(National Science Foundation (NSF))</t>
  </si>
  <si>
    <t>The authors wish to acknowledge the constructive reviews of two anonymous reviewers, and the input of the associate editor, Dr. Christof Meile, in refining the equations we used to conservatively estimate freefall distance. The authors also wish to acknowledge the efforts of the US National Science Foundation, the US Antarctic Program, the pilots of the New York Air National Guard and Ken Borek Air, and the members of the hot water drill team who made this logistically challenging research possible. This research was funded by the US National Science Foundation (grants 1543347, 1543396, 1543405, 1543441, 1543537, 1836328, and 1938087).</t>
  </si>
  <si>
    <t>1541-5856</t>
  </si>
  <si>
    <t>LIMNOL OCEANOGR-METH</t>
  </si>
  <si>
    <t>Limnol. Oceanogr. Meth.</t>
  </si>
  <si>
    <t>10.1002/lom3.10545</t>
  </si>
  <si>
    <t>AS1T7</t>
  </si>
  <si>
    <t>WOS:000972562300001</t>
  </si>
  <si>
    <t>Crame, JA</t>
  </si>
  <si>
    <t>Crame, J. Alistair</t>
  </si>
  <si>
    <t>Late Cenozoic evolution of the latitudinal diversity gradient</t>
  </si>
  <si>
    <t>JOURNAL OF BIOGEOGRAPHY</t>
  </si>
  <si>
    <t>Cenozoic evolutionary rates; ecological opportunity; evolutionary radiations; fossil record; latitudinal diversity gradients; molecular phylogenetics; polar-tropical comparisons; Southern Ocean</t>
  </si>
  <si>
    <t>SPECIES-DIVERSITY; BIODIVERSITY; SPECIATION; CLIMATE; BIOGEOGRAPHY; EXTINCTION; PATTERNS; EXPLAIN; DIVERSIFICATION; OLIGOCENE</t>
  </si>
  <si>
    <t>Aim: The Late Cenozoic flourishing of polar marine ecosystems, just when temperatures were reaching their lowest levels, has always seemed anomalous. Such an observation is coupled with an increasing volume of molecular phylogenetic evidence to indicate that some polar taxa radiated at exceptionally high evolutionary rates. The canonical latitudinal diversity gradient (LDG) may not be underpinned by a parallel gradient in evolutionary rates. This study provides a review of this critical question.Location: A variety of polar - tropical comparisons are made, with some emphasis on the Southern Ocean.Taxa: Both marine and terrestrial taxa are used, with some emphasis on marine Mollusca.Methods: High - low latitude comparisons of evolutionary rates over the last 66 Myr are made using two approaches: rates derived from molecular phylogenies, and rates derived from the fossil record. For the former of these data are taken from various marine and terrestrial taxa, and for the latter use is made of the excellent fossil record of marine Mollusca.Results: For approximately the first half of the Cenozoic era (i.e., 66 Ma onwards) there is strong palaeontological evidence to suggest that the global LDG developed in a conventional way, with higher rates of origination in the tropics than at the poles. However, there then appears to have been a marked change in the latter half of the Cenozoic when origination rates increased in the high-latitude and polar regions. The modern latitudinal diversity gradient may be a fossil feature that formed in the Early Cenozoic.Main Conclusions: As the extra-tropical regions expanded through the Cenozoic they provided increasingly more ecological opportunities for a wide variety of marine and terrestrial taxa. Substantially lower temperatures in the polar regions were clearly not an obstacle to spectacular evolutionary radiations such as that based on the krill ecosystem.</t>
  </si>
  <si>
    <t>[Crame, J. Alistair] British Antarctic Survey, Cambridge, England</t>
  </si>
  <si>
    <t>UK Research &amp; Innovation (UKRI); Natural Environment Research Council (NERC); NERC British Antarctic Survey</t>
  </si>
  <si>
    <t>Crame, JA (corresponding author), British Antarctic Survey, Cambridge, England.</t>
  </si>
  <si>
    <t>jacr@bas.ac.uk</t>
  </si>
  <si>
    <t>British Antarctic Survey and Natural Environment Research Council [NE/I005803/1]; NERC [NE/I005803/1] Funding Source: UKRI</t>
  </si>
  <si>
    <t>British Antarctic Survey and Natural Environment Research Council; NERC(UK Research &amp; Innovation (UKRI)Natural Environment Research Council (NERC))</t>
  </si>
  <si>
    <t>ACKNOWLEDGEMENTS Financial support from the British Antarctic Survey and Natural Environment Research Council (NE/I005803/1) is gratefully acknowledged. I am indebted to Dr Ceridwen Fraser for her very helpful comments on the manuscript. No fieldwork permissions or permits were required for this work.</t>
  </si>
  <si>
    <t>0305-0270</t>
  </si>
  <si>
    <t>1365-2699</t>
  </si>
  <si>
    <t>J BIOGEOGR</t>
  </si>
  <si>
    <t>J. Biogeogr.</t>
  </si>
  <si>
    <t>10.1111/jbi.14620</t>
  </si>
  <si>
    <t>Ecology; Geography, Physical</t>
  </si>
  <si>
    <t>Environmental Sciences &amp; Ecology; Physical Geography</t>
  </si>
  <si>
    <t>I2BD3</t>
  </si>
  <si>
    <t>WOS:000974326700001</t>
  </si>
  <si>
    <t>Langbehn, TJ; Aarflot, JM; Freer, JJ; Varpe, O</t>
  </si>
  <si>
    <t>Langbehn, Tom J. J.; Aarflot, Johanna M. M.; Freer, Jennifer J. J.; Varpe, Oystein</t>
  </si>
  <si>
    <t>Visual predation risk and spatial distributions of large Arctic copepods along gradients of sea ice and bottom depth</t>
  </si>
  <si>
    <t>LIMNOLOGY AND OCEANOGRAPHY</t>
  </si>
  <si>
    <t>CAPELIN MALLOTUS-VILLOSUS; BARENTS SEA; CLIMATE-CHANGE; SELECTIVE PREDATION; EUCHAETA-ELONGATA; PREY CONSUMPTION; ALPINE LAKE; ZOOPLANKTON; FISH; SIZE</t>
  </si>
  <si>
    <t>Changes in the community size structure of Arctic copepods toward smaller and less fat individuals or species have been linked to environmental changes. The underpinning mechanisms are, however, poorly understood. We use a two-step hurdle regression model to analyze spatially resolved, long-term survey data of the Barents Sea mesozooplankton community along gradients of water mass properties, sea ice, and bottom depth. We test the hypothesis that reduced visual predation, and hence increased survival in dim habitats, explains the distribution of large copepods. We expect the presence and biomass of large copepods to increase with increasing bottom depth and the occurrence of seasonal ice-cover. The patterns and drivers that emerge from our analysis support our hypothesis: in the Barents Sea large copepods were predominantly found in deep troughs that intersect the shelf south of the polar front, or at shallower depths in seasonally ice-covered waters northeast of Svalbard. On the banks, large copepods are largely absent whereas smaller copepods appear to survive. Top-down control provides one plausible explanation for these distributions. Large copepods survive where sea-ice shades the water or deep habitats permit escape from visual predators through vertical migrations. However, when upwelled onto shallow banks or flushed out from below the ice they are decimated by visual foragers. Therefore, advection and topographic blockage of vertical zooplankton distributions are key mechanisms for the efficient energy transfer and productivity in subarctic and Arctic shelf seas. New prolific foraging grounds may open up for planktivores where the ice-edge recedes under a changing climate.</t>
  </si>
  <si>
    <t>[Langbehn, Tom J. J.; Varpe, Oystein] Univ Bergen, Dept Biol Sci, Bergen, Norway; [Langbehn, Tom J. J.; Varpe, Oystein] Univ Ctr Svalbard, Dept Arctic Biol, Longyearbyen, Norway; [Aarflot, Johanna M. M.] Inst Marine Res, Ecosyst Proc Grp, Bergen, Norway; [Freer, Jennifer J. J.] British Antarctic Survey, Cambridge, England; [Varpe, Oystein] Norwegian Inst Nat Res, Bergen, Norway</t>
  </si>
  <si>
    <t>University of Bergen; University Centre Svalbard (UNIS); Institute of Marine Research - Norway; UK Research &amp; Innovation (UKRI); Natural Environment Research Council (NERC); NERC British Antarctic Survey; Norwegian Institute Nature Research</t>
  </si>
  <si>
    <t>Langbehn, TJ (corresponding author), Univ Bergen, Dept Biol Sci, Bergen, Norway.;Langbehn, TJ (corresponding author), Univ Ctr Svalbard, Dept Arctic Biol, Longyearbyen, Norway.</t>
  </si>
  <si>
    <t>tom.langbehn@uib.no</t>
  </si>
  <si>
    <t>Langbehn, Tom/S-8987-2019; Varpe, Oystein/B-9693-2008</t>
  </si>
  <si>
    <t>Langbehn, Tom/0000-0003-1208-4793; Myrseth Aarflot, Johanna/0000-0003-2481-0190; Freer, Jennifer/0000-0002-3947-9261; Varpe, Oystein/0000-0002-5895-6983</t>
  </si>
  <si>
    <t>Research Council of Norway through the Nansen Legacy project (RCN); BIOPOLE National Capability Multicentre Round 2 funding from the Natural Environment Research Council [276730]; [NE/W004933/1]; NERC [NE/W004933/1] Funding Source: UKRI</t>
  </si>
  <si>
    <t>Research Council of Norway through the Nansen Legacy project (RCN); BIOPOLE National Capability Multicentre Round 2 funding from the Natural Environment Research Council; ; NERC(UK Research &amp; Innovation (UKRI)Natural Environment Research Council (NERC))</t>
  </si>
  <si>
    <t>T.J.L., J.M.A., and O.V. received funding from the Research Council of Norway through the Nansen Legacy project (RCN #276730). J.J.F. was supported by BIOPOLE National Capability Multicentre Round 2 funding from the Natural Environment Research Council (NE/W004933/1). The authors are grateful to all those that helped collect the data during the ecosystem surveys at the Institute of Marine Research. T.J.L thanks the Ecosystems Team at the British Antarctic Survey for hosting him during the writing phase of this project.</t>
  </si>
  <si>
    <t>0024-3590</t>
  </si>
  <si>
    <t>1939-5590</t>
  </si>
  <si>
    <t>LIMNOL OCEANOGR</t>
  </si>
  <si>
    <t>Limnol. Oceanogr.</t>
  </si>
  <si>
    <t>10.1002/lno.12354</t>
  </si>
  <si>
    <t>K6AL4</t>
  </si>
  <si>
    <t>WOS:000972696600001</t>
  </si>
  <si>
    <t>Chetty, T; Nowak, BF; Walker, SP; Symonds, JE; Anderson, K</t>
  </si>
  <si>
    <t>Chetty, Thaveshini; Nowak, Barbara F.; Walker, Seumas P.; Symonds, Jane E.; Anderson, Kelli</t>
  </si>
  <si>
    <t>Molecular evidence for stress, inflammation and structural changes in non-specific ulcers in skin of farmed Chinook salmon (Oncorhynchus tshawytscha)</t>
  </si>
  <si>
    <t>FISH &amp; SHELLFISH IMMUNOLOGY</t>
  </si>
  <si>
    <t>Ulceration; Lesion; Fish skin; Gene expression; Chinook salmon; Wound healing</t>
  </si>
  <si>
    <t>ATLANTIC SALMON; VIRUS-INFECTION; SALAR L.; TEMPERATURE; RESPONSES; EXPRESSION; FISH</t>
  </si>
  <si>
    <t>Fish skin is critical to physical defence against pathogens and there is a need to understand the physiological processes impacting ulcers and their healing. Ulcers have been reported in farmed Chinook salmon in New Zealand. This study investigated stress, immune and structural gene expression in farmed Chinook salmon skin with and without ulcers from two sites in New Zealand sampled from February (higher temperature, late sum -mer) to May (lower temperature, late autumn). Skin samples taken adjacent to non-specific ulcers in May and control fish in February demonstrated upregulation of heat shock protein 70 relative to control fish in May. Anterior gradient 2 expression was upregulated in fish with ulcers relative to control fish (both February and May), suggesting increased mucous cell activity. Based on the results of this study, fish with non-specific ulcers showed evidence of stress, inflammation, re-epithelisation, and delayed healing near the ulcer site, elucidating the importance of these processes in the pathogenesis of non-specific ulcers in farmed chinook salmon.</t>
  </si>
  <si>
    <t>[Chetty, Thaveshini; Nowak, Barbara F.; Anderson, Kelli] Univ Tasmania, Inst Marine &amp; Antarctic Studies, Private Bag 1370, Newnham, Tas 7248, Australia; [Walker, Seumas P.; Symonds, Jane E.] Cawthron Inst, 98 Halifax St East, Nelson 7010, New Zealand</t>
  </si>
  <si>
    <t>Chetty, T; Nowak, BF (corresponding author), Univ Tasmania, Inst Marine &amp; Antarctic Studies, Private Bag 1370, Newnham, Tas 7248, Australia.</t>
  </si>
  <si>
    <t>T.chetty18@gmail.com; B.Nowak@utas.edu.au</t>
  </si>
  <si>
    <t>Nowak, Barbara/J-7261-2014</t>
  </si>
  <si>
    <t>Symonds, Jane/0000-0001-8307-423X; Anderson, Kelli/0000-0001-7749-4641</t>
  </si>
  <si>
    <t>New Zealand Ministry of Business, Innovation and Employment, under the Programme: Aquaculture Health [CAWX1707]</t>
  </si>
  <si>
    <t>New Zealand Ministry of Business, Innovation and Employment, under the Programme: Aquaculture Health(New Zealand Ministry of Business, Innovation and Employment (MBIE))</t>
  </si>
  <si>
    <t>This work was funded by the New Zealand Ministry of Business, Innovation and Employment, under the Programme: Aquaculture Health to Maximise Productivity and Security (CAWX1707) .</t>
  </si>
  <si>
    <t>1050-4648</t>
  </si>
  <si>
    <t>1095-9947</t>
  </si>
  <si>
    <t>FISH SHELLFISH IMMUN</t>
  </si>
  <si>
    <t>Fish Shellfish Immunol.</t>
  </si>
  <si>
    <t>10.1016/j.fsi.2023.108739</t>
  </si>
  <si>
    <t>Fisheries; Immunology; Marine &amp; Freshwater Biology; Veterinary Sciences</t>
  </si>
  <si>
    <t>G6YK3</t>
  </si>
  <si>
    <t>WOS:000990588900001</t>
  </si>
  <si>
    <t>Coulson, SJ; Convey, P; Schuuring, S; Lang, SI</t>
  </si>
  <si>
    <t>Coulson, Stephen James; Convey, Peter; Schuuring, Sil; Lang, Simone Iris</t>
  </si>
  <si>
    <t>Interactions between winter temperatures and duration of exposure may structure Arctic microarthropod communities</t>
  </si>
  <si>
    <t>JOURNAL OF THERMAL BIOLOGY</t>
  </si>
  <si>
    <t>Polar; Snow; Climate change; Soil; Invertebrate</t>
  </si>
  <si>
    <t>CLIMATE-CHANGE; TERRESTRIAL; SURVIVAL; DECOMPOSITION; SVALBARD; MITES; ACARI; INVERTEBRATES; POPULATION; ECOSYSTEMS</t>
  </si>
  <si>
    <t>The Arctic has a diverse terrestrial microarthropod fauna which overwinters in situ in soil and vegetation. This fauna is involved in key ecosystem processes, for example decomposition and pollination, and has tolerance to the Arctic's winter conditions. However, the Arctic is undergoing rapid change. Svalbard is experiencing warming rates up to four times the global average as well as alterations in precipitation (quantity and form; snow or rain) and wind direction. These will modify the conditions experienced by the overwintering fauna. Since laboratory experiments often fail to capture the diversity of environmental stressors, we employed a manipu-lation experiment using the naturally accumulating snow pack to moderate soil winter soil temperatures, combined with an extended incubator treatment, to map the duration limits of naturally induced cold tolerance. We demonstrate that the Collembola fauna can tolerate temperatures of-25 degrees C but that, in areas devoid of snow accumulation and when soil temperatures dip below-30 degrees C there is significant mortality. Furthermore, we demonstrate that exposure to a further extended 12 month period at-6 degrees C, as a simple model of a situation where snow cover is not lost during the short Arctic summer, results in additional mortality with relatively few Collembola surviving. By contrast, while oribatid mites displayed similar survival over a natural winter as the Collembola, they were highly resistant to the extended exposure at-6 degrees C, with no additional mortality occur-ring. We also documented survival amongst other invertebrate groups, including Nematocera and Brachycera larvae, Hemiptera (Acyrthosiphon svalbardicum), Coleoptera (Isochnus flagellum), and Araneae (Linyphiidae). We conclude that snow depth and winter air temperatures interact to regulate soil microarthropod populations over local scales and therefore the functioning of the Arctic soil ecosystem. Moreover, the environmental changes currently being observed in polar regions will continue to modify this fauna and its local and micro-scale distribution.</t>
  </si>
  <si>
    <t>[Coulson, Stephen James; Schuuring, Sil; Lang, Simone Iris] Univ Ctr Svalbard, Dept Arctic Biol, Pb156, N-9171 Longyearbyen, Svalbard, Norway; [Convey, Peter] British Antarctic Survey, NERC, High Cross, Madingley Rd, Cambridge CB3 OET, England; [Convey, Peter] Univ Johannesburg, Dept Zool, POB 524, ZA-2006 Auckland Pk, South Africa</t>
  </si>
  <si>
    <t>University Centre Svalbard (UNIS); UK Research &amp; Innovation (UKRI); Natural Environment Research Council (NERC); NERC British Antarctic Survey; University of Johannesburg</t>
  </si>
  <si>
    <t>Coulson, SJ (corresponding author), Univ Ctr Svalbard, Dept Arctic Biol, Pb156, N-9171 Longyearbyen, Svalbard, Norway.</t>
  </si>
  <si>
    <t>stevec@unis.no</t>
  </si>
  <si>
    <t>Schuuring, Sil/0000-0001-9433-7736</t>
  </si>
  <si>
    <t>NERC</t>
  </si>
  <si>
    <t>NERC(UK Research &amp; Innovation (UKRI)Natural Environment Research Council (NERC))</t>
  </si>
  <si>
    <t>This research did not receive any specific grant from funding agencies in the public, commercial, or not-for-profit sectors. P. Convey is supported by NERC core funding to BAS 'Biodiversity, Evolution and Adaptation' Team.</t>
  </si>
  <si>
    <t>0306-4565</t>
  </si>
  <si>
    <t>1879-0992</t>
  </si>
  <si>
    <t>J THERM BIOL</t>
  </si>
  <si>
    <t>J. Therm. Biol.</t>
  </si>
  <si>
    <t>10.1016/j.jtherbio.2023.103499</t>
  </si>
  <si>
    <t>Biology; Zoology</t>
  </si>
  <si>
    <t>Life Sciences &amp; Biomedicine - Other Topics; Zoology</t>
  </si>
  <si>
    <t>F8JX7</t>
  </si>
  <si>
    <t>WOS:000984767800001</t>
  </si>
  <si>
    <t>Vanderstraeten, A; Mattielli, N; Laruelle, GG; Gili, S; Bory, A; Gabrielli, P; Boxho, S; Tison, JL; Bonneville, S</t>
  </si>
  <si>
    <t>Vanderstraeten, Aubry; Mattielli, Nadine; Laruelle, Goulven G.; Gili, Stefania; Bory, Aloys; Gabrielli, Paolo; Boxho, Sibylle; Tison, Jean-Louis; Bonneville, Steeve</t>
  </si>
  <si>
    <t>Identifying the provenance and quantifying the contribution of dust sources in EPICA Dronning Maud Land ice core (Antarctica) over the last deglaciation (7-27 kyr BP): A high-resolution, quantitative record from a new Rare Earth Element mixing model</t>
  </si>
  <si>
    <t>Dust provenance; Antarctica; EDML; Ice core; REE</t>
  </si>
  <si>
    <t>MILLENNIAL-SCALE VARIABILITY; GLACIAL MAXIMUM; NEW-ZEALAND; CLIMATE VARIABILITY; EASTERN AUSTRALIA; DOME-C; SOUTHERN PATAGONIA; SEDIMENT TRANSPORT; IRON FERTILIZATION; HOLOCENE CLIMATE</t>
  </si>
  <si>
    <t>Antarctic ice cores have revealed the interplay between dust and climate in the Southern Hemisphere. Yet, so far, no continuous record of dust provenance has been established through the last deglaciation. Here, using a new database of 207 Rare Earth Element (REE) patterns measured in dust and sediments/soils from well-known potential source areas (PSA) of the Southern Hemisphere, we developed a statistical model combining those inputs to provide the best fit to the REE patterns measured in EPICA Dronning Maud Land (EDML) ice core (E. Antarctica). Out of 398 samples measured in the EDML core, 386 samples have been un-mixed with statistical significance. Combined with the total atmospheric deposition, we quantified the dust flux from each PSA to EDML between 7 and 27 kyr BP. Our results reveal that the dust composition was relatively uniform up until 14.5 kyr BP despite a large drop in atmospheric deposition at -18 kyr with a large contribution from Patagonia yielding -68 % of total dust deposition. The remaining dust was supplied from Australia (14-15 %), Southern Africa (-9 %), New Zealand (-3-4 %) and Puna-Altiplano (-2-3 %). The most striking change occurred -14.5 kyr BP when Patagonia dropped below 50 % on average while low-latitude PSA increased their contributions to 21-23 % for Southern Africa, 13-21 % for Australia and - 4-10 % for PunaAltiplano. We argue that this shift is linked to long-lasting changes in the hydrology of Patagonian rivers and to sudden acceleration of the submersion of Patagonian shelf at 14.5 kyr BP, highlighting a relationship between dust composi-tion and eustatic sea level. Early Holocene dust composition is highly variable, with Patagonian contribution being still prevalent, at-50 % on average. Provided a good coverage of local and distal PSA, our statistical model based on REE pattern offers a straightforward and cost-effective method to trace dust source in ice cores.</t>
  </si>
  <si>
    <t>[Vanderstraeten, Aubry; Mattielli, Nadine; Boxho, Sibylle] Univ Libre Bruxelles ULB, Dept Geosci Environm &amp; Soc DGES, Lab G Time, Av F Roosevelt,50 CP 160 02, B-1050 Brussels, Belgium; [Vanderstraeten, Aubry; Bory, Aloys] Univ Lille, Univ Littoral Cote Dopale, Lab Oceanol &amp; Geosci UMR 8187 LOG, CNRS,IRD, F-59000 Lille, France; [Laruelle, Goulven G.; Bonneville, Steeve] Univ Libre Bruxelles ULB, Dept Geosci Environm &amp; Soc DGES, Biogeochim &amp; Modelisat Syst Terre, B-1050 Brussels, Belgium; [Gili, Stefania] Princeton Univ, Dept Geosci, Princeton, NJ 08544 USA; [Gabrielli, Paolo] Univ Turin, Italian Glaciol Comm, Turin, Italy; [Tison, Jean-Louis] Univ Libre Bruxelles ULB, Dept Geosci Environm &amp; Soc DGES, Lab Glaciol, Av F Roosevelt,50 CP 160 02, B-1050 Brussels, Belgium</t>
  </si>
  <si>
    <t>Universite Libre de Bruxelles; Universite de Lille; Centre National de la Recherche Scientifique (CNRS); Institut de Recherche pour le Developpement (IRD); Universite Libre de Bruxelles; Princeton University; University of Turin; Universite Libre de Bruxelles</t>
  </si>
  <si>
    <t>Bonneville, S (corresponding author), Univ Libre Bruxelles ULB, Dept Geosci Environm &amp; Soc DGES, Biogeochim &amp; Modelisat Syst Terre, B-1050 Brussels, Belgium.</t>
  </si>
  <si>
    <t>steeve.bonneville@ulb.be</t>
  </si>
  <si>
    <t>Laruelle, Goulven Gildas/F-1274-2010</t>
  </si>
  <si>
    <t>Laruelle, Goulven Gildas/0000-0003-2869-4713; BORY, Aloys/0000-0002-0251-6372</t>
  </si>
  <si>
    <t>Fonds National de la Recherche Scientifique [FRS-FNRS CDR-J.0017.22]; CaPPA project - ANR [ANR-ll-LABX-0005-01]; CNES (TOSCA/DOC project); BRAIN-be [BR/175/A2/Chase]; European Union [730997]; Natural Science and Engineering Research Council of Canada [RGPIN-2016-05417]; Ministry of the Environment and Transport [2255/2017]; National Commission on Research, Science, Technology [RPIV00272018]; Gobabeb Research and Training Centre</t>
  </si>
  <si>
    <t>Fonds National de la Recherche Scientifique(Fonds de la Recherche Scientifique - FNRS); CaPPA project - ANR(Agence Nationale de la Recherche (ANR)); CNES (TOSCA/DOC project); BRAIN-be; European Union(European Union (EU)); Natural Science and Engineering Research Council of Canada(Natural Sciences and Engineering Research Council of Canada (NSERC)); Ministry of the Environment and Transport; National Commission on Research, Science, Technology; Gobabeb Research and Training Centre</t>
  </si>
  <si>
    <t>S. Bonneville acknowledges the support of the Fonds National de la Recherche Scientifique (FRS-FNRS CDR-J.0017.22) . A. Vanderstraeten was supported at the LOG by the CaPPA project (Chemical and Physical Properties of the Atmosphere) funded by ANR (ANR-ll-LABX-0005-01) , and the CNES (TOSCA/DOC project) . N. Mattielli acknowledges the BRAIN-be funding for the CHASE Antarctica research program (BR/175/A2/Chase) . The CESAM chamber team is acknowledged for their help to obtain fine fraction of SAF samples. This CNRS-INSU facility received funding from the European Union's Horizon 2020 research and innovation program through the EUROCHAMP-2020 Infrastructure Activity (No. 730997) . Sample collection was supported by the Natural Science and Engineering Research Council of Canada (Discovery Grant RGPIN-2016-05417) . Fieldwork in Namibia was supported through permits issued by the Ministry of the Environment and Transport (#2255/2017) and the National Commission on Research, Science, &amp; Technology (#RPIV00272018) . We are grateful to J. King, M. Hipondoka, G.Maggs-Koelling, and the Gobabeb Research and Training Centre for the collection of the field samples.</t>
  </si>
  <si>
    <t>JUL 10</t>
  </si>
  <si>
    <t>10.1016/j.scitotenv.2023.163450</t>
  </si>
  <si>
    <t>G0YD0</t>
  </si>
  <si>
    <t>WOS:000986506400001</t>
  </si>
  <si>
    <t>Hou, X; Hu, Y; Du, F; Ashley, MCB; Pei, C; Shang, Z; Ma, B; Wang, E; Huang, K</t>
  </si>
  <si>
    <t>Hou, X.; Hu, Y.; Du, F.; Ashley, M. C. B.; Pei, C.; Shang, Z.; Ma, B.; Wang, E.; Huang, K.</t>
  </si>
  <si>
    <t>Machine learning-based seeing estimation and prediction using multi-layer meteorological data at Dome A, Antarctica</t>
  </si>
  <si>
    <t>ASTRONOMY AND COMPUTING</t>
  </si>
  <si>
    <t>Atmospheric effects; Methods; data analysis; statistical; Long short-term memory network; Gaussian process regression; Telescopes</t>
  </si>
  <si>
    <t>MODELING OPTICAL TURBULENCE; MOSE OPERATIONAL FORECAST; GROUND-BASED SITES; ATMOSPHERIC PARAMETERS; WEATHER RESEARCH; BOUNDARY-LAYER; WRF MODEL</t>
  </si>
  <si>
    <t>Atmospheric seeing is one of the most important parameters for evaluating and monitoring an astronomical site. Moreover, being able to predict the seeing in advance can guide observing decisions and significantly improve the efficiency of telescopes. However, it is not always easy to obtain long-term and continuous seeing measurements from a standard instrument such as differential image motion monitor (DIMM), especially for those unattended observatories with challenging environments such as Dome A, Antarctica. In this paper, we present a novel machine learning-based framework for estimating and predicting seeing at a height of 8 m at Dome A, Antarctica, using only the data from a multi-layer automated weather station (AWS). In comparison with DIMM data, our estimate has a root mean square error (RMSE) of 0.18 arcsec, and the RMSE of predictions 20 min in the future is 0.12 arcsec for the seeing range from 0 to 2.2 arcsec. Compared with the persistence, where the forecast is the same as the last data point, our framework reduces the RMSE by 37 per cent. Our method predicts the seeing within a second of computing time, making it suitable for real-time telescope scheduling.(c) 2023 Elsevier B.V. All rights reserved.</t>
  </si>
  <si>
    <t>[Hou, X.; Du, F.; Pei, C.; Wang, E.; Huang, K.] Chinese Acad Sci, Nanjing Inst Astron Opt &amp; Technol, Natl Astron Observ, Nanjing 210042, Peoples R China; [Hou, X.; Du, F.; Pei, C.; Wang, E.; Huang, K.] Nanjing Inst Astron Opt &amp; Technol, CAS Key Lab Astron Opt &amp; Technol, Nanjing 210042, Peoples R China; [Hou, X.; Wang, E.; Huang, K.] Univ Chinese Acad Sci, Beijing 100049, Peoples R China; [Hu, Y.; Shang, Z.] Chinese Acad Sci, Natl Astron Observ, Beijing 100101, Peoples R China; [Ashley, M. C. B.] Univ New South Wales, Sch Phys, Sydney 2052, Australia; [Ma, B.] Sun Yat Sen Univ, Sch Phys &amp; Astron, Zhuhai 519082, Peoples R China</t>
  </si>
  <si>
    <t>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 Chinese Academy of Sciences; National Astronomical Observatory, CAS; University of New South Wales Sydney; Sun Yat Sen University</t>
  </si>
  <si>
    <t>Du, F (corresponding author), Chinese Acad Sci, Nanjing Inst Astron Opt &amp; Technol, Natl Astron Observ, Nanjing 210042, Peoples R China.</t>
  </si>
  <si>
    <t>huyi.naoc@gmail.com; fjdu@niaot.ac.cn</t>
  </si>
  <si>
    <t>Huang, Kang/0000-0003-1504-9571; Hou, Xu/0000-0002-2671-1738; du, fu jia/0000-0002-3211-3240</t>
  </si>
  <si>
    <t>National Natural Science Foundation of China (NSFC) [U1831111]; Operation, Maintenance, and Upgrading Fund for Astronomical Telescopes and Facility Instruments; NSFC [11873010, 11733007, 12133010]; Nebula Talents Program of the National Astronomical Observatories, Chinese Academy of Sciences; Astronomy Australia Limited, Australia; Australian Antarctic Division, Australia</t>
  </si>
  <si>
    <t>National Natural Science Foundation of China (NSFC)(National Natural Science Foundation of China (NSFC)); Operation, Maintenance, and Upgrading Fund for Astronomical Telescopes and Facility Instruments; NSFC(National Natural Science Foundation of China (NSFC)); Nebula Talents Program of the National Astronomical Observatories, Chinese Academy of Sciences; Astronomy Australia Limited, Australia; Australian Antarctic Division, Australia</t>
  </si>
  <si>
    <t>The authors thank all members of the 27th, 28th, 31st, 32nd, 33rd, and 35th Chinese Antarctic Research Expedition teams for their effort in setting up the KLAWS, KLAWS-2G, and KL-DIMM instruments and servicing the PLATO-A observatory. This work has been supported by the National Natural Science Foundation of China (NSFC) under Grant No. U1831111 and the Operation, Maintenance, and Upgrading Fund for Astronomical Telescopes and Facility Instruments, budgeted from the Ministry of Finance of China (MOF) and administrated by the Chinese Academy of Sciences (CAS). PLATO-A has been supported by Astronomy Australia Limited, Australia and the Australian Antarctic Division, Australia. We acknowledge support from the NSFC under Grant Nos. 11873010, 11733007, and 12133010, and the Nebula Talents Program of the National Astronomical Observatories, Chinese Academy of Sciences.</t>
  </si>
  <si>
    <t>2213-1337</t>
  </si>
  <si>
    <t>2213-1345</t>
  </si>
  <si>
    <t>ASTRON COMPUT</t>
  </si>
  <si>
    <t>Astron. Comput.</t>
  </si>
  <si>
    <t>10.1016/j.ascom.2023.100710</t>
  </si>
  <si>
    <t>Astronomy &amp; Astrophysics; Computer Science, Interdisciplinary Applications</t>
  </si>
  <si>
    <t>Astronomy &amp; Astrophysics; Computer Science</t>
  </si>
  <si>
    <t>F9ZO4</t>
  </si>
  <si>
    <t>WOS:000985857400001</t>
  </si>
  <si>
    <t>Wilkinson, J; Veyssiere, G; Hughes, N; Ayre, M; Murray, M; Headland, R; Charles, R</t>
  </si>
  <si>
    <t>Wilkinson, Jeremy; Veyssiere, Gaelle; Hughes, Nick; Ayre, Matthew; Murray, Maribeth; Headland, Robert; Charles, Ryan</t>
  </si>
  <si>
    <t>Categorisation of the length of bowhead whales from British Arctic whaling records</t>
  </si>
  <si>
    <t>Arctic; bowhead whales (Balaena mysticetus); whaling; historical; Canada; Greenland</t>
  </si>
  <si>
    <t>BALAENA-MYSTICETUS; SEGREGATION; CANADA</t>
  </si>
  <si>
    <t>British whalers were the first and last from Europe to hunt bowhead whales (Balaena mysticetus) commercially from the Arctic whaling grounds of the Greenland Sea (East Greenland-Svalbard-Barents stock) and Davis Strait (East Canada-West Greenland stock). Thus, British Arctic whaling records are unique, as they include both the beginning and the final story of the near extirpation of the species from these waters. By consolidating, cross-checking, and updating the work of numerous colleagues over the years, a database of over 11,000 individual records of British whaling voyages to these grounds between 1725 and 1913 has been established. Using conversion algorithms, it has been possible to derive statistically robust information on the length of the bowheads caught from the amount of oil they yielded. Translating oil yield to whale length is an important step as oil yield is one of the most common parameters documented within historical whaling records. Analysis suggests the length of whales caught at these two whaling grounds, Greenland Sea and Davis Strait, were different. A higher proportion within the East Greenland-Svalbard-Barents stock, taken from the Greenland Sea grounds, measured less than 12.5m (classed as juveniles), whilst the East Canada-West Greenland stock, taken from Davis Strait grounds, were skewed towards larger whales, 13 to 14 m long (classed as sexually mature). Furthermore, there was clear evidence that a shift in the distribution of whale length occurred when the whalers extended their hunting grounds to encompass additional regions within the Greenland Sea and Davis Strait in 1814 and 1817 respectively. Prior to expansion, we find that that the vast majority (85%) of the East Canada-West Greenland stock were of the length that are classified as sexually mature (&gt;13.0 m), whereas only 39% of East Greenland-Svalbard-Barents stock taken were of this size. After the enlargement of the whaling grounds, the length distribution shifted with a reduction to 50% of the East Canada-West Greenland stock and an increase to 44% of the East Greenland-Svalbard-Barents stock being categorised as sexually mature. These results show the important information that may be derived from historical whaling records. Since the commercial hunt of the bowheads ceased in the European Arctic there have been substantial changes in both the oceanographic and sea ice regime in the region, thus understanding the past through whaling records can help to understand the implications of future climate-induced changes in bowhead whale populations and their habitat.</t>
  </si>
  <si>
    <t>[Wilkinson, Jeremy; Veyssiere, Gaelle; Charles, Ryan] British Antarctic Survey, Atmosphere Ice &amp; Climate, Cambridge, England; [Veyssiere, Gaelle] UCL, Ctr Polar Observat &amp; Modelling, London, England; [Hughes, Nick] Norwegian Meteorol Inst, Norwegian Ice Serv, Tromso, Norway; [Ayre, Matthew; Murray, Maribeth] Univ Calgary, Arctic Inst North Amer, Calgary, AB, Canada; [Headland, Robert] Univ Cambridge, Scott Polar Res Inst, Cambridge, England; [Charles, Ryan] Shark Specialist Grp SSG, Species Survival Commiss SSC, Int Union Conservat Nat IUCN, Dubai, U Arab Emirates</t>
  </si>
  <si>
    <t>UK Research &amp; Innovation (UKRI); Natural Environment Research Council (NERC); NERC British Antarctic Survey; University of London; University College London; Norwegian Meteorological Institute; University of Calgary; University of Cambridge</t>
  </si>
  <si>
    <t>Wilkinson, J (corresponding author), British Antarctic Survey, Atmosphere Ice &amp; Climate, Cambridge, England.</t>
  </si>
  <si>
    <t>jpw28@bas.ac.uk</t>
  </si>
  <si>
    <t>Charles, Ryan/0000-0002-2187-2137</t>
  </si>
  <si>
    <t>APR 19</t>
  </si>
  <si>
    <t>10.3389/fmars.2023.1116638</t>
  </si>
  <si>
    <t>F0SB8</t>
  </si>
  <si>
    <t>WOS:000979520900001</t>
  </si>
  <si>
    <t>Aulich, MG; Miller, BS; Samaran, F; McCauley, RD; Saunders, BJ; Erbe, C</t>
  </si>
  <si>
    <t>Aulich, Meghan G. G.; Miller, Brian S. S.; Samaran, Flore; McCauley, Robert D. D.; Saunders, Benjamin J. J.; Erbe, Christine</t>
  </si>
  <si>
    <t>Diel patterns of fin whale 20 Hz acoustic presence in Eastern Antarctic waters</t>
  </si>
  <si>
    <t>ROYAL SOCIETY OPEN SCIENCE</t>
  </si>
  <si>
    <t>fin whale; Balaenoptera physalus; Eastern Antarctica; diel patterns; 20 Hz pulse</t>
  </si>
  <si>
    <t>KRILL EUPHAUSIA-SUPERBA; VERTICAL MIGRATION; BALAENOPTERA-PHYSALUS; HABITAT USE; BEHAVIOR; SEA; AGGREGATION; ASSOCIATION; CALIFORNIA; BLUE</t>
  </si>
  <si>
    <t>This study presents evidence of diel patterns in fin whale (Balaenoptera physalus) 20 Hz acoustic presence in Eastern Antarctic waters. Passive acoustic recordings were collected at four sites in Eastern Antarctica from 2013 to 2019. A generalized linear model fitted by a generalized estimating equation was used to test the hypothesis that fin whale 20 Hz acoustic presence shows significant variation between light regimes dawn, day, dusk and night. In the Indian sector of Antarctica, at the Prydz and Southern Kerguelen Plateau sites, fin whale acoustic presence was significantly more common during the night and dawn before declining during the day and dusk periods. A different diel pattern was observed in the Pacific sector, at the Dumont d'Urville site: fin whale acoustic presence was significantly more common during the day than dusk and night periods. No diel pattern was identified at the Casey site. The identified diel patterns in the Indian sector of Eastern Antarctica correlate with previously identified diel patterns of the fin whales' prey. We suggest an indirect association between fin whale acoustic presence and foraging, with the animals more likely to produce the 20 Hz pulse during the night when not foraging and less likely to vocalize when foraging during the day.</t>
  </si>
  <si>
    <t>[Aulich, Meghan G. G.; McCauley, Robert D. D.; Erbe, Christine] Curtin Univ, Ctr Marine Sci &amp; Technol, Bentley, WA 6102, Australia; [Miller, Brian S. S.] Australian Antarctic Div, 203 Channel Highway, Kingston, Tas 7050, Australia; [Samaran, Flore] ENSTA Bretagne, Lab STICC CNRS UMR 6285, F-29802 Brest, France; [Saunders, Benjamin J. J.] Curtin Univ, Sch Mol &amp; Life Sci, Bentley, WA 6102, Australia</t>
  </si>
  <si>
    <t>Curtin University; Australian Antarctic Division; ENSTA Bretagne; Curtin University</t>
  </si>
  <si>
    <t>Aulich, MG (corresponding author), Curtin Univ, Ctr Marine Sci &amp; Technol, Bentley, WA 6102, Australia.</t>
  </si>
  <si>
    <t>meghan.aulich@hotmail.com</t>
  </si>
  <si>
    <t>Saunders, Benjamin J/J-5220-2013; Erbe, Christine/AAA-3801-2021</t>
  </si>
  <si>
    <t>Erbe, Christine/0000-0002-7884-9907; Miller, Brian/0000-0001-7615-3044; Aulich, Meghan/0000-0002-4316-8642</t>
  </si>
  <si>
    <t>ROYAL SOC</t>
  </si>
  <si>
    <t>6-9 CARLTON HOUSE TERRACE, LONDON SW1Y 5AG, ENGLAND</t>
  </si>
  <si>
    <t>2054-5703</t>
  </si>
  <si>
    <t>ROY SOC OPEN SCI</t>
  </si>
  <si>
    <t>R. Soc. Open Sci.</t>
  </si>
  <si>
    <t>10.1098/rsos.220499</t>
  </si>
  <si>
    <t>E3MI1</t>
  </si>
  <si>
    <t>WOS:000974613200002</t>
  </si>
  <si>
    <t>Peinado, P; Fitzgibbon, QP; Semmens, JM; Tracey, S; Pecl, GT</t>
  </si>
  <si>
    <t>Peinado, Patricia; Fitzgibbon, Quinn P.; Semmens, Jayson M.; Tracey, Sean; Pecl, Gretta T.</t>
  </si>
  <si>
    <t>Understanding species responses in a changing world by examining the predatory behaviour of southern calamari to changes on temperature</t>
  </si>
  <si>
    <t>acclimation; cephalopods; ocean warming; predation; species interaction; squid</t>
  </si>
  <si>
    <t>CLIMATE-CHANGE; SEPIOTEUTHIS-AUSTRALIS; LIFE-HISTORY; SQUID; CONSTRAINTS; PERSONALITY; CEPHALOPODS; DEPENDENCE; PHYSIOLOGY; ENERGETICS</t>
  </si>
  <si>
    <t>Predator-prey interactions are key drivers in structuring communities, with the potential to substantially impact the whole ecosystem when important predators and prey are involved. Squid are voracious predators and also important prey for other top predators. To date, the available data suggests that under current and projected ocean warming, the behaviour of ectotherms could be modified (for example, through individual movement, predator avoidance and escape speed), yet little is known of the influence of temperature on the predatory behaviour of cephalopods. Here, the predatory behaviour of adult southern calamari (Sepioteuthis australis) under different thermal scenarios was examined demonstrating that squid exhibited different behaviour and performance capabilities across temperature treatments. Overall, attempts of squid to capture prey were faster and more persistent at higher temperature treatments (25 degrees C), suggesting that individuals need to increase their food consumption rate, presumably associated with the higher energetic costs of living at elevated temperatures. However, we also observed a possible decrease in capture efficiency and increased prey handling time at higher temperatures suggesting that implications for energetic balance are not straightforward and that trade-offs need to be carefully explored. As cephalopods are ecologically important species acting as key links in food webs around the world, the results here could have important implications for the dynamics of many marine ecosystems in future.</t>
  </si>
  <si>
    <t>[Peinado, Patricia; Fitzgibbon, Quinn P.; Semmens, Jayson M.; Tracey, Sean; Pecl, Gretta T.] Univ Tasmania, Inst Marine Antarctic Studies, Hobart, Tas, Australia</t>
  </si>
  <si>
    <t>Peinado, P (corresponding author), Univ Tasmania, Inst Marine Antarctic Studies, Hobart, Tas, Australia.</t>
  </si>
  <si>
    <t>patricia.peinado@utas.edu.au</t>
  </si>
  <si>
    <t>Tracey, Sean/J-7446-2014</t>
  </si>
  <si>
    <t>Tracey, Sean/0000-0002-6735-5899; Fitzgibbon, Quinn/0000-0002-1104-3052</t>
  </si>
  <si>
    <t>Australian Research Council [FT140100596]; Australian Research Council [FT140100596] Funding Source: Australian Research Council</t>
  </si>
  <si>
    <t>Australian Research Council(Australian Research Council); Australian Research Council(Australian Research Council)</t>
  </si>
  <si>
    <t>Funding This work was supported by the Australian Research Council (FT140100596 to GP).</t>
  </si>
  <si>
    <t>10.3389/fmars.2023.1113984</t>
  </si>
  <si>
    <t>F0ET4</t>
  </si>
  <si>
    <t>WOS:000979172800001</t>
  </si>
  <si>
    <t>Castrillon, J; Mayaud, R; Wilson, C; Luche, GD; Allen, J; Nash, SB</t>
  </si>
  <si>
    <t>Castrillon, Juliana; Mayaud, Raphael; Wilson, Craig; Dalle Luche, Greta; Allen, Jenny; Nash, Susan Bengtson</t>
  </si>
  <si>
    <t>Moreton Bay; A previously unrecognized resting stopover for east-coast of Australia migrating humpback whales</t>
  </si>
  <si>
    <t>migratory species; resting stopovers; Southern hemisphere humpback whales; habitat use; energy balance; Moreton Bay; Antarctic climate change; sustainable development</t>
  </si>
  <si>
    <t>ATLANTIC FIN WHALES; MEGAPTERA-NOVAEANGLIAE; HERVEY BAY; GLOBAL CONSERVATION; BODY CONDITION; BEHAVIOR; HABITAT; CALF; FAT; SEGREGATION</t>
  </si>
  <si>
    <t>Humpback whales enter Moreton Bay, in southeast Queensland, Australia, each year during their annual migration. Little is known about the ecological significance of the bay for the humpback whale population. In a region characterised by rapid coastal and maritime development, as well as a growing humpback whale population, there is an urgent need to fill knowledge gaps surrounding the populations' seasonal distribution and habitat use in these coastal waters. This study procured the first detailed information regarding humpback whale distribution, behaviour, and habitat use within Moreton Bay, relative to the main east coast migratory corridor. It was found that on average 42.41% of the individuals observed on the southern leg of the migration entered the bay. 76.78% of pods entering the bay had accompanying calves and 47.82% of these pods were found to be resting or logging, a behaviour often associated with nursing, at the time of observation. These findings provide strong evidence for a previously undocumented role of Moreton Bay as a resting stopover for migrating humpback whales.</t>
  </si>
  <si>
    <t>[Castrillon, Juliana; Mayaud, Raphael; Dalle Luche, Greta; Allen, Jenny; Nash, Susan Bengtson] Griffith Univ, Ctr Planetary Hlth &amp; Food Secur, Nathan, Qld, Australia; [Wilson, Craig] Port Brisbane Pty Ltd, Lytton, Qld, Australia</t>
  </si>
  <si>
    <t>Griffith University</t>
  </si>
  <si>
    <t>Nash, SB (corresponding author), Griffith Univ, Ctr Planetary Hlth &amp; Food Secur, Nathan, Qld, Australia.</t>
  </si>
  <si>
    <t>s.bengtsonnash@griffith.edu.au</t>
  </si>
  <si>
    <t>10.3389/fmars.2023.1063197</t>
  </si>
  <si>
    <t>F0ZP3</t>
  </si>
  <si>
    <t>WOS:000979720100001</t>
  </si>
  <si>
    <t>Adams, CJ; Campbell, HJ</t>
  </si>
  <si>
    <t>Adams, Chris J.; Campbell, Hamish J.</t>
  </si>
  <si>
    <t>Zealandia and Australia at Ordovician continental margins: reconciling their similar and differing detrital zircon provenances within Rodinia</t>
  </si>
  <si>
    <t>NEW ZEALAND JOURNAL OF GEOLOGY AND GEOPHYSICS</t>
  </si>
  <si>
    <t>Ordovician; provenance; Australia; New Zealand; south China; Rodinia; Gondwana</t>
  </si>
  <si>
    <t>U-PB ZIRCON; SOUTH CHINA; EAST ANTARCTICA; PALEOZOIC TERRANES; TECTONIC EVOLUTION; GREENLAND GROUP; YANGTZE CRATON; WAIUTA GROUPS; WEST-COAST; AGE</t>
  </si>
  <si>
    <t>New detrital zircon ages from biostratigraphically well-controlled Ordovician sandstones in southeast Australia are compared with published counterparts in southern Zealandia. During Rodinia supercontinent assembly (RA), Australia and Zealandia age patterns are similar, everywhere with ubiquitous late Mesoproterozoic magmatic zircon sources. However, during earliest Gondwana supercontinent assembly (GA), the age patterns have different sediment sources: (1) those of late Neoproterozoic age are more strongly represented in Zealandia but of uncertain location, but (2) those of late Cambrian-Ordovician age are more prominent in eastern Australia, having probable origins in the Ross-Delamerian Orogen. In particular, a distinctive zircon component, ca. 600-650 Ma, is ubiquitous in Zealandia but rare in Australia. Early Paleoproterozoic and Archean (Nuna, NU) zircon sources (2000-3200 Ma) become important (and locally up to 25% total) in Zealandia but not in Australia. It is difficult to reconcile all these sediment source requirements within disparate and distant Australian-Antarctic Precambrian complexes. Instead, it is proposed that, through the early Palaeozoic, Zealandia had only local sediment sources in a discrete Rodinia basement continental block outcropping in South Zealandia that was formerly adjacent to South China.</t>
  </si>
  <si>
    <t>[Adams, Chris J.] GNS Sci, Dunedin, New Zealand; [Campbell, Hamish J.] GNS Sci, Lower Hutt, New Zealand</t>
  </si>
  <si>
    <t>GNS Science - New Zealand; GNS Science - New Zealand</t>
  </si>
  <si>
    <t>Campbell, HJ (corresponding author), GNS Sci, Lower Hutt, New Zealand.</t>
  </si>
  <si>
    <t>h.campbell@gns.cri.nz</t>
  </si>
  <si>
    <t>Campbell, Hamish/0000-0002-6845-0126</t>
  </si>
  <si>
    <t>0028-8306</t>
  </si>
  <si>
    <t>1175-8791</t>
  </si>
  <si>
    <t>NEW ZEAL J GEOL GEOP</t>
  </si>
  <si>
    <t>N. Z. J. Geol. Geophys.</t>
  </si>
  <si>
    <t>JUL 3</t>
  </si>
  <si>
    <t>10.1080/00288306.2023.2197238</t>
  </si>
  <si>
    <t>Geology; Geosciences, Multidisciplinary</t>
  </si>
  <si>
    <t>P1BB5</t>
  </si>
  <si>
    <t>WOS:000973620700001</t>
  </si>
  <si>
    <t>Rudeva, I; Boschat, G; Lucas, C; Ashcroft, L; Pepler, A; Hope, P</t>
  </si>
  <si>
    <t>Rudeva, Irina; Boschat, Ghyslaine; Lucas, Chris; Ashcroft, Linden; Pepler, Acacia; Hope, Pandora</t>
  </si>
  <si>
    <t>Atmospheric trends explained by changes in frequency of short-term circulation patterns</t>
  </si>
  <si>
    <t>COMMUNICATIONS EARTH &amp; ENVIRONMENT</t>
  </si>
  <si>
    <t>SOUTHERN ANNULAR MODE; NORTHERN-HEMISPHERE WINTER; ANTHROPOGENIC AEROSOLS; ARCTIC AMPLIFICATION; INTERNAL VARIABILITY; GREENHOUSE-GAS; TROPICAL BELT; POLAR VORTEX; CLIMATE; OSCILLATION</t>
  </si>
  <si>
    <t>Weak atmospheric circulation regimes became more frequent in the winter hemisphere between 1980 and 2000 coincident with the depletion of Antarctic stratospheric ozone concentrations, according to an analysis of the meridional circulation of the atmophere in isentropic coordinates using reanalysis data. The circulation of the atmosphere is subject to natural and anthropogenic forcings that alter the energy balance of the climate system. In each hemisphere the zonally averaged atmospheric circulation can be represented by a single overturning cell if viewed in isentropic coordinates, highlighting the connections between tropics and extratropics. Here we present clusters of the meridional atmospheric circulation based on reanalysis data. Our results reveal preferred global circulation regimes with two clusters in each solstice season. These clusters show strong trends in their occurrence in the last two decades of the 20th century coincident with the depletion of the low-stratospheric ozone over Antarctica. We hypothesize that a change in the occurrence of short-term circulation regimes may lead to some long-term atmospheric trends. Finally, we show a strong coupling between the atmospheric circulation in boreal and austral winters and propose a mechanism linking anomalies in both seasons to the stratospheric ozone that requires confirmation with modelling experiments.</t>
  </si>
  <si>
    <t>[Rudeva, Irina; Boschat, Ghyslaine; Lucas, Chris; Hope, Pandora] Australian Bur Meteorol, Melbourne, Vic, Australia; [Boschat, Ghyslaine; Ashcroft, Linden; Hope, Pandora] ARC Ctr Excellence Climate Extremes, Melbourne, Vic, Australia; [Ashcroft, Linden] Univ Melbourne, Sch Geog Earth &amp; Atmospher Sci, Parkville, Vic, Australia; [Pepler, Acacia] Australian Bur Meteorol, Sydney, NSW, Australia</t>
  </si>
  <si>
    <t>Bureau of Meteorology - Australia; Melbourne Genomics Health Alliance; University of Melbourne; Bureau of Meteorology - Australia</t>
  </si>
  <si>
    <t>Rudeva, I (corresponding author), Australian Bur Meteorol, Melbourne, Vic, Australia.</t>
  </si>
  <si>
    <t>irina.rudeva@bom.gov.au</t>
  </si>
  <si>
    <t>Pepler, Acacia/ABC-6565-2020</t>
  </si>
  <si>
    <t>Pepler, Acacia/0000-0002-1478-2512; Rudeva, Irina/0000-0001-9851-8198</t>
  </si>
  <si>
    <t>2662-4435</t>
  </si>
  <si>
    <t>COMMUN EARTH ENVIRON</t>
  </si>
  <si>
    <t>Commun. Earth Environ.</t>
  </si>
  <si>
    <t>10.1038/s43247-023-00785-7</t>
  </si>
  <si>
    <t>Environmental Sciences; Geosciences, Multidisciplinary; Meteorology &amp; Atmospheric Sciences</t>
  </si>
  <si>
    <t>Environmental Sciences &amp; Ecology; Geology; Meteorology &amp; Atmospheric Sciences</t>
  </si>
  <si>
    <t>E0SF5</t>
  </si>
  <si>
    <t>WOS:000972731000001</t>
  </si>
  <si>
    <t>Iizuka, M; Seki, O; Wilson, DJ; Suganuma, Y; Horikawa, K; van de Flierdt, T; Ikehara, M; Itaki, T; Irino, T; Yamamoto, M; Hirabayashi, M; Matsuzaki, H; Sugisaki, S</t>
  </si>
  <si>
    <t>Iizuka, Mutsumi; Seki, Osamu; Wilson, David J.; Suganuma, Yusuke; Horikawa, Keiji; van de Flierdt, Tina; Ikehara, Minoru; Itaki, Takuya; Irino, Tomohisa; Yamamoto, Masanobu; Hirabayashi, Motohiro; Matsuzaki, Hiroyuki; Sugisaki, Saiko</t>
  </si>
  <si>
    <t>Multiple episodes of ice loss from the Wilkes Subglacial Basin during the Last Interglacial</t>
  </si>
  <si>
    <t>LAND EAST ANTARCTICA; SEA-LEVEL RISE; SOUTHERN-OCEAN; CHRONOLOGY AICC2012; BE-10/BE-9 RATIOS; MARINE-SEDIMENTS; HALF-LIFE; SHEET; TEMPERATURE; DISCHARGE</t>
  </si>
  <si>
    <t>Sedimentary records from offshore of the East Antarctic Ice Sheet support two episodes of ice loss during the last interglacial period (130-115 ka), leading to elevated global sea levels under global mean temperatures similar to the present day. The Last Interglacial (LIG: 130,000-115,000 years ago) was a period of warmer global mean temperatures and higher and more variable sea levels than the Holocene (11,700-0 years ago). Therefore, a better understanding of Antarctic ice-sheet dynamics during this interval would provide valuable insights for projecting sea-level change in future warming scenarios. Here we present a high-resolution record constraining ice-sheet changes in the Wilkes Subglacial Basin (WSB) of East Antarctica during the LIG, based on analysis of sediment provenance and an ice melt proxy in a marine sediment core retrieved from the Wilkes Land margin. Our sedimentary records, together with existing ice-core records, reveal dynamic fluctuations of the ice sheet in the WSB, with thinning, melting, and potentially retreat leading to ice loss during both early and late stages of the LIG. We suggest that such changes along the East Antarctic Ice Sheet margin may have contributed to fluctuating global sea levels during the LIG.</t>
  </si>
  <si>
    <t>[Iizuka, Mutsumi; Seki, Osamu] Hokkaido Univ, Inst Low Temp Sci, Sapporo, Japan; [Iizuka, Mutsumi; Seki, Osamu; Irino, Tomohisa; Yamamoto, Masanobu] Hokkaido Univ, Grad Sch Environm Sci, Sapporo, Japan; [Iizuka, Mutsumi; Itaki, Takuya; Sugisaki, Saiko] Natl Inst Adv Ind Sci &amp; Technol, Geol Survey Japan, Tsukuba, Japan; [Wilson, David J.] Univ London, London Geochem &amp; Isotope Ctr LOGIC, Inst Earth &amp; Planetary Sci, London, England; [Wilson, David J.] Birkbeck Univ London, London, England; [Suganuma, Yusuke; Hirabayashi, Motohiro] Natl Inst Polar Res, Tachikawa, Japan; [Suganuma, Yusuke] Grad Univ Adv Studies SOKENDAI, Sch Multidisciplinary Sci, Dept Polar Sci, Tachikawa, Japan; [Horikawa, Keiji] Univ Toyama, Fac Sci, Acad Assembly, Gofuku, Japan; [van de Flierdt, Tina] Imperial Coll London, Dept Earth Sci &amp; Engn, London, England; [Ikehara, Minoru] Kochi Univ, Marine Core Res Inst MaCRI, Nankoku, Japan; [Irino, Tomohisa; Yamamoto, Masanobu] Hokkaido Univ, Fac Environm Earth Sci, Sapporo, Japan; Univ Tokyo, Micro Anal Lab, Tandem Accelerator MALT, Tokyo, Japan</t>
  </si>
  <si>
    <t>Hokkaido University; Hokkaido University; National Institute of Advanced Industrial Science &amp; Technology (AIST); University of London; University of London; Birkbeck University London; Research Organization of Information &amp; Systems (ROIS); National Institute of Polar Research (NIPR) - Japan; Graduate University for Advanced Studies - Japan; University of Toyama; Imperial College London; Kochi University; Hokkaido University; University of Tokyo</t>
  </si>
  <si>
    <t>Iizuka, M; Seki, O (corresponding author), Hokkaido Univ, Inst Low Temp Sci, Sapporo, Japan.;Iizuka, M; Seki, O (corresponding author), Hokkaido Univ, Grad Sch Environm Sci, Sapporo, Japan.;Iizuka, M (corresponding author), Natl Inst Adv Ind Sci &amp; Technol, Geol Survey Japan, Tsukuba, Japan.</t>
  </si>
  <si>
    <t>mutsumi.i@pop.lowtem.hokudai.ac.jp; seki@lowtem.hokudai.ac.jp</t>
  </si>
  <si>
    <t>Wilson, David/ITV-6768-2023; Wilson, David/AAA-9939-2019; Irino, Tomohisa/D-9282-2018; Yamamoto, Masanobu/A-6990-2012</t>
  </si>
  <si>
    <t>Wilson, David/0000-0003-2786-4688; Wilson, David/0000-0003-2786-4688; Itaki, Takuya/0000-0001-5232-0055; Horikawa, Keiji/0000-0003-0337-0413; Irino, Tomohisa/0000-0001-6941-770X; Iizuka, Mutsumi/0000-0003-1472-8994; Yamamoto, Masanobu/0000-0003-1312-825X; van de Flierdt, Tina/0000-0001-7176-9755; suganuma, yusuke/0000-0003-3516-1317; Ikehara, Minoru/0000-0002-2695-4713</t>
  </si>
  <si>
    <t>Japan Society for the Promotion of Science (JSPS) KAKENHI [17H01166, 17H06318, 20H00626, 16H05739]; Japan Society; JSPS KAKENHI [NE/T011440/1, 17H06321, 19H00728]; Natural Environment Research Council independent research fellowship [21J13181]; [21H01201]</t>
  </si>
  <si>
    <t>Japan Society for the Promotion of Science (JSPS) KAKENHI(Ministry of Education, Culture, Sports, Science and Technology, Japan (MEXT)Japan Society for the Promotion of ScienceGrants-in-Aid for Scientific Research (KAKENHI)); Japan Society(Ministry of Education, Culture, Sports, Science and Technology, Japan (MEXT)Japan Society for the Promotion of Science); JSPS KAKENHI(Ministry of Education, Culture, Sports, Science and Technology, Japan (MEXT)Japan Society for the Promotion of ScienceGrants-in-Aid for Scientific Research (KAKENHI)); Natural Environment Research Council independent research fellowship(UK Research &amp; Innovation (UKRI)Natural Environment Research Council (NERC));</t>
  </si>
  <si>
    <t>O.S. acknowledges support from the Japan Society for the Promotion of Science (JSPS) KAKENHI Grant Numbers 17H01166, 17H06318, and 20H00626. Mu.I. is supported by Grant-in-Aid for JSPS Fellows Grant Number 21J13181 and Sasagawa Scientific Research Grant from the Japan Society. Y.S. is supported by the JSPS KAKENHI Grant Numbers 16H05739, 17H06321, 19H00728. Ta. I. is supported by the JSPS KAKENHI Grant Numbers 21H01201. D.J.W. is supported by a Natural Environment Research Council independent research fellowship (NE/T011440/1). Thanks also go to N. Pratt for her kind technical support with detrital neodymium isotope measurements.</t>
  </si>
  <si>
    <t>APR 18</t>
  </si>
  <si>
    <t>10.1038/s41467-023-37325-y</t>
  </si>
  <si>
    <t>F7ZB7</t>
  </si>
  <si>
    <t>WOS:000984481700019</t>
  </si>
  <si>
    <t>Stober, G; Liu, AL; Kozlovsky, A; Qiao, ZS; Krochin, W; Shi, GC; Kero, J; Tsutsumi, M; Gulbrandsen, N; Nozawa, S; Lester, M; Baumgarten, K; Belova, E; Mitchell, N</t>
  </si>
  <si>
    <t>Stober, Gunter; Liu, Alan; Kozlovsky, Alexander; Qiao, Zishun; Krochin, Witali; Shi, Guochun; Kero, Johan; Tsutsumi, Masaki; Gulbrandsen, Njal; Nozawa, Satonori; Lester, Mark; Baumgarten, Kathrin; Belova, Evgenia; Mitchell, Nicholas</t>
  </si>
  <si>
    <t>Identifying gravity waves launched by the Hunga Tonga-Hunga Ha'apai volcanic eruption in mesosphere/lower-thermosphere winds derived from CONDOR and the Nordic Meteor Radar Cluster</t>
  </si>
  <si>
    <t>ANNALES GEOPHYSICAE</t>
  </si>
  <si>
    <t>The Hunga Tonga-Hunga Ha'apai volcano eruption was a unique event that caused many atmospheric phenomena around the globe. In this study, we investigate the atmospheric gravity waves in the mesosphere/lowerthermosphere (MLT) launched by the volcanic explosion in the Pacific, leveraging multistatic meteor radar observations from the Chilean Observation Network De Meteor Radars (CONDOR) and the Nordic Meteor Radar Cluster in Fennoscandia. MLT winds are computed using a recently developed 3DVAR+DIV algorithm. We found eastward- and westward-traveling gravity waves in the CONDOR zonal and meridional wind measurements, which arrived 12 and 48 h after the eruption, and we found one in the Nordic Meteor Radar Cluster that arrived 27.5 h after the volcanic detonation. We obtained observed phase speeds for the eastward great circle path at both locations of about 250 m s(-1), and they were 170-150 m s(-1) for the opposite propagation direction. The intrinsic phase speed was estimated to be 200-212 m s(-1). Furthermore, we identified a potential lamb wave signature in the MLT winds using 5 min resolved 3DVAR+DIV retrievals.</t>
  </si>
  <si>
    <t>[Stober, Gunter; Krochin, Witali; Shi, Guochun] Univ Bern, Inst Appl Phys, Bern, Switzerland; [Stober, Gunter; Krochin, Witali] Univ Bern, Oeschger Ctr Climate Change Res, Microwave Phys, Bern, Switzerland; [Liu, Alan; Qiao, Zishun] Embry Riddle Aeronaut Univ, Ctr Space &amp; Atmospher Res, Daytona Beach, FL USA; [Liu, Alan; Qiao, Zishun] Embry Riddle Aeronaut Univ, Dept Phys Sci, Daytona Beach, FL USA; [Kozlovsky, Alexander] Univ Oulu, Sodankyla Geophys Observ, Oulu, Finland; [Tsutsumi, Masaki] Natl Inst Polar Res, Tachikawa, Japan; [Tsutsumi, Masaki] Grad Univ Adv Studies SOKENDAI, Tokyo, Japan; [Gulbrandsen, Njal] UiT Arctic Univ Norway, Tromso Geophys Observ, Tromso, Norway; [Nozawa, Satonori] Nagoya Univ, Inst Space Earth Environm Res, Ionospher &amp; Magnetospher Res, Nagoya, Japan; [Lester, Mark] Univ Leicester, Dept Phys &amp; Astron, Leicester, England; [Baumgarten, Kathrin] Fraunhofer Inst Ceram Technol &amp; Syst IKTS, Smart Ocean Technol, Rostock, Germany; [Kero, Johan; Belova, Evgenia] Swedish Inst Space Phys IRF, Kiruna, Sweden; [Mitchell, Nicholas] British Antarctic Survey, Cambridge, England; [Mitchell, Nicholas] Univ Bath, Dept Elect &amp; Elect Engn, Bath, England</t>
  </si>
  <si>
    <t>University of Bern; University of Bern; Embry-Riddle Aeronautical University; Embry-Riddle Aeronautical University; University of Oulu; Research Organization of Information &amp; Systems (ROIS); National Institute of Polar Research (NIPR) - Japan; Graduate University for Advanced Studies - Japan; UiT The Arctic University of Tromso; Nagoya University; University of Leicester; Fraunhofer Gesellschaft; UK Research &amp; Innovation (UKRI); Natural Environment Research Council (NERC); NERC British Antarctic Survey; University of Bath</t>
  </si>
  <si>
    <t>Stober, G (corresponding author), Univ Bern, Inst Appl Phys, Bern, Switzerland.;Stober, G (corresponding author), Univ Bern, Oeschger Ctr Climate Change Res, Microwave Phys, Bern, Switzerland.</t>
  </si>
  <si>
    <t>gunter.stober@unibe.ch</t>
  </si>
  <si>
    <t>Qiao, Zishun/0000-0001-6900-7313; Stober, Gunter/0000-0002-7909-6345; Kero, Johan/0000-0002-2177-6751; Shi, Guochun/0000-0002-2160-0449; NOZAWA, Satonori/0000-0002-4359-6524</t>
  </si>
  <si>
    <t>Schweizerischer National fonds zur Foerderungder Wissenschaftlichen Forschung [200021-200517/1]; NSF [1828589]; STFCCE14 [ST/W00089X/1]; Japan Society for the Promotion of Science (JSPS) [17H02968]; Swiss National Science Foundation (SNF) [200021_200517] Funding Source: Swiss National Science Foundation (SNF)</t>
  </si>
  <si>
    <t>Schweizerischer National fonds zur Foerderungder Wissenschaftlichen Forschung; NSF(National Science Foundation (NSF)); STFCCE14; Japan Society for the Promotion of Science (JSPS)(Ministry of Education, Culture, Sports, Science and Technology, Japan (MEXT)Japan Society for the Promotion of Science); Swiss National Science Foundation (SNF)(Swiss National Science Foundation (SNSF))</t>
  </si>
  <si>
    <t>Witali Krochin and Guochun Shi are supported by the Schweizerischer National fonds zur Foerderungder Wissenschaftlichen Forschung (grant no. 200021-200517/1).Zishun Qiao and the operation of the CONDOR meteor radar system are supported by the NSF grant 1828589. This research has been supported by the STFCCE14 (grant no. ST/W00089X/1 to Mark Lester). This study is partly supported by Grants-in-Aid for Scientific Research (no. 17H02968) of the Japan Society for the Promotion of Science (JSPS).</t>
  </si>
  <si>
    <t>0992-7689</t>
  </si>
  <si>
    <t>1432-0576</t>
  </si>
  <si>
    <t>ANN GEOPHYS-GERMANY</t>
  </si>
  <si>
    <t>Ann. Geophys.</t>
  </si>
  <si>
    <t>10.5194/angeo-41-197-2023</t>
  </si>
  <si>
    <t>Astronomy &amp; Astrophysics; Geosciences, Multidisciplinary; Meteorology &amp; Atmospheric Sciences</t>
  </si>
  <si>
    <t>Astronomy &amp; Astrophysics; Geology; Meteorology &amp; Atmospheric Sciences</t>
  </si>
  <si>
    <t>F2CW5</t>
  </si>
  <si>
    <t>gold, Green Submitted, Green Published, Green Accepted</t>
  </si>
  <si>
    <t>WOS:000980486700001</t>
  </si>
  <si>
    <t>de Freitas, MAM; Cunha-Ferreira, IC; Leal, CV; Fernandez, JCC; Omachi, CY; Campos, LS; Masi, BP; Krüger, RH; Hajdu, E; Thompson, CC; Thompson, FL</t>
  </si>
  <si>
    <t>de Freitas, Mayanne A. M.; Cunha-Ferreira, Isabel C.; Leal, Camille, V; Fernandez, Julio C. C.; Omachi, Claudia Y.; Campos, Lucia S.; Masi, Bruno P.; Kruger, Ricardo H.; Hajdu, Eduardo; Thompson, Cristiane C.; Thompson, Fabiano L.</t>
  </si>
  <si>
    <t>Microbiome diversity from sponges biogeographically distributed between South America and Antarctica</t>
  </si>
  <si>
    <t>Microbiome; Sponge; Antarctica; South America; EC94; Biogeography</t>
  </si>
  <si>
    <t>MARINE; MICROORGANISMS; PHYTOPLANKTON; ASSOCIATION; EVOLUTION; ALIGNMENT; ECOSYSTEM; INSIGHTS; ECOLOGY; SURFACE</t>
  </si>
  <si>
    <t>Sponges from South America and Antarctica are evolutionarily closely related. Specific symbiont signatures that could differentiate these two geographic regions are unknown. This study aimed to investigate the microbiome diversity of sponges from South America and Antarctica. In total 71 sponge specimens were analyzed (Antarctica: N = 59,13 dif-ferent species;South America: N = 12, 6 different species). Illumina 16S rRNA sequences were generated (2.88 million sequences; 40K +/- 29K/sample). The most abundant symbionts were heterotrophic (94.8 %) and belonged mainly to Proteobacteria and Bacteroidota. EC94 was the most abundant symbiont and dominated the microbiome of some spe-cies (70-87 %), comprising at least 10 phylogroups. Each of the EC94 phylogroups was specific to one genus or species of sponge. Furthermore, South America sponges had higher abundance of photosynthetic microorganisms (2.3 %) and sponges from Antarctica, the highest abundance of chemosynthetic (5.5 %). Sponge symbionts may contribute to the function of their hosts. The unique features from each of these two regions (e.g., light, temperature, and nutrients) pos-sibly stimulate distinct microbiome diversity from sponges biogeographically distributed across continents.</t>
  </si>
  <si>
    <t>[de Freitas, Mayanne A. M.; Leal, Camille, V; Thompson, Cristiane C.; Thompson, Fabiano L.] Fed Univ Rio Janeiro UFRJ, Biol Inst, Lab Microbiol, Rio De Janeiro, RJ, Brazil; [Cunha-Ferreira, Isabel C.; Kruger, Ricardo H.] Univ Brasilia UNB, Biol Inst, Lab Enzymol, Brasilia, Brazil; [Fernandez, Julio C. C.] Fed Univ Rio Janeiro UFRJ, Dept Invertebrates, Natl Museum, Rio De Janeiro, RJ, Brazil; [Omachi, Claudia Y.; Hajdu, Eduardo] Univ Sao Paulo, Oceanog Inst, Lab Environm Indicators, Sao Paulo, SP, Brazil; [Campos, Lucia S.] Fed Univ Rio Janeiro UFRJ, Biol Inst, Dept Zool, Rio De Janeiro, RJ, Brazil; [Masi, Bruno P.] Fed Rural Univ Amazon UFRA, Socio Environm &amp; Water Resources Inst ISARH, Lab Marine Ecol &amp; Fishery Oceanog Amazon LEMOPA, Belem, PA, Brazil; [Thompson, Fabiano L.] UFRJ, Biol Inst, CCS, Av Carlos Chagas Filho, BR-21941902 Brasilia, RJ, Brazil</t>
  </si>
  <si>
    <t>Universidade de Brasilia; Universidade de Sao Paulo; Universidade Federal Rural da Amazonia (UFRA); Universidade Federal do Rio de Janeiro</t>
  </si>
  <si>
    <t>Thompson, FL (corresponding author), UFRJ, Biol Inst, CCS, Av Carlos Chagas Filho, BR-21941902 Brasilia, RJ, Brazil.</t>
  </si>
  <si>
    <t>fabianothompson1@gmail.com</t>
  </si>
  <si>
    <t>Leal, Camille Victória/ABF-5052-2020</t>
  </si>
  <si>
    <t>Leal, Camille Victória/0000-0002-1175-6896; Masi, Bruno/0000-0002-7719-3723</t>
  </si>
  <si>
    <t>Coordination for the Improvement of Higher Education (CAPES); National Council for Scientific and Technological Development (CNPq); Carlos Chagas Filho Foundation for Research Support in Rio de Janeiro (FAPERJ) [E-26/202.361/2019, E-26/202.362/2019]; CNPq (PROANTAR, PROSUL, Universal, Research Productivity); FAPERJ (Scientist of Our State, Museu Nacional Emergency)</t>
  </si>
  <si>
    <t>Coordination for the Improvement of Higher Education (CAPES)(Coordenacao de Aperfeicoamento de Pessoal de Nivel Superior (CAPES)); National Council for Scientific and Technological Development (CNPq)(Conselho Nacional de Desenvolvimento Cientifico e Tecnologico (CNPQ)); Carlos Chagas Filho Foundation for Research Support in Rio de Janeiro (FAPERJ)(Fundacao Carlos Chagas Filho de Amparo a Pesquisa do Estado do Rio De Janeiro (FAPERJ)); CNPq (PROANTAR, PROSUL, Universal, Research Productivity); FAPERJ (Scientist of Our State, Museu Nacional Emergency)</t>
  </si>
  <si>
    <t>This paper constitutes a portion of M.A.M.F. PhD thesis. This work was funded by the Coordination for the Improvement of Higher Education (CAPES) , National Council for Scientific and Technological Development (CNPq) and Carlos Chagas Filho Foundation for Research Support in Rio de Janeiro (FAPERJ) . Authors are thankful to Dr. Dirk Schories (PtJ/Germany) and Dr. Cesar A. COenas (INACH/Chile) for allowing us to use their excellent underwater images in Fig. 1C-E, and F, respectively. J.C.C.F. thanks the Carlos Chagas Filho Foundation for Research Support in Rio de Janeiro (FAPERJ) (grants FAPERJ NOTA 10 no. E-26/202.361/2019 and no. E-26/202.362/2019) for Post-doctoral fellowships. E.H. is thankful to CNPq (PROANTAR, PROSUL, Universal, Research Productivity) and FAPERJ (Scientist of Our State, Museu Nacional Emergency) for grants and/or fellowships which enabled the establishment of scientific cooperation with Chilean colleagues for the study of Magellanic and Antarctic Porifera.</t>
  </si>
  <si>
    <t>JUN 25</t>
  </si>
  <si>
    <t>10.1016/j.scitotenv.2023.163256</t>
  </si>
  <si>
    <t>G3MK2</t>
  </si>
  <si>
    <t>WOS:000988235800001</t>
  </si>
  <si>
    <t>Cízková, K; Láska, K; Metelka, L; Stanek, M</t>
  </si>
  <si>
    <t>Cizkova, Klara; Laska, Kamil; Metelka, Ladislav; Stanek, Martin</t>
  </si>
  <si>
    <t>Assessment of spectral UV radiation at Marambio Base, Antarctic Peninsula</t>
  </si>
  <si>
    <t>ATMOSPHERIC CHEMISTRY AND PHYSICS</t>
  </si>
  <si>
    <t>TOTAL OZONE; ULTRAVIOLET-RADIATION; STRATOSPHERIC OZONE; MONTREAL PROTOCOL; VITAMIN-D; CLOUD; IRRADIANCE; BREWER; TRANSMITTANCE; CLIMATOLOGY</t>
  </si>
  <si>
    <t>This study aims to assess the dependence of spectral UV radiation on different atmospheric and terrestrial factors, including solar zenith angle, ozone, and cloud cover, in the southern polar environment. For this purpose, 23 260 spectra (300-363 nm), obtained by the B199 Mk-III Brewer spectrophotometer at Marambio Base, Antarctic Peninsula region, over the period 2010-2020, were studied. A neural network model was developed to investigate the effects of the explanatory variables at 127 wavelengths in the interval 300-363 nm, with a 0.5 nm sampling interval. Solar zenith angle (SZA) proved to be the most important parameter, followed by cloud cover, total ozone column (TOC), and surface albedo. The relative SZA effect is greatest at the shortest wavelengths, where a 1ffi decrease in SZA results in a 6 %-18% increase in UV irradiance (305 nm). TOC particularly affects the short wavelengths below approximately 320-325 nm, when for example at 305 nm a 10DU decrease in TOC causes a 7 %-13% increase in UV irradiance. The large-scale ozone holes (e.g., in 20112012, 2014-2015, 2018-2019) caused the spectral UV irradiance at very short wavelengths to peak in spring, whereas in other seasons (e.g., 2010-2011, 2012-2013), the maxima at all wavelengths were recorded in summer (November to January). Absorption of UV radiance by the ozone also affected the temporal distribution of very high spectral UV irradiances (i.e., highest 10% of the distribution), when at 305 nm they were observed both in spring and summer months, and at 340 nm they occurred mostly in summer. The effect of cloud cover was strongest near the fully cloudy sky and in the summer months, when the Antarctic clouds tend to be thickest.</t>
  </si>
  <si>
    <t>[Cizkova, Klara; Laska, Kamil] Masaryk Univ, Fac Sci, Dept Geog, Brno 61137, Czech Republic; [Cizkova, Klara; Metelka, Ladislav; Stanek, Martin] Czech Hydrometeorol Inst, Solar &amp; Ozone Observ, Hradec Kralove 50008, Czech Republic</t>
  </si>
  <si>
    <t>Masaryk University Brno; Czech Hydrometeorological Institute</t>
  </si>
  <si>
    <t>Cízková, K (corresponding author), Masaryk Univ, Fac Sci, Dept Geog, Brno 61137, Czech Republic.;Cízková, K (corresponding author), Czech Hydrometeorol Inst, Solar &amp; Ozone Observ, Hradec Kralove 50008, Czech Republic.</t>
  </si>
  <si>
    <t>cizkova.klara@mail.muni.cz</t>
  </si>
  <si>
    <t>Laska, Kamil/L-7875-2013</t>
  </si>
  <si>
    <t>Laska, Kamil/0000-0002-5199-9737</t>
  </si>
  <si>
    <t>State Environmental Fund of the Czech Republic, Ministry of Environment [03461022]; Ministry of Education, Youth and Sports of the Czech Republic [VAN 2022]; Masaryk University [MUNI/A/1323/2022]</t>
  </si>
  <si>
    <t>State Environmental Fund of the Czech Republic, Ministry of Environment; Ministry of Education, Youth and Sports of the Czech Republic(Ministry of Education, Youth &amp; Sports - Czech Republic); Masaryk University</t>
  </si>
  <si>
    <t>This research was funded by the State Environmental Fund of the Czech Republic, Ministry of Environment, project of CHMI no. 03461022 Monitoring of the ozone layer and UV radiation in Antarctica; by the Czech Antarctic Research Programme 2022 (VAN 2022), funded by the Ministry of Education, Youth and Sports of the Czech Republic; and by the project of Masaryk University MUNI/A/1323/2022.</t>
  </si>
  <si>
    <t>1680-7316</t>
  </si>
  <si>
    <t>1680-7324</t>
  </si>
  <si>
    <t>ATMOS CHEM PHYS</t>
  </si>
  <si>
    <t>Atmos. Chem. Phys.</t>
  </si>
  <si>
    <t>10.5194/acp-23-4617-2023</t>
  </si>
  <si>
    <t>E2FL9</t>
  </si>
  <si>
    <t>WOS:000973756700001</t>
  </si>
  <si>
    <t>Niedbala, W; Liu, D</t>
  </si>
  <si>
    <t>Niedbala, Wojciech; Liu, Dong</t>
  </si>
  <si>
    <t>Systematic, synonymic and biogeographical list of ptyctimous mites (Acari, Oribatida) in the world (1799-2022)</t>
  </si>
  <si>
    <t>ZOOTAXA</t>
  </si>
  <si>
    <t>soil mites; oribatid mites; adult; juvenile; systematic; nomenclature; geographic distribution; catalogue</t>
  </si>
  <si>
    <t>FAMILY PHTHIRACARIDAE ACARI; SABAH EAST-MALAYSIA; NEW-SPECIES ACARI; ZEALAND AUSTROPHTHIRACARUS ACARI; AMERICAN SYNICHOTRITIIDAE ACARI; PTYCHOID DEFENSIVE-MECHANISM; NEOTROPICAL REGION ACARI; GENUS MESOTRITIA ACARI; NEWLY RECORDED GENUS; ST-LUCIA ANTILLES</t>
  </si>
  <si>
    <t>The primitive ptyctimous mites are one of the most important groups of oribatid mites (Acari), with almost cosmopolitan distribution, except for the Arctic and the Antarctic regions. These mites occur especially in places where there is decaying organic matter. In this study, a detailed catalogue of all known ptyctimous mite species in the world is presented. The catalogue provides information about the zoogeographical distribution of each species, discusses important nomenclatural issues and addresses some remarks. Besides this, it also contains useful data on known juvenile instars of 47 species. The catalogue also presents a classification of the higher taxa of eight families, four subfamilies, 42 genera, 15 subgenera, the taxonomic characteristics and the information about the zoogeographical distribution of 1458 valid known species from all over the world. Among them, 231 species and one genus are enumerated as synonyms, nine homonyms, one rejected name, one genus inquirenda, 41 species inquirendae, four subspecies inquirendae, one genus incertae sedis, 39 species incertae sedis, 12 species nomina nuda, two species mistakenly identified, one species without the author's name, and one non-ptyctimous mite species are included in the catalogue. Furthermore, the DNA sequence data of 53 ptyctimous species (belonging to eight families, 15 genera) can be found in the GenBank. Finally, the attached appendix contains important corrections referring to the published monographs published by the first author, and a list of new species described after the publication of these monographs. SEM photos of some typical ptyctimous mites showing their diversity are attached.</t>
  </si>
  <si>
    <t>[Niedbala, Wojciech] Adam Mickiewicz Univ, Dept Anim Taxon &amp; Ecol &amp; Nat Hist Collect, Fac Biol, Ul Univ Poznanskiego 6, PL-61614 Poznan, Poland; [Liu, Dong] Chinese Acad Sci, Northeast Inst Geog &amp; Agroecol, Key Lab Wetland Ecol &amp; Environm, State Key Lab Black Soils Conservat &amp; Utilizat, Changchun 130102, Peoples R China</t>
  </si>
  <si>
    <t>Adam Mickiewicz University; Chinese Academy of Sciences; Northeast Institute of Geography &amp; Agroecology, CAS</t>
  </si>
  <si>
    <t>Liu, D (corresponding author), Chinese Acad Sci, Northeast Inst Geog &amp; Agroecol, Key Lab Wetland Ecol &amp; Environm, State Key Lab Black Soils Conservat &amp; Utilizat, Changchun 130102, Peoples R China.</t>
  </si>
  <si>
    <t>wojciech.niedbala@amu.edu.pl; liudong@iga.ac.cn</t>
  </si>
  <si>
    <t>Niedbala, Wojciech/0000-0003-3772-0493</t>
  </si>
  <si>
    <t>European Union; Ministry of Digital Affairs from the European Regional Development Fund as part of the Digital Poland Operational Program [POPC.02.03.01-00-0043/18]; Joint Funds of the National Natural Science Foundation of China [U20A2083]; National Natural Science Foundation of China [32170467]; National Science &amp; Technology Fundamental Resources Investigation Program of China [2018FY100300]; Youth Innovation Promotion Association, CAS [2016209]; Funds for The Young Scientists Group of IGA, CAS [DLSXZ1601]; Key Laboratory of Wetland Ecology and Environment of the Chinese Academy of Sciences [20160704]; Funds for The Excellent Youth Scholars of NEIGAE, CAS [DLSYQ2012004]; SPUB project [4102000000-604-505050-BN002022-STAT/SUB/ZP]</t>
  </si>
  <si>
    <t>European Union(European Union (EU)); Ministry of Digital Affairs from the European Regional Development Fund as part of the Digital Poland Operational Program; Joint Funds of the National Natural Science Foundation of China(National Natural Science Foundation of China (NSFC)); National Natural Science Foundation of China(National Natural Science Foundation of China (NSFC)); National Science &amp; Technology Fundamental Resources Investigation Program of China; Youth Innovation Promotion Association, CAS; Funds for The Young Scientists Group of IGA, CAS; Key Laboratory of Wetland Ecology and Environment of the Chinese Academy of Sciences; Funds for The Excellent Youth Scholars of NEIGAE, CAS; SPUB project</t>
  </si>
  <si>
    <t>The first author's work was supported by the AMUNATCOLL project partly funded by the European Union and Ministry of Digital Affairs from the European Regional Development Fund as part of the Digital Poland Operational Program under grant agreement number: POPC.02.03.01-00-0043/18 and by the SPUB project as a subsidy related to maintenance of research equipment no. 4102000000-604-505050-BN002022-STAT/SUB/ZP. The second author's work was supported by the Joint Funds of the National Natural Science Foundation of China (grant number U20A2083), the National Natural Science Foundation of China (grant number 32170467), the National Science &amp; Technology Fundamental Resources Investigation Program of China (grant number 2018FY100300), the Youth Innovation Promotion Association, CAS (grant number 2016209), the Funds for The Young Scientists Group of IGA, CAS (grant number DLSXZ1601), the grant from the Key Laboratory of Wetland Ecology and Environment of the Chinese Academy of Sciences (grant number 20160704), and the Funds for The Excellent Youth Scholars of NEIGAE, CAS (grant number DLSYQ2012004). Some graphics were made by Xue Pan, doctoral candidate of Johann-Friedrich-Blumenbach Institute of Zoology and Anthropology, University of Gottingen, Gottingen. The authors thank Prof. Z. Adamski, Laboratory of Electron and Confocal Microscopy, Faculty of Biology, Adam Mickiewicz University in Poznan for recording scanning images.</t>
  </si>
  <si>
    <t>MAGNOLIA PRESS</t>
  </si>
  <si>
    <t>AUCKLAND</t>
  </si>
  <si>
    <t>250F Marua Road Mt Wellington, AUCKLAND, ST LUKES 1023, NEW ZEALAND</t>
  </si>
  <si>
    <t>1175-5326</t>
  </si>
  <si>
    <t>1175-5334</t>
  </si>
  <si>
    <t>Zootaxa</t>
  </si>
  <si>
    <t>10.11646/zootaxa.5265.1.1</t>
  </si>
  <si>
    <t>Zoology</t>
  </si>
  <si>
    <t>E0SR6</t>
  </si>
  <si>
    <t>WOS:000972743500001</t>
  </si>
  <si>
    <t>Wigmore, O; Molotch, NP</t>
  </si>
  <si>
    <t>Wigmore, Oliver; Molotch, Noah P.</t>
  </si>
  <si>
    <t>Weekly high-resolution multi-spectral and thermal uncrewed-aerial-system mapping of an alpine catchment during summer snowmelt, Niwot Ridge, Colorado</t>
  </si>
  <si>
    <t>UNMANNED AIRCRAFT SYSTEMS; PHOTOGRAMMETRY; VARIABILITY; TERRAIN; CLIMATE; MODELS; DEPTH</t>
  </si>
  <si>
    <t>Alpine ecosystems are experiencing rapid change as a result of warming temperatures and changes in the quantity, timing and phase of precipitation. This in turn impacts patterns and processes of ecohydrologic connectivity, vegetation productivity and water provision to downstream regions. The fine-scale heterogeneous nature of these environments makes them challenging areas to measure with traditional instrumentation and spatiotemporally coarse satellite imagery. This paper describes the data collection, processing, accuracy assessment and availability of a series of approximately weekly-interval uncrewed-aerial-system (UAS) surveys flown over the Niwot Ridge Long Term Ecological Research site during the 2017 summer-snowmelt season. Visible, near-infrared and thermal-infrared imagery was collected. This unique series of 5-25 cm resolution multi-spectral and thermal orthomosaics provides a unique snapshot of seasonal transitions in a high alpine catchment. Weekly radiometrically calibrated normalised difference vegetation index maps can be used to track vegetation health at the pixel scale through time. Thermal imagery can be used to map the movement of snowmelt across and within the near sub-surface as well as identify locations where groundwater is discharging to the surface. A 10 cm resolution digital surface model and dense point cloud (146 pointsm 2) are also provided for topographic analysis of the snow-free surface. These datasets augment ongoing data collection within this heavily studied and important alpine site; they are made publicly available to facilitate wider use by the research community. Datasets and related metadata can be accessed through the Environmental Data Initiative Data Portal, https://doi.org/10.6073/pasta/dadd5c2e4a65c781c2371643f7ff9dc4 (Wigmore, 2022a), https://doi.org/10.6073/pasta/073a5a67ddba08ba3a24fe85c5154da7 (Wigmore, 2022c), https://doi.org/10.6073/pasta/a4f57c82ad274aa2640e0a79649290ca (Wigmore and Niwot Ridge LTER, 2021a), https://doi.org/10.6073/pasta/444a7923deebc4b660436e76ffa3130c (Wigmore and Niwot Ridge LTER, 2021b), https://doi.org/10.6073/pasta/1289b3b41a46284d2a1c42f1b08b3807 (Wigmore and Niwot Ridge LTER, 2022a), https://doi.org/10.6073/pasta/70518d55a8d6ec95f04f2d8a0920b7b8 (Wigmore and Niwot Ridge LTER, 2022b). A summary of the available datasets can be found in the data availability section below.</t>
  </si>
  <si>
    <t>[Wigmore, Oliver] Victoria Univ Wellington, Antarctic Res Ctr, Wellington, New Zealand; [Wigmore, Oliver; Molotch, Noah P.] Univ Colorado, Inst Arctic &amp; Alpine Res, Boulder, CO 80309 USA; [Wigmore, Oliver] Univ Colorado, Earth Lab, Boulder, CO 80309 USA; [Molotch, Noah P.] CALTECH, Jet Prop Lab, Pasadena, CA USA</t>
  </si>
  <si>
    <t>Victoria University Wellington; University of Colorado System; University of Colorado Boulder; University of Colorado System; University of Colorado Boulder; National Aeronautics &amp; Space Administration (NASA); NASA Jet Propulsion Laboratory (JPL); California Institute of Technology</t>
  </si>
  <si>
    <t>Wigmore, O (corresponding author), Victoria Univ Wellington, Antarctic Res Ctr, Wellington, New Zealand.;Wigmore, O (corresponding author), Univ Colorado, Inst Arctic &amp; Alpine Res, Boulder, CO 80309 USA.;Wigmore, O (corresponding author), Univ Colorado, Earth Lab, Boulder, CO 80309 USA.</t>
  </si>
  <si>
    <t>oliver.wigmore@vuw.ac.nz</t>
  </si>
  <si>
    <t>Wigmore, Oliver/0000-0002-6813-3884</t>
  </si>
  <si>
    <t>University of Colorado 2016 Innovative Seed Grant; University of Colorado Earth Lab Grand Challenge; Niwot Ridge LTER programme (NSF DEB) [1637686]; National Science Foundation (NSF); National Aeronautics and Space Administration(NASA) under an NSF [EAR-0735156]</t>
  </si>
  <si>
    <t>University of Colorado 2016 Innovative Seed Grant; University of Colorado Earth Lab Grand Challenge; Niwot Ridge LTER programme (NSF DEB); National Science Foundation (NSF)(National Science Foundation (NSF)); National Aeronautics and Space Administration(NASA) under an NSF</t>
  </si>
  <si>
    <t>Oliver Wigmore was supported in part through funding from the University of Colorado 2016 Innovative Seed Grant (awarded to Noah P. Molotch), the University of Colorado Earth Lab Grand Challenge and the Niwot Ridge LTER programme (NSF DEB, grant no. 1637686). Additional support in the form of a GNSS equipment loan for the GNSS rover was provided by UNAVCO with support from the National Science Foundation (NSF) and the National Aeronautics and Space Administration(NASA) under an NSF Cooperative Agreement (grant no. EAR-0735156). Logistical support for this research was provided by the Niwot Ridge LTER programme (NSF DEB, grant no. 1637686)</t>
  </si>
  <si>
    <t>10.5194/essd-15-1733-2023</t>
  </si>
  <si>
    <t>E2CD1</t>
  </si>
  <si>
    <t>gold, Green Submitted</t>
  </si>
  <si>
    <t>WOS:000973669400001</t>
  </si>
  <si>
    <t>Willcocks, S; Hasterok, D</t>
  </si>
  <si>
    <t>Willcocks, Simon; Hasterok, Derrick</t>
  </si>
  <si>
    <t>Prediction of subglacial lake melt source regions from site characteristics</t>
  </si>
  <si>
    <t>active lakes; machine learning; principal component analysis; subglacial lakes</t>
  </si>
  <si>
    <t>RADIOGENIC HEAT-PRODUCTION; GEOTHERMAL FLUX; BENEATH; MODEL; FLOW; ANTARCTICA; SURFACE; NETWORKS; VELOCITY; CRUSTAL</t>
  </si>
  <si>
    <t>Subglacial melt has important implications for ice-sheet dynamics. Locating and identifying subglacial lakes are expensive and time-consuming, requiring radar surveys or satellite methods. We explore three methods to identify source regions for lakes using seven continent-wide environmental characteristics that are sensitive to or influenced by ice-sheet temperature. A simple comparison of environmental properties at lake locations with their continent-wide distributions suggests a statistical relationship (high Kolmogorov-Smirnov statistic) between stable lake locations and ice thickness and surface temperatures, indicating melting under passive conditions. Active lakes, in contrast, show little correlation with direct thermally influenced parameters, instead exhibiting large statistical differences with horizontal velocity and bedrock elevation. More sophisticated techniques, including principal component analysis (PCA) and machine learning (ML) classification, provide better spatial identification of lake types. Positive PCA scores derived from the environmental characteristics correlate with stable lakes, whereas negative values correspond to active lakes. ML methods can also identify regions where subglacial lake melt sources are probable. While ML provides the most accurate classification maps, the combination of approaches adds deeper knowledge of the primary controls on lake formation and the environmental settings in which they are likely to be found.</t>
  </si>
  <si>
    <t>[Willcocks, Simon; Hasterok, Derrick] Univ Adelaide, Sch Earth &amp; Environm Sci Geol, Mawson Bldg, Adelaide, SA 5005, Australia</t>
  </si>
  <si>
    <t>University of Adelaide</t>
  </si>
  <si>
    <t>Willcocks, S (corresponding author), Univ Adelaide, Sch Earth &amp; Environm Sci Geol, Mawson Bldg, Adelaide, SA 5005, Australia.</t>
  </si>
  <si>
    <t>simon.willcocks@adelaide.edu.au</t>
  </si>
  <si>
    <t>; Hasterok, Derrick/H-9392-2012</t>
  </si>
  <si>
    <t>Willcocks, Simon/0000-0003-0977-139X; Hasterok, Derrick/0000-0002-8257-7975</t>
  </si>
  <si>
    <t>Australian Government Research Training Program Scholarship; Australian Government through the Australian Research Council's Discovery Projects funding scheme [DP180104074]</t>
  </si>
  <si>
    <t>Australian Government Research Training Program Scholarship(Australian GovernmentDepartment of Industry, Innovation and Science); Australian Government through the Australian Research Council's Discovery Projects funding scheme</t>
  </si>
  <si>
    <t>SW is supported by the Australian Government Research Training Program Scholarship. DH is supported by the Australian Government through the Australian Research Council's Discovery Projects funding scheme (project DP180104074).</t>
  </si>
  <si>
    <t>PII S0954102023000032</t>
  </si>
  <si>
    <t>10.1017/S0954102023000032</t>
  </si>
  <si>
    <t>WOS:000974212600001</t>
  </si>
  <si>
    <t>Hawes, I; Howard-Williams, C; Gilbert, N; Hughes, KA; Convey, P; Quesada, A</t>
  </si>
  <si>
    <t>Hawes, Ian; Howard-Williams, Clive; Gilbert, Neil; Hughes, Kevin A. A.; Convey, Peter; Quesada, Antonio</t>
  </si>
  <si>
    <t>The need for increased protection of Antarctica's inland waters</t>
  </si>
  <si>
    <t>aquatic ecology; biodiversity; biogeography; conservation; environmental protection; limnology</t>
  </si>
  <si>
    <t>LARSEMANN HILLS; VESTFOLD HILLS; BIOLOGICAL INVASIONS; ENVIRONMENTAL-CHANGE; ALEXANDER-ISLAND; EAST ANTARCTICA; CLIMATE-CHANGE; EPISHELF LAKE; DUFEK MASSIF; CONSERVATION</t>
  </si>
  <si>
    <t>Protection of Antarctica's biodiversity and ecosystem values is enshrined in the Protocol on Environmental Protection to the Antarctic Treaty, which provides for the designation of Antarctic Specially Protected Areas (ASPAs) to areas with outstanding values. Concern has been raised that existing ASPAs fail to prioritize areas to maximize the likelihood of ensuring the long-term conservation of Antarctic ecosystems and biodiversity. The absence of systematic and representative protection is particularly acute for inland aquatic ecosystems, which support a disproportionate amount of inland biodiversity. This paper promotes the case for overt inclusion of inland waters as a critical component of a representative protected area framework for Antarctica, thereby addressing their current underrepresentation. We set out a structured approach to enable the selection of representative freshwater systems for inclusion in the ASPA framework that, with modification, could also be applied across other Antarctic habitats. We acknowledge an overall lack of information on the biogeography of inland aquatic diversity and recommend increased use of remote data collection along with classification tools to mitigate this, as well as the need for the consideration of catchment-scale processes. Changes that accompany contemporary and anticipated climate change make the need for the conservation of representative biodiversity increasingly urgent.</t>
  </si>
  <si>
    <t>[Hawes, Ian] Univ Waikato, Coastal Marine Grp, 101 Durham St, Tauranga 3110, New Zealand; [Howard-Williams, Clive] Natl Inst Water &amp; Atmospher Res Lt, Christchurch 8602, New Zealand; [Gilbert, Neil] Constantia Consulting Ltd, 310 Papanui Rd, Christchurch 8052, New Zealand; [Hughes, Kevin A. A.; Convey, Peter] NERC, British Antarctic Survey, Madingley Rd, Cambridge CB3 0ET, England; [Convey, Peter] Univ Johannesburg, Dept Zool, POB 524, ZA-2006 Auckland Pk, South Africa; [Quesada, Antonio] Univ Autonoma Madrid, Fac Ciencias, Dept Biol, Madrid 28049, Spain</t>
  </si>
  <si>
    <t>University of Waikato; UK Research &amp; Innovation (UKRI); Natural Environment Research Council (NERC); NERC British Antarctic Survey; University of Johannesburg; Autonomous University of Madrid</t>
  </si>
  <si>
    <t>Hawes, I (corresponding author), Univ Waikato, Coastal Marine Grp, 101 Durham St, Tauranga 3110, New Zealand.</t>
  </si>
  <si>
    <t>Ian.Hawes@waikato.ac.nz</t>
  </si>
  <si>
    <t>Hughes, Kevin/JVZ-0793-2024; Convey, Peter/AAV-5728-2020; Quesada, Antonio/L-2430-2013</t>
  </si>
  <si>
    <t>Convey, Peter/0000-0001-8497-9903; Quesada, Antonio/0000-0002-8913-5993; Hawes, Ian/0000-0003-2471-6903</t>
  </si>
  <si>
    <t>MBIE [ANTA1801]</t>
  </si>
  <si>
    <t>MBIE(New Zealand Ministry of Business, Innovation and Employment (MBIE))</t>
  </si>
  <si>
    <t>We thank the New ZealandAntarctic Science Platformfor support through MBIE Contract ANTA1801 (IH and NG).</t>
  </si>
  <si>
    <t>PII S0954102022000463</t>
  </si>
  <si>
    <t>10.1017/S0954102022000463</t>
  </si>
  <si>
    <t>hybrid, Green Accepted, Green Published</t>
  </si>
  <si>
    <t>WOS:000971388100001</t>
  </si>
  <si>
    <t>Zhu, JP; Xie, AH; Qin, X; Xu, B</t>
  </si>
  <si>
    <t>Zhu, Jiang-ping; Xie, Ai-hong; Qin, Xiang; Xu, Bing</t>
  </si>
  <si>
    <t>Assessment of future Antarctic amplification of surface temperature change under different Scenarios from CMIP6</t>
  </si>
  <si>
    <t>JOURNAL OF MOUNTAIN SCIENCE</t>
  </si>
  <si>
    <t>Antarctic Amplification; Amplification index; CMIP6; ScenarioMIP; Near-surface temperature; Climate change</t>
  </si>
  <si>
    <t>SEA-ICE; ARCTIC AMPLIFICATION; POLAR AMPLIFICATION; CLIMATE-CHANGE; ANNULAR MODE; CIRCULATION; PENINSULA; IMPACTS; TRENDS; PRECIPITATION</t>
  </si>
  <si>
    <t>Global warming may result in increased polar amplification, but future temperature changes under different climate change scenarios have not been systematically investigated over Antarctica. An index of Antarctic amplification (AnA) is defined, and the annual and seasonal variations of Antarctic mean temperature are examined from projections of the Coupled Model Intercomparison Project Phase 6 (CMIP6) under scenarios SSP119, SSP126, SSP245, SSP370 and SSP585. AnA occurs under all scenarios, and is strongest in the austral summer and autumn, with an AnA index greater than 1.40. Although the warming over Antarctica accelerates with increased anthropogenic forcing, the magnitude of AnA is greatest in SSP126 instead of in SSP585, which may be affected by strong ocean heat uptake in high forcing scenario. Moreover, future AnA shows seasonal difference and regional difference. AnA is most conspicuous in the East Antarctic sector, with the amplification occurring under all scenarios and in all seasons, especially in austral summer when the AnA index is greater than 1.50, and the weakest signal appears in austral winter. Differently, the AnA over West Antarctica is strongest in austral autumn. Under SSP585, the temperature increase over the Antarctic Peninsula exceeds 0.5 degrees C when the global average warming increases from 1.5 degrees C to 2.0 degrees C above pre-industrial levels, except in the austral summer, and the AnA index in this region is strong in the austral autumn and winter. The projections suggest that the warming rate under different scenarios might make a large difference to the future AnA.</t>
  </si>
  <si>
    <t>[Zhu, Jiang-ping; Xie, Ai-hong; Qin, Xiang] Chinese Acad Sci, Northwest Inst Ecoenvironm &amp; Resources, State Key Lab Cryospher Sci, Lanzhou 730000, Peoples R China; [Zhu, Jiang-ping] Univ Chinese Acad Sci, Beijing 100049, Peoples R China; [Xu, Bing] Weather Modificat Off Liaoning Prov, Shenyang 110000, Peoples R China</t>
  </si>
  <si>
    <t>Chinese Academy of Sciences; Chinese Academy of Sciences; University of Chinese Academy of Sciences, CAS</t>
  </si>
  <si>
    <t>Xie, AH (corresponding author), Chinese Acad Sci, Northwest Inst Ecoenvironm &amp; Resources, State Key Lab Cryospher Sci, Lanzhou 730000, Peoples R China.</t>
  </si>
  <si>
    <t>zhujiangping@nieer.ac.cn; xieaih@lzb.ac.cn; qinxiang@lzb.ac.cn; xubing19@mails.ucas.ac.cn</t>
  </si>
  <si>
    <t>Xu, Bing/C-7732-2015</t>
  </si>
  <si>
    <t>XIE, Aihong/0000-0002-2875-5339; zhu, jiangping/0000-0003-0660-2443</t>
  </si>
  <si>
    <t>National Natural Science Foundation of China [42276260, 41671073]; Chinese Academy of Sciences</t>
  </si>
  <si>
    <t>National Natural Science Foundation of China(National Natural Science Foundation of China (NSFC)); Chinese Academy of Sciences(Chinese Academy of Sciences)</t>
  </si>
  <si>
    <t>AcknowledgementsOur sincere appreciation firstly goes to Professor Ian Allison in Australia for his four times revisions to improve the whole manuscript in English language and paper structure, and in some scientific analysis. This study was supported by the National Natural Science Foundation of China (Grant No. 42276260, 41671073) and the 2021 technical support talent project of the Chinese Academy of Sciences. Reviewers are highly appreciated for their professional comments and suggestions which have greatly helped improve the quality of manuscript.</t>
  </si>
  <si>
    <t>1672-6316</t>
  </si>
  <si>
    <t>1993-0321</t>
  </si>
  <si>
    <t>J MT SCI-ENGL</t>
  </si>
  <si>
    <t>J Mt. Sci.</t>
  </si>
  <si>
    <t>10.1007/s11629-022-7646-5</t>
  </si>
  <si>
    <t>M1DO8</t>
  </si>
  <si>
    <t>WOS:000969588200001</t>
  </si>
  <si>
    <t>Lucieer, V; Flukes, E; Keane, JP; Ling, SD; Nau, AW; Shelamoff, V</t>
  </si>
  <si>
    <t>Lucieer, Vanessa; Flukes, Emma; Keane, John P.; Ling, Scott D.; Nau, Amy W.; Shelamoff, Victor</t>
  </si>
  <si>
    <t>Mapping warming reefs-An application of multibeam acoustic water column analysis to define threatened abalone habitat</t>
  </si>
  <si>
    <t>FRONTIERS IN REMOTE SENSING</t>
  </si>
  <si>
    <t>multibeam acoustics; water column acoustics; urchin barrens; kelp; seafloor mapping</t>
  </si>
  <si>
    <t>Robust definition of the spatial extent of seafloor habitats and how they may be changing through time is a holy grail for ecosystem management, particularly if an ecosystem is approaching a tipping point beyond which irreversible changes may occur. Here we generate and explore a new data set for the management of warming reefs in eastern Tasmania, Australia that will significantly improve the baseline maps required for fine-scaled spatial modelling and management that is, both robust at regional scales and is highly resolved within the water column. This procedure enabled the relative density of kelp vegetation to be identified in a region that is being overwhelmed by the range extension of a destructive grazer, the Longspined Sea Urchin, Centrostephanus rodgersii. We present a new online tool to visualize multibeam water column acoustic data as surfaces of kelp density at high resolution (50 cm) scale over seafloor terrain maps (spanning a total straight-line distance of 594 km and a total area of 29.14 km2) to reveal the types of reef structure on the East Coast of Tasmania where abalone habitat is threatened by kelp loss.</t>
  </si>
  <si>
    <t>[Lucieer, Vanessa; Flukes, Emma; Keane, John P.; Ling, Scott D.; Nau, Amy W.; Shelamoff, Victor] Univ Tasmania, Inst Marine &amp; Antarctic Studies, Hobart, Tas, Australia; [Nau, Amy W.] CSIRO, Hobart, Tas, Australia</t>
  </si>
  <si>
    <t>Lucieer, V (corresponding author), Univ Tasmania, Inst Marine &amp; Antarctic Studies, Hobart, Tas, Australia.</t>
  </si>
  <si>
    <t>vanessa.lucieer@utas.edu.au</t>
  </si>
  <si>
    <t>lucieer, vanessa l/D-1697-2009</t>
  </si>
  <si>
    <t>Keane, John Patrick/0000-0001-8950-5176; Flukes, Emma/0000-0003-2749-834X</t>
  </si>
  <si>
    <t>Abalone Industry Reinvestment Fund (AIRF)-Department of Natural Resources and Environment at the Tasmanian Government [AIRF 2020/50]; Department of Premier and Cabinet-Tasmanian Climate Change Office [T1F 115581/L0028037]</t>
  </si>
  <si>
    <t>Abalone Industry Reinvestment Fund (AIRF)-Department of Natural Resources and Environment at the Tasmanian Government; Department of Premier and Cabinet-Tasmanian Climate Change Office</t>
  </si>
  <si>
    <t>Co-funded by the Abalone Industry Reinvestment Fund (AIRF)-Department of Natural Resources and Environment at the Tasmanian Government (project number AIRF 2020/50), and the Department of Premier and Cabinet-Tasmanian Climate Change Office (project number T1F 115581/L0028037).</t>
  </si>
  <si>
    <t>2673-6187</t>
  </si>
  <si>
    <t>FRONT REMOTE SENS</t>
  </si>
  <si>
    <t>Front. Remote Sens.</t>
  </si>
  <si>
    <t>APR 17</t>
  </si>
  <si>
    <t>10.3389/frsen.2023.1149900</t>
  </si>
  <si>
    <t>Remote Sensing; Imaging Science &amp; Photographic Technology</t>
  </si>
  <si>
    <t>R4SX3</t>
  </si>
  <si>
    <t>WOS:001064270300001</t>
  </si>
  <si>
    <t>Serra-Gonçalves, C; Lavers, JL; Tait, HL; Fischer, AM; Bond, AL</t>
  </si>
  <si>
    <t>Serra-Goncalves, Catarina; Lavers, Jennifer L.; Tait, Heidi L.; Fischer, Andrew M.; Bond, Alexander L.</t>
  </si>
  <si>
    <t>Assessing the effectiveness of MARPOL Annex V at reducing marine debris on Australian beaches</t>
  </si>
  <si>
    <t>Beach debris; International policy; Marine debris; MARPOL convention; Mitigation; Plastic pollution</t>
  </si>
  <si>
    <t>PLASTIC DEBRIS; LITTER; ENTANGLEMENT; ACCUMULATION; FRAMEWORK; POLLUTION; INDUSTRY; TRENDS; GROWTH; REMOTE</t>
  </si>
  <si>
    <t>To mitigate marine debris and promote sustainable marine industries, legislation and regulations surrounding the management of marine debris have been adopted worldwide. One of the most well-known and important agreements is the International Convention for the Prevention of Pollution from Ships (MARPOL), which focuses on reducing all types of ship-sourced marine pollution. MARPOL Annex V, which deals with the disposal of solid waste, came into force on 31 December 1988. However, was only amended to include a complete ban on waste disposal as of 1 January 2013. Assessing the effectiveness of key regulations is fundamental for supporting evidence-based decisions regarding the management of our oceans. Here, we evaluated whether MARPOL Annex V translated into a decrease in the incidence of shipping-and commercial fishing-sourced debris on remote beaches in Australia using 14 years of standardised, community-driven data. From 2006 to 2020 there was a significant change over time in the density of fishing and shipping debris on Australian beaches; debris density increased up to 2013 followed by a decrease until mid-2017. Although the new regulation started in January 2013, the decrease in density was not recorded until one year later. The decline was only observed for 4 years, reinforcing the existence of lags between the implementation of international agreements and the corresponding potential reduction in debris in the environment. This provides compelling evidence that international agree-ments and policies by themselves are not enough to solve the debris problem, with improved implementation and enforcement also required. We discuss future perspectives and solutions to reduce ocean-sourced litter inputs into the ocean and highlight the urgent need for action.</t>
  </si>
  <si>
    <t>[Serra-Goncalves, Catarina; Lavers, Jennifer L.; Bond, Alexander L.] Univ Tasmania, Inst Marine &amp; Antarctic Studies, 20 Castray Esplanade, Battery Point, Tas 7004, Australia; [Tait, Heidi L.] Tangaroa Blue Fdn, POB 1235, Dunsborough, WA 6281, Australia; [Fischer, Andrew M.] Univ Tasmania, Inst Marine &amp; Antarctic Studies, Sch Rd, Newnham, Tas 7250, Australia; [Bond, Alexander L.] Nat Hist Museum, Bird Grp, Akeman St, Tring HP23 6AP, Herts, England</t>
  </si>
  <si>
    <t>University of Tasmania; University of Tasmania; Natural History Museum London</t>
  </si>
  <si>
    <t>Serra-Gonçalves, C (corresponding author), Univ Tasmania, Inst Marine &amp; Antarctic Studies, 20 Castray Esplanade, Battery Point, Tas 7004, Australia.</t>
  </si>
  <si>
    <t>acserra@utas.edu.au</t>
  </si>
  <si>
    <t>Lavers, Jennifer/IWM-5417-2023</t>
  </si>
  <si>
    <t>Serra-Goncalves, Catarina/0000-0003-0252-9381</t>
  </si>
  <si>
    <t>Tasmania Graduate Research Scholarship</t>
  </si>
  <si>
    <t>We would like to acknowledge Walter A. Smith's efforts in collecting data used in this study and in providing feedback throughout the duration of this study. We thank the volunteers and partners across Australia who contributed valuable data from thousands of beach debris clean-ups that contribute to the Australian Marine Debris Initiative Database (Special thanks to All Saints College, Cape to Cape Catchment Group Volunteers, Coast Guard-Port Douglas, Community volunteers, Conservation Volunteers Australia QLD, Douglas Shire Council, Inc., Friends of Parks, Queensland Government, Great Barrier Reef Marine Park Authority, Jabalbina Yalanji Aboriginal Corporation, Jabalbina Yalanji Rangers, James Cook University, Koala Camping, Low Isles Preservation Society, Ocean Cleaner, Queensland Parks &amp; Wildlife Ser- vice, Shapes in the Sand, Tangaroa Blue Foundation, Wavelength Reef Cruises, Wild Mob. We are grateful to Puskic for his knowledgeable support and J. Benjamin for graphical design assistance. We thank S. Wotherspoon for providing support and feedback concerning the sta- tistical analysis. This research was funded by the Tasmania Graduate Research Scholarship. Additionally, we thank X anonymous reviewers for providing feedback on earlier versions of this manuscript.</t>
  </si>
  <si>
    <t>10.1016/j.marpolbul.2023.114929</t>
  </si>
  <si>
    <t>F7YM5</t>
  </si>
  <si>
    <t>WOS:000984466100001</t>
  </si>
  <si>
    <t>Jerusalén-Lleó, E; Nieto-Cid, M; Fuentes-Santos, I; Dittmar, T; Alvarez-Salgado, XA</t>
  </si>
  <si>
    <t>Jerusalen-Lleo, E.; Nieto-Cid, M.; Fuentes-Santos, I.; Dittmar, Thorsten; Alvarez-Salgado, X. A.</t>
  </si>
  <si>
    <t>Solid phase extraction of ocean dissolved organic matter with PPL cartridges: efficiency and selectivity</t>
  </si>
  <si>
    <t>dissolved organic carbon (DOC); dissolved organic nitrogen (DON); colored dissolved organic matter (CDOM); fluorescent dissolved organic matter (FDOM); solid phase extraction; PPL; extraction recovery; cape vert frontal zone</t>
  </si>
  <si>
    <t>ATLANTIC DEEP-WATER; MOLECULAR-WEIGHT; MASS-SPECTROMETRY; EASTERN BOUNDARY; NORTHWEST AFRICA; FLUORESCENCE; MARINE; DOM; CIRCULATION; ABSORPTION</t>
  </si>
  <si>
    <t>Our current knowledge of the chemical composition of ocean dissolved organic matter (DOM) is limited, mainly because of its extreme molecular diversity, low concentration of individual compounds and the elevated ionic strength of ocean waters. As a result, many analytical methods require a previous extraction step. The efficiency and selectivity of the extraction method defines the representativeness of the extracted DOM fraction. Nowadays, the most widespread procedure for concentrating DOM is solid phase extraction (SPE) using styrene divinyl benzene polymer cartridges (PPL). Here, we investigate the effect of SPE-PPL on DOM elemental and optical properties to assess the efficiency and selectivity of this extraction method on water samples from the main intermediate and deep water masses of Arctic, Mediterranean and Antarctic origin present in the Cape Vert Frontal Zone (CVFZ, NW Africa). Furthermore, North and South Atlantic Central waters converge in this area and coastal DOM is injected by the giant upwelling filament of Cape Blanc. On one side, the colored fraction of DOM (CDOM) presented extraction efficiencies comparable to that of the bulk dissolved organic carbon (DOC), but decreased significantly with increasing wavelength, suggesting an affinity of PPL cartridges for low molecular weight organic compounds. While the protein-like fluorescent fraction of DOM (FDOM) was also extracted with the same efficiency than DOC, the extraction efficiency of the humic-like fraction was comparatively much higher. On the other side, dissolved organic nitrogen (DON) extraction efficiencies were about half that of DOC. These contrasting extraction efficiencies of the different DOM pools indicated that the extracts were enriched in N-poor, low molecular weight and recalcitrant DOM, therefore showing less variability than the corresponding bulk DOM. Furthermore, DOC, DON, CDOM and FDOM extracted were not homogeneous through the water column but displayed certain significant differences among water masses in both efficiency and selectivity.</t>
  </si>
  <si>
    <t>[Jerusalen-Lleo, E.; Nieto-Cid, M.; Fuentes-Santos, I.; Alvarez-Salgado, X. A.] CSIC, Lab Geoquim Organ, Inst Invest Marinas IIM, Vigo, Spain; [Jerusalen-Lleo, E.] Univ Vigo, PhD Program Marine Sci Technol &amp; Management DOMAR, Vigo, Spain; [Nieto-Cid, M.] CSIC, Ctr Oceanog A Coruna, Ctr Nacl Inst Espanol Oceanog IEO, La Coruna, Spain; [Dittmar, Thorsten] Carl von Ossietzky Univ Oldenburg, Inst Chem &amp; Biol Marine Environm ICBM, Res Grp Marine Geochem ICBM MPI Bridging Grp, Oldenburg, Germany; [Dittmar, Thorsten] Carl von Ossietzky Univ Oldenburg, Helmholtz Inst Funct Marine Biodivers HIFMB, Oldenburg, Germany</t>
  </si>
  <si>
    <t>Consejo Superior de Investigaciones Cientificas (CSIC); CSIC - Instituto de Investigaciones Marinas (IIM); Universidade de Vigo; Consejo Superior de Investigaciones Cientificas (CSIC); Spanish Institute of Oceanography; Carl von Ossietzky Universitat Oldenburg; Carl von Ossietzky Universitat Oldenburg</t>
  </si>
  <si>
    <t>Jerusalén-Lleó, E (corresponding author), CSIC, Lab Geoquim Organ, Inst Invest Marinas IIM, Vigo, Spain.;Jerusalén-Lleó, E (corresponding author), Univ Vigo, PhD Program Marine Sci Technol &amp; Management DOMAR, Vigo, Spain.</t>
  </si>
  <si>
    <t>ejerusalen@iim.csic.es</t>
  </si>
  <si>
    <t>Alvarez-Salgado, Xose Anton/A-8365-2012; Dittmar, Thorsten/L-7796-2013</t>
  </si>
  <si>
    <t>Dittmar, Thorsten/0000-0002-3462-0107; Fuentes-Santos, Isabel/0000-0002-3298-9648; Alvarez-Salgado, X. Anton/0000-0002-2387-9201</t>
  </si>
  <si>
    <t>10.3389/fmars.2023.1159762</t>
  </si>
  <si>
    <t>E6AH0</t>
  </si>
  <si>
    <t>WOS:000976343000001</t>
  </si>
  <si>
    <t>Tosolini, AMP; Cantrill, DJ; Korasidis, VA; Francis, JE</t>
  </si>
  <si>
    <t>Tosolini, Anne-Marie P.; Cantrill, David J.; Korasidis, Vera A.; Francis, Jane E.</t>
  </si>
  <si>
    <t>Palaeocene high-latitude leaf flora of Antarctica Part 2: Tooth-margined angiosperms</t>
  </si>
  <si>
    <t>REVIEW OF PALAEOBOTANY AND PALYNOLOGY</t>
  </si>
  <si>
    <t>Palaeocene; Antarctica; Gondwana; Flora; Angiosperm; Tooth -margined leaves</t>
  </si>
  <si>
    <t>KING GEORGE ISLAND; CONIFER FOSSIL WOODS; LA-MESETA FORMATION; JAMES-ROSS-ISLAND; LAGUNA DEL HUNCO; SEYMOUR ISLAND; SOUTH-AMERICA; WESTERN ANTARCTICA; EARLY TERTIARY; NEW-ZEALAND</t>
  </si>
  <si>
    <t>The late Palaeocene (Thanetian) Cross Valley Formation on Seymour Island is one of the few floras of this age in Antarctica. Understanding the diversity is critical for comparisons with coeval high-latitude forests and their evolution across South America and Australasia. This macroflora has few conifers and ferns but a significant diversity of angiosperms. Taxonomic assessment of previously undescribed morphotypes, based on new and existing collections, facilitated the identification of twelve new tooth-margined angiosperms of uncertain affinities. Comparisons to Gondwanan families already established in the Cross Valley Flora from pollen and wood records include Nothofagaceae, Proteaceae and Cunoniaceae. A total of 37 angiosperm taxa, including 23 tooth-margined and 14 entire-margined morphotypes, have been described from the Cross Valley Flora. They provide evidence that the most diverse Palaeocene floral assemblage recorded from this region inhabited the east side of the Antarctic Peninsula. The new morphotypes enrich the cool-temperate nature of the angiosperms that dominated over the conifers in these high-latitude forests. They indicate dynamic forests that responded to frequent disturbance as they grew on the slopes of active volcanoes; a physical divide that created a rainfall and climatic gradient from east to west across the Antarctic Peninsula. Floral elements, such as Proteaceae that indicates drier climates and Nothofagaceae that indicates cooler climates, signify that these forests were on the lee side of volcanoes on the Antarctic Peninsula. These forests represent extirpation and retraction of the Valdivian cool-temperate rainforests, which extended further south than their modern Patagonian distribution, in southern South America. Thus, the new morphotypes suggest additional floral diversity was present in the late Palaeocene and highlight the diversity contrast between the east and west Antarctic Peninsula.(c) 2023 Published by Elsevier B.V.</t>
  </si>
  <si>
    <t>[Tosolini, Anne-Marie P.; Korasidis, Vera A.] Univ Melbourne, Sch Geog Earth &amp; Atmospher Sci, Melbourne, Vic 3010, Australia; [Cantrill, David J.; Francis, Jane E.] NERC, British Antarctic Survey, Madingley Rd, Cambridge CB3 OET, England; [Tosolini, Anne-Marie P.; Francis, Jane E.] Univ Leeds, Sch Earth Sci, Leeds LS2 9JT, England; [Cantrill, David J.] Royal Bot Gardens Victoria, Private Bag 2000,Birdwood Ave, South Yarra, Vic 3141, Australia; [Cantrill, David J.] Univ Melbourne, Sch Biosci, Melbourne, Vic 3010, Australia; [Korasidis, Vera A.] Smithsonian Inst, Dept Paleobiol, Natl Museum Nat Hist, 10th St &amp; Constitut Ave NW, Washington, DC 20013 USA</t>
  </si>
  <si>
    <t>Melbourne Genomics Health Alliance; University of Melbourne; UK Research &amp; Innovation (UKRI); Natural Environment Research Council (NERC); NERC British Antarctic Survey; University of Leeds; Melbourne Genomics Health Alliance; University of Melbourne; Smithsonian Institution; Smithsonian National Museum of Natural History</t>
  </si>
  <si>
    <t>Tosolini, AMP (corresponding author), Univ Melbourne, Sch Geog Earth &amp; Atmospher Sci, Melbourne, Vic 3010, Australia.</t>
  </si>
  <si>
    <t>a.tosolini@unimelb.edu.au</t>
  </si>
  <si>
    <t>Korasidis, Vera/0000-0002-2921-5641</t>
  </si>
  <si>
    <t>NERC-BAS Antarctic Funding Initiative [GR3/G0001]; Joyce Lambert Antarctic Research Fund, Australia</t>
  </si>
  <si>
    <t>NERC-BAS Antarctic Funding Initiative; Joyce Lambert Antarctic Research Fund, Australia</t>
  </si>
  <si>
    <t>Funding of JEF, DJC and the postdoctoral position of A-M.T. was funded by the NERC-BAS Antarctic Funding Initiative grant GR3/G0001, U.K. We would like to thank past BAS (FIDS) geologists and field assistants for their collections of the Cross Valley flora. The Swedish Museum of Natural History is thanked for giving assistance and access to the Nordenskjoeld Collection. Reviewers are acknowledged for extremely helpful comments on the manuscript. VAK supported by the Joyce Lambert Antarctic Research Fund, Australia.</t>
  </si>
  <si>
    <t>0034-6667</t>
  </si>
  <si>
    <t>1879-0615</t>
  </si>
  <si>
    <t>REV PALAEOBOT PALYNO</t>
  </si>
  <si>
    <t>Rev. Palaeobot. Palynology</t>
  </si>
  <si>
    <t>10.1016/j.revpalbo.2023.104895</t>
  </si>
  <si>
    <t>Plant Sciences; Paleontology</t>
  </si>
  <si>
    <t>F9ZI6</t>
  </si>
  <si>
    <t>WOS:000985851500001</t>
  </si>
  <si>
    <t>Veldhuijsen, SBM; van de Berg, WJ; Brils, M; Munneke, PK; van den Broeke, MR</t>
  </si>
  <si>
    <t>Veldhuijsen, Sanne B. M.; van de Berg, Willem Jan; Brils, Max; Munneke, Peter Kuipers; van den Broeke, Michiel R.</t>
  </si>
  <si>
    <t>Characteristics of the 1979-2020 Antarctic firn layer simulated with IMAU-FDM v1.2A</t>
  </si>
  <si>
    <t>SURFACE-MASS-BALANCE; ICE SHEETS; ELEVATION CHANGES; REGIONAL CLIMATE; MODEL; SNOW; ACCUMULATION; GREENLAND; DENSIFICATION; DENSITY</t>
  </si>
  <si>
    <t>Firn simulations are essential for understanding Antarctic ice sheet mass change, as they enable us to convert satellite altimetry observed volume changes to mass changes and column thickness to ice thickness and to quantify the meltwater buffering capacity of firn. Here, we present and evaluate a simulation of the contemporary Antarctic firn layer using the updated semi-empirical IMAU Firn Densification Model (IMAU-FDM) for the period 1979-2020. We have improved previous fresh-snow density and firn compaction parameterizations and used updated atmospheric forcing. In addition, the model has been calibrated and evaluated using 112 firn core density observations across the ice sheet. We found that 62% of the seasonal and 67% of the decadal surface height variability are due to variations in firn air content rather than firn mass. Comparison of simulated surface elevation change with a previously published multi-mission altimetry product for the period 2003-2015 shows that performance of the updated model has improved, notably in Dronning Maud Land and Wilkes Land. However, a substantial trend difference (&gt; 10 cm yr(-1)) remains in the Antarctic Peninsula and Ellsworth Land, mainly caused by uncertainties in the spin-up forcing. By estimating previous climatic conditions from ice core data, these trend differences can be reduced by 38 %.</t>
  </si>
  <si>
    <t>[Veldhuijsen, Sanne B. M.; van de Berg, Willem Jan; Brils, Max; Munneke, Peter Kuipers; van den Broeke, Michiel R.] Univ Utrecht, Inst Marine &amp; Atmospher Res Utrecht, Utrecht, Netherlands</t>
  </si>
  <si>
    <t>Utrecht University</t>
  </si>
  <si>
    <t>Veldhuijsen, SBM (corresponding author), Univ Utrecht, Inst Marine &amp; Atmospher Res Utrecht, Utrecht, Netherlands.</t>
  </si>
  <si>
    <t>s.b.m.veldhuijsen@uu.nl</t>
  </si>
  <si>
    <t>Brils, Max/JLL-2391-2023; van de Berg, Willem Jan/H-4385-2011; van den Broeke, Michiel Roland/F-7867-2011</t>
  </si>
  <si>
    <t>van de Berg, Willem Jan/0000-0002-8232-2040; Veldhuijsen, Sanne/0000-0003-3388-6824; Brils, Max/0000-0002-3532-1918; van den Broeke, Michiel Roland/0000-0003-4662-7565</t>
  </si>
  <si>
    <t>Netherlands Organisation for Scientific Research [OCENW.GROOT.2019.091]; Netherlands Earth System Science Centre (NESCC)</t>
  </si>
  <si>
    <t>Netherlands Organisation for Scientific Research(Netherlands Organization for Scientific Research (NWO)); Netherlands Earth System Science Centre (NESCC)</t>
  </si>
  <si>
    <t>This study is part of the HiRISE project, which is funded by the Netherlands Organisation for Scientific Research (grant no. OCENW.GROOT.2019.091). Michiel R. van den Broeke received support from the Netherlands Earth System Science Centre (NESCC).</t>
  </si>
  <si>
    <t>10.5194/tc-17-1675-2023</t>
  </si>
  <si>
    <t>E1WO7</t>
  </si>
  <si>
    <t>WOS:000973524300001</t>
  </si>
  <si>
    <t>Freer, JJ; Tarling, GA</t>
  </si>
  <si>
    <t>Freer, Jennifer J.; Tarling, Geraint A.</t>
  </si>
  <si>
    <t>Assessing key influences on the distribution and life-history of Arctic and boreal Calanus: are online databases up to the challenge?</t>
  </si>
  <si>
    <t>zooplankton; winter; Arctic; sampling bias; OBIS; GBIF</t>
  </si>
  <si>
    <t>NORTH-ATLANTIC OCEAN; FINMARCHICUS; DIAPAUSE; BIAS; HYPERBOREUS; INFORMATION; ECOSYSTEMS; DURATION; COPEPODS; DORMANCY</t>
  </si>
  <si>
    <t>Despite the importance of calanoid copepods to healthy ecosystem functioning of the Arctic Ocean and Subarctic Seas, many aspects of their biogeography, particularly in winter months, remain unresolved. At the same time, online databases that digitize species distribution records are growing in popularity as a tool to investigate ecological patterns at macro scales. The value of such databases for Calanus research requires investigation - the long history of Calanus sampling holds promise for such databases, while conditions at high latitudes may impose limits through spatial and temporal biases. We collated records of three Calanus species (C. finmarchicus, C. glacialis, and C. hyperboreus) from the Ocean Biodiversity Information System (OBIS) and the Global Biodiversity Information Facility (GBIF) providing over 230,000 unique records spanning 150 years and over 100 individual datasets. After quality control and cleaning, the latitudinal and vertical distribution of occurrences were explored, as well as the completeness of informative metadata fields. Calanus sampling was found to be temporally and spatially biased towards surfacemost layers (&lt;10m) in spring and summer. Only 3.5% of records had an average collection depth &gt;= 400m, approximately half of these in months important for diapause. Just over 40% of records lacked associated information on sampling protocol while 11% of records lacked life-stage information. OBIS data contained fields for maximum and minimum collection depth and so were subset into discrete shallow summer and deep winter life cycle phases and matched to sea-ice and temperature conditions. 23% of OBIS records north of 66 degrees latitude were located in regions of seasonal sea-ice presence and occurrences show species-specific thermal optima during the shallow summer period. The collection depth of C. finmarchicus was significantly different to C. hyperboreus during the deep winter. Overall, online databases contain a vast number of Calanus records but sampling biases should be acknowledged when they are used to investigate patterns of biogeography. We advocate efforts to integrate additional data sources within online portals. Particular gaps to be filled by existing or future collections are (i) widening the spatial extent of sampling during spring/summer months, (ii) increasing the frequency of sampling during winter, particularly at depths below 400m, and (iii) improving the quality, quantity and consistency of metadata reporting.</t>
  </si>
  <si>
    <t>[Freer, Jennifer J.; Tarling, Geraint A.] British Antarctic Survey, Ecosyst, Cambridge, England</t>
  </si>
  <si>
    <t>Freer, JJ (corresponding author), British Antarctic Survey, Ecosyst, Cambridge, England.</t>
  </si>
  <si>
    <t>jenfree@bas.ac.uk</t>
  </si>
  <si>
    <t>Freer, Jennifer/0000-0002-3947-9261</t>
  </si>
  <si>
    <t>10.3389/fmars.2023.908112</t>
  </si>
  <si>
    <t>E6CV8</t>
  </si>
  <si>
    <t>WOS:000976409800001</t>
  </si>
  <si>
    <t>Johnson, S; Audh, RR; de Jager, W; Matlakala, B; Vichi, M; Womack, A; Rampai, T</t>
  </si>
  <si>
    <t>Johnson, Siobhan; Audh, Riesna R.; de Jager, Wayne; Matlakala, Boitumelo; Vichi, Marcello; Womack, Ashleigh; Rampai, Tokoloho</t>
  </si>
  <si>
    <t>Physical and morphological properties of first-year Antarctic sea ice in the spring marginal ice zone of the Atlantic-Indian sector</t>
  </si>
  <si>
    <t>JOURNAL OF GLACIOLOGY</t>
  </si>
  <si>
    <t>Crystal growth; frazil ice; ice/atmosphere interactions; sea ice; sea-ice growth and decay</t>
  </si>
  <si>
    <t>WEDDELL SEA; SNOW-ICE; VARIABILITY; COVER</t>
  </si>
  <si>
    <t>This study presents the first dataset of physical and textural properties of sea ice collected in the South Atlantic and Indian Ocean sector of the Antarctic marginal ice zone (MIZ). Observations of sea ice from this region in the austral spring 2019, including sea-ice core temperature, salinity, crystal size, texture, oxygen isotopes and stratigraphy, were used in conjunction with a Lagrangian back-tracking algorithm and atmospheric reanalyses. This method relates the reconstructed synoptic conditions to sea-ice growth along the transect. A significant difference was found between the stratigraphy of consolidated pack ice samples collected at the same latitude and spanning over 550 km eastwards. The eastward group was found to have more disturbances in their stratigraphy which is attributed to the highly variable atmospheric and sea-ice conditions together with varying wave penetration through the sea-ice pack, notably during the passage of an intense polar cyclone, while the westward group showed no signs of disturbance or deformation. These results indicate that consolidated Antarctic sea-ice floes of similar thickness and from the same latitude in the MIZ have distinct stratigraphic properties, which will influence their physical and biogeochemical features.</t>
  </si>
  <si>
    <t>[Johnson, Siobhan; Matlakala, Boitumelo; Rampai, Tokoloho] Univ Cape Town, Dept Chem Engn, ZA-7712 Cape Town, South Africa; [Audh, Riesna R.; de Jager, Wayne; Vichi, Marcello; Womack, Ashleigh] Univ Cape Town, Dept Oceanog, ZA-7712 Cape Town, South Africa; [Vichi, Marcello; Rampai, Tokoloho] Univ Cape Town, Marine &amp; Antarctic Res Ctr Innovat &amp; Sustainabil M, ZA-7712 Cape Town, South Africa</t>
  </si>
  <si>
    <t>University of Cape Town; University of Cape Town; University of Cape Town</t>
  </si>
  <si>
    <t>Rampai, T (corresponding author), Univ Cape Town, Dept Chem Engn, ZA-7712 Cape Town, South Africa.;Rampai, T (corresponding author), Univ Cape Town, Marine &amp; Antarctic Res Ctr Innovat &amp; Sustainabil M, ZA-7712 Cape Town, South Africa.</t>
  </si>
  <si>
    <t>tokoloho.rampai@uct.ac.za</t>
  </si>
  <si>
    <t>; Vichi, Marcello/B-8719-2008</t>
  </si>
  <si>
    <t>Audh, Riesna Reuben/0000-0002-4163-4515; Vichi, Marcello/0000-0002-0686-9634; Womack, Ashleigh/0000-0002-6544-7298</t>
  </si>
  <si>
    <t>National Research Foundation of South Africa (NRF) [118745, 116801]; European Union [101003826]; University of Cape Town; University of Cape Town's Research Committee (URC)</t>
  </si>
  <si>
    <t>National Research Foundation of South Africa (NRF)(National Research Foundation - South Africa); European Union(European Union (EU)); University of Cape Town; University of Cape Town's Research Committee (URC)</t>
  </si>
  <si>
    <t>This work is based on the research supported in part by the National Research Foundation of South Africa (NRF grant No. 118745 and 116801). This work has received funding from the European Union's Horizon 2020 research and innovation programme under grant agreement no. 101003826 via project CRiceS (Climate Relevant interactions and feedbacks: the key role of sea ice and Snow in the polar and global climate system). We are grateful for the skilled support offered by the captain and crew of the SA Agulhas II during the SCALE Spring expedition. We thank Justin Pead, Mark Hambrock and all the cruise participants who contributed to the success of the sea-ice sampling. Sebastian Skatulla and Keith MacHutchon are acknowledged for supporting the establishment of the UCT mobile polar laboratory. We thank the research office at the University of Cape Town for their financial support. This publication is based on research that has been supported in part by the University of Cape Town's Research Committee (URC).</t>
  </si>
  <si>
    <t>0022-1430</t>
  </si>
  <si>
    <t>1727-5652</t>
  </si>
  <si>
    <t>J GLACIOL</t>
  </si>
  <si>
    <t>J. Glaciol.</t>
  </si>
  <si>
    <t>OCT</t>
  </si>
  <si>
    <t>PII S0022143023000217</t>
  </si>
  <si>
    <t>10.1017/jog.2023.21</t>
  </si>
  <si>
    <t>W0BH9</t>
  </si>
  <si>
    <t>WOS:000973588100001</t>
  </si>
  <si>
    <t>Baiman, R; Winters, AC; Lenaerts, J; Shields, CA</t>
  </si>
  <si>
    <t>Baiman, Rebecca; Winters, Andrew C.; Lenaerts, Jan; Shields, Christine A.</t>
  </si>
  <si>
    <t>Synoptic Drivers of Atmospheric River Induced Precipitation Near Dronning Maud Land, Antarctica</t>
  </si>
  <si>
    <t>atmospheric river; Antarctica; Quasi-geostrophic; barrier jet; surface mass balance; precipitation</t>
  </si>
  <si>
    <t>SELF-ORGANIZING MAPS; KEY ROLE; SNOWFALL; DIAGNOSIS; IMPACTS; SURFACE; SCALE; ACCUMULATION; COMPONENTS; CYCLONES</t>
  </si>
  <si>
    <t>Atmospheric rivers (ARs) that reach the Antarctic Ice Sheet (AIS) transport anomalous moisture from lower latitudes and can impact the AIS via extreme precipitation and increased downward longwave radiation. ARs contribute significantly to the interannual variability of precipitation over the AIS and thus are likely to play a key role in understanding future changes in the surface mass balance of the AIS. Dronning Maud Land (DML) is one of four maxima in AR frequency over coastal East Antarctica, with AR precipitation explaining 77% of the interannual variability in precipitation for this region. We employ a 16-node self-organizing map (SOM) trained with MERRA-2 sea-level pressure anomalies to identify synoptic-scale environments associated with landfalling ARs in and around DML. Node composites of atmospheric variables reveal common drivers of precipitation associated with ARs reaching DML including anomalous high-low surface pressure couplets, anomalously high integrated water vapor, and coastal barrier jets. Using a quasi-geostrophic framework, we find that upward vertical motion associated with the occlusion process of attendant cyclones dominates atmospheric lift in AR environments. We further identify mechanisms that explain the variability in AR precipitation intensity across nodes, such as the lift associated with the occlusion process of attendant cyclones and the spatial coincidence of ascent induced by the occlusion process and frontogenesis. The latter suggests that ARs making landfall during the mature phase of cyclogenesis result in higher precipitation intensity compared to landfalling ARs that occur during the occluded phase.</t>
  </si>
  <si>
    <t>[Baiman, Rebecca; Winters, Andrew C.; Lenaerts, Jan] Univ Colorado Boulder, Dept Atmospher &amp; Ocean Sci, Boulder, CO 80309 USA; [Shields, Christine A.] Natl Ctr Atmospher Res, Boulder, CO USA</t>
  </si>
  <si>
    <t>University of Colorado System; University of Colorado Boulder; National Center Atmospheric Research (NCAR) - USA</t>
  </si>
  <si>
    <t>Baiman, R (corresponding author), Univ Colorado Boulder, Dept Atmospher &amp; Ocean Sci, Boulder, CO 80309 USA.</t>
  </si>
  <si>
    <t>Rebecca.Baiman@colorado.edu</t>
  </si>
  <si>
    <t>; Lenaerts, Jan/D-9423-2012</t>
  </si>
  <si>
    <t>Baiman, Rebecca/0000-0002-1801-8618; Shields, Christine A./0000-0003-4481-1377; Lenaerts, Jan/0000-0003-4309-4011; Winters, Andrew/0000-0002-1044-3302</t>
  </si>
  <si>
    <t>University of Colorado Boulder; U.S. Department of Energy, Office of Science, Office of Biological &amp; Environmental Research (BER), Regional and Global Model Analysis (RGMA) component of the Earth and Environmental System Modeling Program [DE-SC0022070]; National Science Foundation (NSF) [IA 1947282, 1852977]</t>
  </si>
  <si>
    <t>University of Colorado Boulder; U.S. Department of Energy, Office of Science, Office of Biological &amp; Environmental Research (BER), Regional and Global Model Analysis (RGMA) component of the Earth and Environmental System Modeling Program(United States Department of Energy (DOE)); National Science Foundation (NSF)(National Science Foundation (NSF))</t>
  </si>
  <si>
    <t>This study is performed as part of Rebecca Baiman's PhD dissertation at the University of Colorado Boulder. Thank you to Dr. Minghua Zhang, an anonymous reviewer, and an anonymous associate editor along with the JGR editorial staff for their constructive feedback that helped improve this work. Thanks to Mckenzie Dice and Elizabeth Cassano for providing guidance on self-organizing maps. Thanks to Jonathan Wille for providing AR detection data. Thanks to Aneesh Subramanian, Scott Landolt, Benjamin Pohl, and Vincent Favier for their feedback on this work. Support for Rebecca Baiman and Andrew Winters to perform this work was provided by start-up funding furnished by the University of Colorado Boulder. C.A. Shields is supported by the U.S. Department of Energy, Office of Science, Office of Biological &amp; Environmental Research (BER), Regional and Global Model Analysis (RGMA) component of the Earth and Environmental System Modeling Program under Award Number DE-SC0022070 and National Science Foundation (NSF) IA 1947282. The National Center for Atmospheric Research (NCAR) is a major facility sponsored by the NSF under Cooperative Agreement No. 1852977.</t>
  </si>
  <si>
    <t>APR 16</t>
  </si>
  <si>
    <t>e2022JD037859</t>
  </si>
  <si>
    <t>10.1029/2022JD037859</t>
  </si>
  <si>
    <t>C9KK1</t>
  </si>
  <si>
    <t>Green Submitted, Bronze</t>
  </si>
  <si>
    <t>WOS:000965021700001</t>
  </si>
  <si>
    <t>Luo, JH; Ma, Z; Gong, Y; Zhang, SD; Xiao, Q; Huang, CM; Huang, KM</t>
  </si>
  <si>
    <t>Luo, Jiahui; Ma, Zheng; Gong, Yun; Zhang, Shaodong; Xiao, Qiao; Huang, Chunming; Huang, Kaiming</t>
  </si>
  <si>
    <t>Record-Strong Eastward Propagating 4-Day Wave in the Southern Hemisphere Observed During the 2019 Antarctic Sudden Stratospheric Warming</t>
  </si>
  <si>
    <t>PLANETARY-WAVES; MIDDLE ATMOSPHERE; VARIABILITY</t>
  </si>
  <si>
    <t>Based on the zonal winds from the Modern-Era Retrospective Analysis for Research and Applications, version 2 reanalysis data, we investigate the enhancement of an eastward propagating 4-day wave (E4DW) during the 2019 Antarctic sudden stratospheric warming (SSW). The amplitudes of E4DW are centered at 50 degrees S and 50 km with a maximum amplitude of similar to 20 m/s. The enhanced E4DW significantly exceeds the climatological level and has the strongest amplitude in the Southern Hemisphere since 1980. Our results show that the E4DW is generated by the atmospheric instabilities via a double-jet configuration of the zonal mean zonal winds. Our analysis further indicates that the special structure of the zonal mean zonal winds caused by the 2019 Antarctic SSW at the stratopause is responsible for the excitation of the record-strong E4DW in 2019 in the Southern Hemisphere.</t>
  </si>
  <si>
    <t>[Luo, Jiahui; Ma, Zheng; Gong, Yun; Zhang, Shaodong; Xiao, Qiao; Huang, Chunming; Huang, Kaiming] Wuhan Univ, Sch Elect Informat, Wuhan, Peoples R China; [Luo, Jiahui; Ma, Zheng; Gong, Yun; Zhang, Shaodong; Xiao, Qiao; Huang, Chunming; Huang, Kaiming] Hubei Luojia Lab, Wuhan, Peoples R China; [Luo, Jiahui; Ma, Zheng; Gong, Yun; Zhang, Shaodong] Minist Educ, Key Lab Geospace Environm &amp; Geodesy, Wuhan, Peoples R China; [Zhang, Shaodong] Guizhou Normal Univ, Guiyang, Peoples R China; [Zhang, Shaodong] Wuhan Univ, State Key Lab Informat Engn Surveying Mapping &amp; Re, Wuhan, Peoples R China</t>
  </si>
  <si>
    <t>Wuhan University; Guizhou Normal University; Wuhan University</t>
  </si>
  <si>
    <t>Ma, Z; Gong, Y (corresponding author), Wuhan Univ, Sch Elect Informat, Wuhan, Peoples R China.;Ma, Z; Gong, Y (corresponding author), Hubei Luojia Lab, Wuhan, Peoples R China.;Ma, Z; Gong, Y (corresponding author), Minist Educ, Key Lab Geospace Environm &amp; Geodesy, Wuhan, Peoples R China.</t>
  </si>
  <si>
    <t>mazheng@whu.edu.cn; yun.gong@whu.edu.cn</t>
  </si>
  <si>
    <t>Gong, Yun/K-8259-2019; wang, hongyuan/JWP-2279-2024; wang, shuo/KCL-3379-2024; Huang, Kai/JVO-5066-2024; Zhang, Shaodong/F-9888-2013</t>
  </si>
  <si>
    <t>Zhang, Shaodong/0000-0003-3345-1927; Huang, Kaiming/0000-0002-8688-5262; Ma, Zheng/0000-0002-0857-1970; Luo, Jiahui/0000-0003-1453-5797</t>
  </si>
  <si>
    <t>National Natural Science Foundation of China [42104145, 42127805]; National Youth Talent Support Program; open Fund of Hubei Luojia Laboratory; China Postdoctoral Science Foundation [2021M692465, 2020TQ0230]</t>
  </si>
  <si>
    <t>National Natural Science Foundation of China(National Natural Science Foundation of China (NSFC)); National Youth Talent Support Program; open Fund of Hubei Luojia Laboratory; China Postdoctoral Science Foundation(China Postdoctoral Science Foundation)</t>
  </si>
  <si>
    <t>We acknowledge the Goddard Earth Sciences Data and Information Services Center for providing the MERRA2 data. This study is supported by the National Natural Science Foundation of China (through Grants 42104145 and 42127805), the National Youth Talent Support Program, the open Fund of Hubei Luojia Laboratory, and the China Postdoctoral Science Foundation (through Grants 2021M692465 and 2020TQ0230).</t>
  </si>
  <si>
    <t>e2022GL102704</t>
  </si>
  <si>
    <t>10.1029/2022GL102704</t>
  </si>
  <si>
    <t>E1SN9</t>
  </si>
  <si>
    <t>WOS:000973419300001</t>
  </si>
  <si>
    <t>Algieri, B; Iania, L; Leccadito, A</t>
  </si>
  <si>
    <t>Algieri, Bernardina; Iania, Leonardo; Leccadito, Arturo</t>
  </si>
  <si>
    <t>Looking ahead: Forecasting total energy carbon dioxide emissions</t>
  </si>
  <si>
    <t>CLEANER ENVIRONMENTAL SYSTEMS</t>
  </si>
  <si>
    <t>CO 2 emissions; Forecasting models; Quantile factors; Economic; Sentiment and nature -related drivers</t>
  </si>
  <si>
    <t>CO2 EMISSIONS; CLIMATE-CHANGE; GROWTH; DRIVERS; TRADE</t>
  </si>
  <si>
    <t>In recent years, the international community has been increasing its efforts to reduce the human footprint on air pollution and global warming. Total carbon dioxide (CO2) releases are a crucial component of global greenhouse gas emissions, and as such, they are closely monitored at the national and supranational levels. This study presents different models to forecast energy CO2 emissions for the US in the period 1972-2021, using quarterly observations. In an in-sample and out-of-sample analysis, the study assesses the accuracy of thirteen forecasting models (and their combinations), considering an extensive set of potential predictors (more than 260) that include macroeconomic, nature-related factors and different survey data and compares them to traditional benchmarks. To reduce the high-dimensionality of the potential predictors, the study uses a new class of factor models in addition to the classical principal component analysis. The results show that economic variables, market sentiment and nature-related indicators, especially drought and Antarctic wind indicators, help forecast short/medium-term CO2 emissions. In addition, some combinations of models tend to improve out-of-sample predictions.</t>
  </si>
  <si>
    <t>[Algieri, Bernardina] Univ Calabria, Dept Econ Stat &amp; Finance, Ponte Bucci, I-87036 Arcavacata Di Rende, Italy; [Algieri, Bernardina] Univ Bonn, Zent Entwicklungsforschung ZEF, Walter Flex Str 3, D-53113 Bonn, Germany; [Iania, Leonardo; Leccadito, Arturo] Catholic Univ Louvain, CORE LFIN, Voie Roman Pays 34, B-1348 Louvain La Nneuve, Belgium; [Iania, Leonardo] Katholieke Univ Leuven, Dept Accounting Finance &amp; Insurance, Naamsestraat 69, B-3001 Leuven, Belgium</t>
  </si>
  <si>
    <t>University of Calabria; University of Bonn; KU Leuven</t>
  </si>
  <si>
    <t>Algieri, B (corresponding author), Univ Calabria, Dept Econ Stat &amp; Finance, Ponte Bucci, I-87036 Arcavacata Di Rende, Italy.</t>
  </si>
  <si>
    <t>b.algieri@unical.it; leonardo.iania@uclouvain.be; arturo.leccadito@unical.it</t>
  </si>
  <si>
    <t>Algieri, Bernardina/0000-0001-6030-7627</t>
  </si>
  <si>
    <t>[ARC 18/23-089]</t>
  </si>
  <si>
    <t>The authors wish to thank the Editor, Ferda Halicioglu and two anonymous reviewers for their valuable comments and suggestions. Leonardo Iania acknowledges the support of the following research grant: ARC 18/23-089. The remaining errors are the authors ? only responsibility.</t>
  </si>
  <si>
    <t>2666-7894</t>
  </si>
  <si>
    <t>CLEAN ENVIRON SYST</t>
  </si>
  <si>
    <t>Clean. Env. Syst.</t>
  </si>
  <si>
    <t>10.1016/j.cesys.2023.100112</t>
  </si>
  <si>
    <t>Green &amp; Sustainable Science &amp; Technology; Engineering, Environmental; Environmental Sciences; Environmental Studies</t>
  </si>
  <si>
    <t>Science &amp; Technology - Other Topics; Engineering; Environmental Sciences &amp; Ecology</t>
  </si>
  <si>
    <t>F5JB9</t>
  </si>
  <si>
    <t>WOS:000982697400001</t>
  </si>
  <si>
    <t>Nardelli, AE; Visch, W; Wright, JT; Hurd, CL</t>
  </si>
  <si>
    <t>Nardelli, Allyson E.; Visch, Wouter; Wright, Jeffrey T.; Hurd, Catriona L.</t>
  </si>
  <si>
    <t>Concise review of genus Lessonia Bory</t>
  </si>
  <si>
    <t>JOURNAL OF APPLIED PHYCOLOGY</t>
  </si>
  <si>
    <t>Kelps; Lessonia; Laminariales; Sea forest; Harvest; Aquaculture</t>
  </si>
  <si>
    <t>NORTHERN CHILE; TRABECULATA LAMINARIALES; MACROCYSTIS-INTEGRIFOLIA; POPULATION BIOLOGY; BROWN SEAWEEDS; SP-NOV; NIGRESCENS PHAEOPHYCEAE; BERTEROANA LAMINARIALES; REPRODUCTIVE PHENOLOGY; SEQUENTIAL EXTRACTION</t>
  </si>
  <si>
    <t>Lessonia (order Laminariales) is a kelp genus restricted to the temperate southern hemisphere, where species form dense forests from the low intertidal to 25 m depth at wave exposed sites. Lessonia spp. are among the most harvested kelps globally due to their importance in providing raw materials for food, cosmetics, bioactive and biomedical industries. Over-harvesting of natural beds can negatively affect Lessonia populations and the many species that depend on these habitats, including commercially important fish and molluscs, but good harvest management plans reduce these impacts on natural Lessonia stocks. However, the increasing demand for raw materials will likely only be met by aquaculture for which Lessonia shows high potential in pilot scale studies undertaken in Chile, New Zealand, and Australia. In this concise review, we highlight the current knowledge of Lessonia spp. taxonomy and distribution, life history, ecology and ecosystem services, wild harvest, aquaculture, and commercial applications. We discuss future research directions.</t>
  </si>
  <si>
    <t>[Nardelli, Allyson E.; Visch, Wouter; Wright, Jeffrey T.; Hurd, Catriona L.] Inst Marine &amp; Antarctic Studies, 20 Castray Esplanade, Battery Point, Tas 7004, Australia</t>
  </si>
  <si>
    <t>Nardelli, AE (corresponding author), Inst Marine &amp; Antarctic Studies, 20 Castray Esplanade, Battery Point, Tas 7004, Australia.</t>
  </si>
  <si>
    <t>allyson.nardelli@utas.edu.au</t>
  </si>
  <si>
    <t>Visch, Wouter/0000-0003-4291-6239</t>
  </si>
  <si>
    <t>DORDRECHT</t>
  </si>
  <si>
    <t>VAN GODEWIJCKSTRAAT 30, 3311 GZ DORDRECHT, NETHERLANDS</t>
  </si>
  <si>
    <t>0921-8971</t>
  </si>
  <si>
    <t>1573-5176</t>
  </si>
  <si>
    <t>J APPL PHYCOL</t>
  </si>
  <si>
    <t>J. Appl. Phycol.</t>
  </si>
  <si>
    <t>10.1007/s10811-023-02968-3</t>
  </si>
  <si>
    <t>Biotechnology &amp; Applied Microbiology; Marine &amp; Freshwater Biology</t>
  </si>
  <si>
    <t>M6VI8</t>
  </si>
  <si>
    <t>WOS:000972122900003</t>
  </si>
  <si>
    <t>Saini, KC; Gupta, K; Sharma, S; Gautam, AK; Shamim, S; Mittal, D; Kundu, P; Bast, F</t>
  </si>
  <si>
    <t>Saini, Khem Chand; Gupta, Kriti; Sharma, Sheetal; Gautam, Ajay K.; Shamim, Samrin; Mittal, Divya; Kundu, Pushpendu; Bast, Felix</t>
  </si>
  <si>
    <t>First report of Planomicrobium okeanokoites associated with Himantothallus grandifolius (Desmarestiales, Phaeophyta) from Southern Hemisphere</t>
  </si>
  <si>
    <t>SP-NOV.; PLANOCOCCUS-ALKANOCLASTICUS; MOLECULAR PHYLOGENY; MARINE FLORA; BROWN-ALGAE; BACTERIA; PSYCHROPHILUS; MCMEEKINII; DIVERSITY; SEDIMENT</t>
  </si>
  <si>
    <t>Gram-positive, aerobic, motile, rod-shaped, mesophilic epiphytic bacterium Planomicrobium okeanokoites was isolated from the surface of endemic species Himantothallus grandifolius in Larsemann Hills, Eastern Antarctica. The diversity of epiphytic bacterial communities living on marine algae remains primarily unexplored; virtually no reports from Antarctic seaweeds. The present study used morpho-molecular approaches for the macroalgae and epiphytic bacterium characterization. Phylogenetic analysis was performed using mitochondrial genome encoded COX1 gene; chloroplast genome encodes rbcL; nuclear genome encoded large subunit ribosomal RNA gene (LSU rRNA) for Himantothallus grandifolius and ribosomal encoded 16S rRNA for Planomicrobium okeanokoites. Morphological and molecular data revealed that the isolate is identified as Himantothallus grandifolius, which belongs to Family Desmarestiaceae of Order Desmarestiales in Class Phaeophyceae showing 99.8% similarity to the sequences of Himantothallus grandifolius, from King George Island, Antarctica (HE866853). The isolated bacterial strain was identified on the basis of chemotaxonomic, morpho-phylogenetic, and biochemical assays. A phylogenetic study based on 16S rRNA gene sequences revealed that the epiphytic bacterial strain SLA-357 was closest related to the Planomicrobium okeanokoites showing 98.7% sequence similarity. The study revealed the first report of this species from the Southern Hemisphere to date. Also, there has been no report regarding the association between the Planomicrobium okeanokoites and Himantothallus grandifolius; however, there are some reports on this bacterium isolated from sediments, soils, and lakes from Northern Hemisphere. This study may open a gateway for further research to know about the mode of interactions and how they affect the physiology and metabolism of each other.</t>
  </si>
  <si>
    <t>[Saini, Khem Chand; Sharma, Sheetal; Gautam, Ajay K.; Shamim, Samrin; Mittal, Divya; Kundu, Pushpendu; Bast, Felix] Cent Univ Punjab, Dept Bot, Bathinda, Punjab, India; [Gupta, Kriti] DAV Coll, Dept Bot, Bathinda, Punjab, India</t>
  </si>
  <si>
    <t>Central University of Punjab</t>
  </si>
  <si>
    <t>Bast, F (corresponding author), Cent Univ Punjab, Dept Bot, Bathinda, Punjab, India.</t>
  </si>
  <si>
    <t>felix.bast@gmail.com</t>
  </si>
  <si>
    <t>; Gupta, Kriti/HMD-1419-2023</t>
  </si>
  <si>
    <t>Bast, Felix/0000-0002-5090-0109; Saini, Dr. Khem Chand/0000-0001-5768-6507; Gupta, Kriti/0000-0003-4442-1870</t>
  </si>
  <si>
    <t>DST-SERB Core Research Grant [CRG/20l9/005499]</t>
  </si>
  <si>
    <t>DST-SERB Core Research Grant</t>
  </si>
  <si>
    <t>Felix (CRG/20l9/005499) DST-SERB Core Research Grant http://www.serb.gov.in/home.phpThe funders had role in study design, data collection, decision to publish, or editing and correction of the manuscript.</t>
  </si>
  <si>
    <t>APR 14</t>
  </si>
  <si>
    <t>e0282516</t>
  </si>
  <si>
    <t>10.1371/journal.pone.0282516</t>
  </si>
  <si>
    <t>K5VQ9</t>
  </si>
  <si>
    <t>WOS:001017121000002</t>
  </si>
  <si>
    <t>Voosen, P</t>
  </si>
  <si>
    <t>Voosen, Paul</t>
  </si>
  <si>
    <t>OCEANOGRAPHY Dwindling sea ice may speed melting of Antarctic glaciers</t>
  </si>
  <si>
    <t>News Item</t>
  </si>
  <si>
    <t>G5YX0</t>
  </si>
  <si>
    <t>WOS:000989920200003</t>
  </si>
  <si>
    <t>Pentland, AH; Poropat, SF</t>
  </si>
  <si>
    <t>Pentland, Adele H.; Poropat, Stephen F.</t>
  </si>
  <si>
    <t>A review of the Jurassic and Cretaceous Gondwanan pterosaur record</t>
  </si>
  <si>
    <t>GONDWANA RESEARCH</t>
  </si>
  <si>
    <t>Araripe Basin; Gondwana; Pterosauria; Palaeobiogeography; Santana group</t>
  </si>
  <si>
    <t>ALBIAN TOOLEBUC FORMATION; FILTER-FEEDER PTEROSAUR; LONG-TAILED PTEROSAUR; LOHAN CURA FORMATION; KEM KEM BEDS; AZHDARCHOID PTEROSAUR; 1ST PTEROSAUR; ROMUALDO FORMATION; ARARIPE BASIN; WESTERN QUEENSLAND</t>
  </si>
  <si>
    <t>The Gondwanan pterosaur record is scarce when compared with that of Laurasia and is reviewed here. The majority of Gondwanan pterosaur remains are derived from South America; however, the relative richness of the South American record compared with other Gondwanan continents is largely a result of the 'Lagerstatten' effect. Nevertheless, the South American pterosaur assemblage represents the most speciose and diverse known from Gondwana, with several lineages represented, including the Raeticodactylidae, Rhamphorhynchoidea, Darwinoptera, Ctenochasmatidae, Gnathosaurinae, Nyctosauridae, Ornithocheiridae, Tapejaridae, Thalassodromidae, Dsungaripteridae, Chaoyangopteridae and Azhdarchidae. Gondwanan pterosauromorphs are known only from South America. From Africa rhamphorhynchids, archaeopterodactyloids, pteranodontians, nyctosaurids, ornithocheirids, tapejarids, dsungaripteroids, chaoyangopterids, and azhdarchids have been reported. The Arabian Peninsula has pro-duced nyctosaurids, an istiodactyliform, ornithocheirids and azhdarchids. Non-pterodactyloid pterosaurs have been reported from India. A possible azhdarchid has been reported from Madagascar and rham-phorhynchids are known from isolated teeth. The Antarctic pterosaur assemblage also comprises isolated remains of indeterminate pterodactyloids, and a possible indeterminate rhamphorhynchoid. The ptero-saur record from East Gondwana comprises ornithocheirids, azhdarchids and a possible ctenochasmatoid from Australia, as well as azhdarchids from New Zealand. Although our understanding of Gondwanan pterosaurs has greatly improved within the last three decades, the discovery and description of more specimens, particularly from Antarctica and East Gondwana, will enhance our understanding of ptero-saurian biodiversity and palaeobiogeography.(c) 2023 International Association for Gondwana Research. Published by Elsevier B.V. All rights reserved.</t>
  </si>
  <si>
    <t>[Pentland, Adele H.] Swinburne Univ Technol, Sch Sci Comp &amp; Engn Technol, John St, Hawthorn, Vic 3122, Australia; [Pentland, Adele H.; Poropat, Stephen F.] Australian Age Dinosaurs Museum Nat Hist, The Jump Up, Winton, Qld 4735, Australia; [Poropat, Stephen F.] Curtin Univ, Western Australian Organ &amp; Isotope Geochem Ctr, Kent St, Bentley, WA 6102, Australia</t>
  </si>
  <si>
    <t>Swinburne University of Technology; Curtin University</t>
  </si>
  <si>
    <t>Pentland, AH (corresponding author), Swinburne Univ Technol, Sch Sci Comp &amp; Engn Technol, John St, Hawthorn, Vic 3122, Australia.</t>
  </si>
  <si>
    <t>apentland@swin.edu.au</t>
  </si>
  <si>
    <t>Poropat, Stephen/M-1959-2016</t>
  </si>
  <si>
    <t>Poropat, Stephen/0000-0002-4909-1666</t>
  </si>
  <si>
    <t>Swinburne University of Technology; Paleontological Society</t>
  </si>
  <si>
    <t>The authors would like to thank the Paleobiology Database for ensuring and maintaining records summarising fossil occurrences from scientific publications is made publically available. A.H.P.'s work on this project was funded by Swinburne University of Technology, through receiving a Student Emergency Fund Grant. A.H.P. and S.F.P. would like to thank: the Paleontological Society for an Arthur James Boucot Research Grant, which enabled firsthand observations of specimens at Queensland Museum; S. Hocknull, A. Rozefelds and K. Spring (Queensland Museum) for allowing A. H.P. and S.F.P. access to the Australian pterosaur specimens in their care; Tim Ziegler (NMV) facilitated collections access; Trish Sloan (AOD) provided collections access; P. Vickers -Rich, I. Somerville, D. Unwin, Roy Smith, Vahe Demirjian and an anonymous reviewer for helpful insights and reviews which greatly improved the manuscript.</t>
  </si>
  <si>
    <t>1342-937X</t>
  </si>
  <si>
    <t>1878-0571</t>
  </si>
  <si>
    <t>GONDWANA RES</t>
  </si>
  <si>
    <t>Gondwana Res.</t>
  </si>
  <si>
    <t>10.1016/j.gr.2023.03.005</t>
  </si>
  <si>
    <t>G2YY3</t>
  </si>
  <si>
    <t>WOS:000987885500001</t>
  </si>
  <si>
    <t>Mousavi, SE; Grützner, F; Patil, JG</t>
  </si>
  <si>
    <t>Mousavi, Seyed Ehsan; Grutzner, Frank; Patil, Jawahar G.</t>
  </si>
  <si>
    <t>Enhanced mitotic arrest and chromosome resolution for cytogenetic analysis in the eastern mosquitofish, Gambusia holbrooki</t>
  </si>
  <si>
    <t>ACTA HISTOCHEMICA</t>
  </si>
  <si>
    <t>Chromosome elongation; Metaphase resolution; Ethidium bromide; Mitotic index; Sex dimorphism</t>
  </si>
  <si>
    <t>ETHIDIUM-BROMIDE; FLAVOBACTERIUM-BRANCHIOPHILUM; BANDING ANALYSIS; SEX-CHROMOSOMES; IMMUNE-SYSTEM; FISH; CONDENSATION; CELLS; ANTIBODY; CULTURE</t>
  </si>
  <si>
    <t>Maximising the number of cells arrested at metaphase and their resolution is fundamentally important for molecular cytogenetic investigations, particularly in fish, which typically yield low mitotic index and have highly condensed chromosomes. To overcome these limitations, fish were injected with a mitotic stimulator (the yeast, Saccharomyces cerevisiae) to improve the mitotic index, and the intercalating agent ethidium bromide to produce elongated chromosomes. Specifically, adults were injected with activated yeast and then Colcemid (0.025 mu g/mu l solution, 10 mu l per 1 g of body weight) at 24-96 h post yeast injections, followed by chromosome preparations from multiple tissues. Results showed that gill tissue had the highest number of dividing cells at 72 h post yeast exposure with no significant (p &gt; 0.05) differences between the sexes. Nonetheless, sex-specific differences in the mitotic index were observed in spleen, kidney, and liver, which may be attributed to sex-specific differences in immune responses. For elongation of mitotic chromosomes, individuals (both sexes) were first injected with activated yeast and after 48 h with ethidium bromide (2 or 4 mu g/ml) and Colcemid (0.05 mu g/mu l solution, 10 mu l per 1 g of body weight). Following which, animals were sampled at three time points (1, 4 and 8 h) for chromosome preparations. The results show that the optimum elongation of metaphase chromosomes of males and females was achieved by using 2 mu g/ml and 4 mu g/ml, respectively, for 1 h. Interestingly, the average mitotic chromosome length (mu m) of males and females post-ethidium bromide exposure was significantly different (p &lt; 0.05) for both concentrations, except at 1 h exposure for 2 mu g/ml EtBr. Such differences can be attributed to overall chromo-somal condensation differences between sexes. Regardless, the increased mitotic index and chromosome reso-lution could benefit cytogenetic studies in other fish species.</t>
  </si>
  <si>
    <t>[Mousavi, Seyed Ehsan; Patil, Jawahar G.] Univ Tasmania, Inst Marine &amp; Antarctic Studies, Lab Mol Biol, Taroona, Tas 7053, Australia; [Grutzner, Frank] Univ Adelaide, Sch Biol Sci, Adelaide, SA 5005, Australia; [Mousavi, Seyed Ehsan] Univ Tasmania, Sch Med, Hobart, Tas 7000, Australia</t>
  </si>
  <si>
    <t>University of Tasmania; University of Adelaide; University of Tasmania</t>
  </si>
  <si>
    <t>Mousavi, SE (corresponding author), Univ Tasmania, Inst Marine &amp; Antarctic Studies, Lab Mol Biol, Taroona, Tas 7053, Australia.</t>
  </si>
  <si>
    <t>ehsan.mousavi@utas.edu.au</t>
  </si>
  <si>
    <t>Mousavi, Seyed Ehsan/AAG-3771-2021; Grutzner, Frank Stefan/AAD-5834-2020</t>
  </si>
  <si>
    <t>Mousavi, Seyed Ehsan/0000-0002-7099-6355; Grutzner, Frank Stefan/0000-0002-3088-7314</t>
  </si>
  <si>
    <t>Australian Research Council [LP140100428]; Inland Fisheries Service (IFS) Tasmania; Australian Research Council [LP140100428] Funding Source: Australian Research Council</t>
  </si>
  <si>
    <t>Australian Research Council(Australian Research Council); Inland Fisheries Service (IFS) Tasmania; Australian Research Council(Australian Research Council)</t>
  </si>
  <si>
    <t>This work was supported by the Australian Research Council [LP140100428] , and Inland Fisheries Service (IFS) Tasmania.</t>
  </si>
  <si>
    <t>ELSEVIER GMBH</t>
  </si>
  <si>
    <t>MUNICH</t>
  </si>
  <si>
    <t>HACKERBRUCKE 6, 80335 MUNICH, GERMANY</t>
  </si>
  <si>
    <t>0065-1281</t>
  </si>
  <si>
    <t>1618-0372</t>
  </si>
  <si>
    <t>ACTA HISTOCHEM</t>
  </si>
  <si>
    <t>Acta Histochem.</t>
  </si>
  <si>
    <t>10.1016/j.acthis.2023.152029</t>
  </si>
  <si>
    <t>Cell Biology</t>
  </si>
  <si>
    <t>F4SE3</t>
  </si>
  <si>
    <t>WOS:000982253400001</t>
  </si>
  <si>
    <t>Shukla, SK; Crosta, X; Ikehara, M</t>
  </si>
  <si>
    <t>Shukla, Sunil Kumar; Crosta, Xavier; Ikehara, Minoru</t>
  </si>
  <si>
    <t>Synergic role of frontal migration and silicic acid concentration in driving diatom productivity in the Indian sector of the Southern Ocean over the past 350 ka</t>
  </si>
  <si>
    <t>MARINE MICROPALEONTOLOGY</t>
  </si>
  <si>
    <t>Diatom community composition; Total diatom flux; Taxa-specific fluxes; Frontal changes; Nutrient cycling</t>
  </si>
  <si>
    <t>SEA-SURFACE TEMPERATURE; LATE-QUATERNARY; FRAGILARIOPSIS-KERGUELENSIS; PACIFIC SECTOR; CARBON EXPORT; ICE; IRON; SEDIMENTS; CIRCULATION; CO2</t>
  </si>
  <si>
    <t>The glacial-interglacial siliceous productivity in the Sub-Antarctic Zone (SAZ) of the Southern Ocean (SO) has been proposed to respond to higher dust-bearing iron fluxes and/or basin-wide increased nutrient supply to surface waters. However, long records of diatom productivity are mainly obtained from the Atlantic and Pacific sectors of the SO. We present a new diatom productivity record from the SAZ of the western Indian sector of the SO, where the Antarctic Circumpolar Current strongly interacts with bottom topography to create a productivity hotspot, during the last four glacial-interglacial cycles. Our results show that regional changes in diatom pro-ductivity did not follow a glacial-interglacial pattern. It was highest during the Marine Isotope stage (MIS) 6 and MIS4, lowest during MIS10-MIS8 and MIS3-MIS1, whereas intermediate diatom productivity was found during MIS7 and MIS5. Multi-millennial events of high diatom productivity were scattered throughout both the glacial and interglacial periods. Both long-term and rapid diatom productivity changes in the region were disconnected from dust flux changes, but might relate to frontal migrations and SO upwelling intensity changes which have both mediated the silica and iron availability for diatoms. Importantly, our data suggest that front migrations were not homogenous in the SO, especially where these fronts interact with bottom topography. The peculiarity of these productivity hotspots must be considered when drawing SO-wide carbon balance in the past.</t>
  </si>
  <si>
    <t>[Shukla, Sunil Kumar] Birbal Sahni Inst Palaeosci, 53 Univ Rd, Lucknow 226007, India; [Crosta, Xavier] Univ Bordeaux, UMR 5805 EPOC, F-33615 Pessac, France; [Ikehara, Minoru] Kochi Univ, Ctr Adv Marine Core Res, Kochi, Japan</t>
  </si>
  <si>
    <t>Department of Science &amp; Technology (India); Birbal Sahni Institute of Palaeobotany (BSIP); Universite de Bordeaux; Kochi University</t>
  </si>
  <si>
    <t>Shukla, SK (corresponding author), Birbal Sahni Inst Palaeosci, 53 Univ Rd, Lucknow 226007, India.</t>
  </si>
  <si>
    <t>sunilk_shukla@bsip.res.in</t>
  </si>
  <si>
    <t>Shukla, Sunil/0000-0002-7517-5564; Ikehara, Minoru/0000-0002-2695-4713</t>
  </si>
  <si>
    <t>institutional grant of the Birbal Sahni Institute of Palaeosciences (BSIP In-house Project) [4-BSIP/RDCC/29/2020-2021, 7.3]; JSPS KAKENHI grant [JP19340156, JP23244102, JP17H06318]</t>
  </si>
  <si>
    <t>institutional grant of the Birbal Sahni Institute of Palaeosciences (BSIP In-house Project); JSPS KAKENHI grant(Ministry of Education, Culture, Sports, Science and Technology, Japan (MEXT)Japan Society for the Promotion of ScienceGrants-in-Aid for Scientific Research (KAKENHI))</t>
  </si>
  <si>
    <t>This work was funded by the institutional grant of the Birbal Sahni Institute of Palaeosciences (BSIP In-house Project No. 7.3 and 4-BSIP/RDCC/29/2020-2021) to SKS, for which the BSIP Director is thanked. MI acknowledges the JSPS KAKENHI grant (No. JP19340156, JP23244102, JP17H06318) . The authors thank the chief scientist, Dr. Y. Nogi, NIPR, the captain, crew, and all researchers of Cruise KH10-07 onboard R/V Hakuho-Maru 2010. We thank two anonymous re- viewers for their constructive comments, which helped us improve the initial version of the manuscript.</t>
  </si>
  <si>
    <t>0377-8398</t>
  </si>
  <si>
    <t>1872-6186</t>
  </si>
  <si>
    <t>MAR MICROPALEONTOL</t>
  </si>
  <si>
    <t>Mar. Micropaleontol.</t>
  </si>
  <si>
    <t>10.1016/j.marmicro.2023.102245</t>
  </si>
  <si>
    <t>Paleontology</t>
  </si>
  <si>
    <t>G0GS0</t>
  </si>
  <si>
    <t>WOS:000986046200001</t>
  </si>
  <si>
    <t>Vetráková, L; Nedela, V; Závacká, K; Yang, X; Heger, D</t>
  </si>
  <si>
    <t>Vetrakova, Lubica; Nedela, Vilem; Zavacka, Kamila; Yang, Xin; Heger, Dominik</t>
  </si>
  <si>
    <t>Technical note: Sublimation of frozen CsCl solutions in an environmental scanning electron microscope (ESEM) - determiningthe number and size of salt particles relevant to sea salt aerosols</t>
  </si>
  <si>
    <t>CONCENTRATED-SOLUTIONS; LOWER TROPOSPHERE; FROST FLOWERS; SPRAY AEROSOL; ICE; SNOW; WATER; SURFACE; BRINE; THERMODYNAMICS</t>
  </si>
  <si>
    <t>We present a novel technique that elucidates the mechanism of the formation of small aerosolizable salt particles from salty frozen samples. We demonstrated that CsCl may be a suitable probe for sea salts due to its similar subzero properties and sublimation outcomes: CsCl substantially increased the visibility of the salt both during and after ice sublimation. Hence, we identified the factors that, during the sublimation of a frozen salty solution, are important in generating fine salt particles as a possible source of salt aerosol. The number, size, and structure of the particles that remain after ice sublimation were investigated with respect to the concentration of the salt in the sample, the freezing method, and the sublimation temperature. The last-named aspect is evidently of primary importance for the preference of fine salt crystals over a large compact piece of salt; we showed that the formation of small salt particles is generally restricted if the brine is liquid during the ice sublimation, i.e. at temperatures higher than the eutectic temperature (Teu). Small salt particles that might be a source of atmospheric aerosols were formed predominantly at temperatures below Teu, and their structures strongly depended on the concentration of the salt. For example, the sublimation of those samples that exhibited a concentration of less than 0.05 M often produced small aerosolizable isolated particles that are readily able to be windblown. Conversely, the sublimation of 0.5 M samples led to the formation of relatively stable and largely interconnected salt structures. Our findings are in good agreement with other laboratory studies which have unsuccessfully sought salt aerosols from, for example, frost flowers at temperatures above Teu. This study offers an explanation of the previously unexplored behaviour.</t>
  </si>
  <si>
    <t>[Vetrakova, Lubica; Nedela, Vilem; Zavacka, Kamila] Czech Acad Sci, Inst Sci Instruments, Environm Electron Microscopy Grp, Brno, Czech Republic; [Yang, Xin] British Antarctic Survey, Nat Environm Res Council, Cambridge, England; [Heger, Dominik] Masaryk Univ, Fac Sci, Dept Chem, Brno, Czech Republic</t>
  </si>
  <si>
    <t>Czech Academy of Sciences; Institute of Scientific Instruments of the Czech Academy of Sciences; UK Research &amp; Innovation (UKRI); Natural Environment Research Council (NERC); NERC British Antarctic Survey; Masaryk University Brno</t>
  </si>
  <si>
    <t>Vetráková, L (corresponding author), Czech Acad Sci, Inst Sci Instruments, Environm Electron Microscopy Grp, Brno, Czech Republic.;Heger, D (corresponding author), Masaryk Univ, Fac Sci, Dept Chem, Brno, Czech Republic.</t>
  </si>
  <si>
    <t>vetrakova@isibrno.cz; hegerd@chemi.muni.cz</t>
  </si>
  <si>
    <t>Heger, Dominik/V-4369-2019; Vetráková, Ľubica/F-5040-2017</t>
  </si>
  <si>
    <t>Heger, Dominik/0000-0002-6881-8699; Vetráková, Ľubica/0000-0003-3536-1706; Yang, Xin/0000-0002-3838-9758</t>
  </si>
  <si>
    <t>Czech Science Foundation [GA22-25799S]</t>
  </si>
  <si>
    <t>Czech Science Foundation(Grant Agency of the Czech Republic)</t>
  </si>
  <si>
    <t>This work was supported by Czech Science Foundation via project GA22-25799S. The study was supported by Strategy AV21 - programme #23 City as a laboratory of change; construction, historical heritage and place for safe and quality life. We thank Martin Olbert for the particle size evaluation and Premysl Dohnal for the language corrections.</t>
  </si>
  <si>
    <t>10.5194/acp-23-4463-2023</t>
  </si>
  <si>
    <t>D8HB3</t>
  </si>
  <si>
    <t>Green Accepted, Green Submitted, gold</t>
  </si>
  <si>
    <t>WOS:000971071500001</t>
  </si>
  <si>
    <t>Béjard, TM; Rigual-Hernández, AS; Flores, JA; Tarruella, JP; de Madron, XD; Cacho, I; Haghipour, N; Hunter, A; Sierro, FJ</t>
  </si>
  <si>
    <t>Bejard, Thibauld M.; Rigual-Hernandez, Andres S.; Flores, Jose A.; Tarruella, Javier P.; de Madron, Xavier Durrieu; Cacho, Isabel; Haghipour, Neghar; Hunter, Aidan; Sierro, Francisco J.</t>
  </si>
  <si>
    <t>Calcification response of planktic foraminifera to environmental change inthe western Mediterranean Sea during the industrial era</t>
  </si>
  <si>
    <t>CARBONATE ION CONCENTRATION; GLOBIGERINA-BULLOIDES; OCEAN ACIDIFICATION; INTERANNUAL VARIABILITY; SHELL-WEIGHT; WATER; FLUXES; GROWTH; GULF; ACID</t>
  </si>
  <si>
    <t>The Mediterranean Sea sustains a rich and fragile ecosystem currently threatened by multiple anthropogenic impacts that include, among others, warming, pollution, and changes in seawater carbonate speciation associated to increasing uptake of atmospheric CO2. This environmental change represents a major risk for marine calcifiers such as planktonic foraminifera, key components of pelagic Mediterranean ecosystems and major exporters of calcium carbonate to the sea floor, thereby playing a major role in the marine carbon cycle. In this study, we investigate the response of planktic foraminifera calcification in the northwestern Mediterranean Sea on different timescales across the industrial era. This study is based on data from a 12-year-long sediment trap record retrieved in the in the Gulf of Lions and seabed sediment samples from the Gulf of Lions and the promontory of Menorca. Three different planktic foraminifera species were selected based on their different ecology and abundance: Globigerina bulloides, Neogloboquadrina incompta, and Globorotalia truncatulinoides. A total of 273 samples were weighted in both sediment trap and seabed samples.The results of our study suggest substantial different seasonal calcification patterns across species: G. bulloides shows a slight calcification increase during the high productivity period, while both N. incompta and G. truncatulinoides display a higher calcification during the low productivity period. The comparison of these patterns with environmental parameters indicate that controls on seasonal calcification are species-specific. Interannual analysis suggests that both G. bulloides and N. incompta did not significantly reduce their calcification between 1994 and 2005, while G. truncatulinoides exhibited a constant and pronounced increase in its calcification that translated in an increase of 20 % of its shell weight. The comparison of these patterns with environmental data reveals that optimum growth conditions affect positively and negatively G. bulloides and G. truncatulinoides calcification, respectively. Sea surface temperatures (SSTs) have a positive influence on N. incompta and G. truncatulinoides calcification, while carbonate system parameters appear to affect positively the calcification of three species in the Gulf of Lions throughout the 12-year time series.Finally, comparison between sediment trap data and seabed sediments allowed us to assess the changes of planktic foraminifera calcification during the late Holocene, including the pre-industrial era. Several lines of evidence indicate that selective dissolution did not bias the results in any of our data sets. Our results showed a weight reduction between pre-industrial and post-industrial Holocene and recent data, with G. truncatulinoides experiencing the largest weight loss (32 %-40 %) followed by G. bulloides (18 %-24 %) and N. incompta (9 %-18 %). Overall, our results provide evidence of a decrease in planktic foraminifera calcification in the western Mediterranean, most likely associated with ongoing ocean acidification and regional SST trends, a feature consistent with previous observations in other settings of the world's oceans.</t>
  </si>
  <si>
    <t>[Bejard, Thibauld M.; Rigual-Hernandez, Andres S.; Flores, Jose A.; Tarruella, Javier P.; Sierro, Francisco J.] Univ Salamanca, Dept Geol, Area Paleontol, Salamanca 37008, Spain; [de Madron, Xavier Durrieu] Univ Perpignan Via Domitia, CEFREM, CNRS, Perpignan, France; [Cacho, Isabel] Univ Barcelona, Fac Ciencies Terra, Dept Dinam Terra &amp; Ocea, GRC Geociencies Marines, Barcelona, Spain; [Haghipour, Neghar] Swiss Fed Inst Technol, Earth Sci Dept, CH-8092 Zurich, Switzerland; [Hunter, Aidan] NERC, British Antarctic Survey, Cambridge, England</t>
  </si>
  <si>
    <t>University of Salamanca; Centre National de la Recherche Scientifique (CNRS); Universite Perpignan Via Domitia; University of Barcelona; Swiss Federal Institutes of Technology Domain; ETH Zurich; UK Research &amp; Innovation (UKRI); Natural Environment Research Council (NERC); NERC British Antarctic Survey</t>
  </si>
  <si>
    <t>Béjard, TM (corresponding author), Univ Salamanca, Dept Geol, Area Paleontol, Salamanca 37008, Spain.</t>
  </si>
  <si>
    <t>thibauld.bejard@usal.es</t>
  </si>
  <si>
    <t>Rigual-Hernández, Andrés/E-2041-2018; Sierro, Francisco/A-4714-2008; Cacho, Isabel/H-4402-2013</t>
  </si>
  <si>
    <t>Rigual-Hernández, Andrés/0000-0003-1521-3896; Sierro, Francisco/0000-0002-8647-456X; Perez Tarruella, Javier/0000-0001-7747-2610; Cacho, Isabel/0000-0002-6512-0770; Bejard, Thibauld Maxime/0000-0001-8718-9720</t>
  </si>
  <si>
    <t>Ministerio de Ciencia e Innovacion [RTI2018-099489-B-100, PID2021-128322NB-100, PRE2019-089091]; BASELINE [PID2021-126495NB-741 C33]; Spanish Ministry of Science, Innovation and Universities</t>
  </si>
  <si>
    <t>Ministerio de Ciencia e Innovacion(Instituto de Salud Carlos IIISpanish Government); BASELINE; Spanish Ministry of Science, Innovation and Universities(Spanish Government)</t>
  </si>
  <si>
    <t>This research has been supported by the Ministerio de Ciencia e Innovacion (grant nos. RTI2018-099489-B-100,PID2021-128322NB-100, and PRE2019-089091). This project hasreceived funding from the project BASELINE (grant no. PID2021-126495NB-741 C33) granted by Spanish Ministry of Science, Innovation and Universities (Andres S. Rigual-Hernandez)</t>
  </si>
  <si>
    <t>10.5194/bg-20-1505-2023</t>
  </si>
  <si>
    <t>D8OK8</t>
  </si>
  <si>
    <t>WOS:000971264200001</t>
  </si>
  <si>
    <t>Manfroi, J; Trevisan, C; Dutra, TL; Jasper, A; Carvalho, MD; Aquino, FE; Leppe, M</t>
  </si>
  <si>
    <t>Manfroi, Joseline; Trevisan, Cristine; Dutra, Tania Lindner; Jasper, Andre; Carvalho, Marcelo De Araujo; Aquino, Francisco Eliseu; Leppe, Marcelo</t>
  </si>
  <si>
    <t>Antarctic on fire: Paleo-wildfire events associated with volcanic deposits in the Antarctic Peninsula during the Late Cretaceous</t>
  </si>
  <si>
    <t>FRONTIERS IN EARTH SCIENCE</t>
  </si>
  <si>
    <t>Campanian; coniferous wood; King George Island; macroscopic charcoal; pyroclastic flows</t>
  </si>
  <si>
    <t>LAGERSTATTE ARARIPE BASIN; EOCENE THERMAL MAXIMUM; KING GEORGE ISLAND; PALAEO-WILDFIRE; CENTRAL-EUROPE; CARBON-CYCLE; 1ST EVIDENCE; EVOLUTION; ORIGIN; COMBUSTION</t>
  </si>
  <si>
    <t>The occurrence of paleo-wildfire events during the Campanian age of the Late Cretaceous is demonstrated in this study for the first time with deposits from the King George Island, South Shetland Islands, Antarctic Peninsula. With the aim of providing information that fills important paleoenvironmental and paleobiogeographic gaps about the end of the Cretaceous for the Gondwana, samples of macroscopic charcoal were collected at two different volcanic levels of the Price Point outcrop, King George Island, during the expeditions to the Antarctic Peninsula by the Brazilian Antarctic Program (PROANTAR). The samples of charcoal were treated and later analyzed under a stereomicroscope and scanning electron microscope. The analysis allowed the identification of morphoanatomical structures with potential taxonomic affinity with Podocarpaceae. These conifers were important in temperate forests of high-latitude environments during the Late Cretaceous, and this is in accordance with previous palaeobotanical records from Price Point. The analysis also showed that southern paleofloras were subject to the occurrence of paleo-wildfires much more frequently than previously thought. This indicates that fire and active volcanism were significant modifiers of the ecological niches of austral floras, because even in distal areas, the source of ignition for forest fires often came from contact with a hot volcanic ash cloud, where the vegetation was either totally or partially consumed by fire.</t>
  </si>
  <si>
    <t>[Manfroi, Joseline; Trevisan, Cristine; Leppe, Marcelo] Chilean Antarctic Inst INACH, Antarctic &amp; Patagonia Paleobiol Lab, Punta Arenas, Chile; [Manfroi, Joseline; Aquino, Francisco Eliseu] Univ Fed Rio Grande do Sul UFRGS, Climat &amp; Polar Ctr, Grad Program Geog, Porto Alegre, Brazil; [Manfroi, Joseline] Univ Sao Paulo, Dept Biol, Paleontol Lab Ribeirao Preto, Sao Paulo, Brazil; [Dutra, Tania Lindner] PPGEO Univ Vale do Rio dos Sinos, Grad Program Geol, Sao Leopoldo, Brazil; [Jasper, Andre] Univ Vale do Taquari Univates, Programa Posgrad Ambiente &amp; Desenvolvimento, PPGAD, Lajeado, Brazil; [Carvalho, Marcelo De Araujo] Univ Fed Rio de Janeiro UFRJ, Dept Geol &amp; Paleontol, Natl Museum, Rio De Janeiro, Brazil</t>
  </si>
  <si>
    <t>Universidade Federal do Rio Grande do Sul; Universidade de Sao Paulo; Universidade Federal do Rio de Janeiro</t>
  </si>
  <si>
    <t>Manfroi, J (corresponding author), Chilean Antarctic Inst INACH, Antarctic &amp; Patagonia Paleobiol Lab, Punta Arenas, Chile.;Manfroi, J (corresponding author), Univ Fed Rio Grande do Sul UFRGS, Climat &amp; Polar Ctr, Grad Program Geog, Porto Alegre, Brazil.;Manfroi, J (corresponding author), Univ Sao Paulo, Dept Biol, Paleontol Lab Ribeirao Preto, Sao Paulo, Brazil.</t>
  </si>
  <si>
    <t>jmanfroi@inach.cl</t>
  </si>
  <si>
    <t>Leppe, Marcelo/L-5447-2014</t>
  </si>
  <si>
    <t>Leppe, Marcelo/0000-0002-1545-8167; Trevisan, Cristine/0000-0001-5550-2380</t>
  </si>
  <si>
    <t>National Council and Technological Development-CNPq/Brazil; Chilean Antarctic Institute-INACH/Chile</t>
  </si>
  <si>
    <t>National Council and Technological Development-CNPq/Brazil and Chilean Antarctic Institute-INACH/Chile.</t>
  </si>
  <si>
    <t>2296-6463</t>
  </si>
  <si>
    <t>FRONT EARTH SC-SWITZ</t>
  </si>
  <si>
    <t>Front. Earth Sci.</t>
  </si>
  <si>
    <t>10.3389/feart.2023.1048754</t>
  </si>
  <si>
    <t>F1SN1</t>
  </si>
  <si>
    <t>WOS:000980215500001</t>
  </si>
  <si>
    <t>Grimes, CJ; Donnelly, K; Ka, C; Noor, N; Mahon, AR; Halanych, KM</t>
  </si>
  <si>
    <t>Grimes, Candace J.; Donnelly, Kyle; Ka, Cheikhouna; Noor, Nusrat; Mahon, Andrew R.; Halanych, Kenneth M.</t>
  </si>
  <si>
    <t>Community structure along the Western Antarctic continental shelf and a latitudinal change in epibenthic faunal abundance assessed by photographic surveys</t>
  </si>
  <si>
    <t>Antarctica; benthic biodiversity; photographic surveys; invertebrates; community structure</t>
  </si>
  <si>
    <t>BENTHIC COMMUNITIES; CLIMATE-CHANGE; WEDDELL SEA; ICE-SHELF; ROSS SEA; BIODIVERSITY; MACROBENTHOS; ISLAND; RATES</t>
  </si>
  <si>
    <t>The Southern Ocean's continental shelf communities harbor high benthic biodiversity. However, most census methods have relied on trawling or dredging rather than direct observation. Benthic photographic and videographic transect surveys serve a key role in characterizing marine communities' abundance and diversity, and they also provide information on the spatial arrangement of species within a community. To investigate diversity and abundance in Southern Ocean benthic communities, we employed photographic transects during cruises aboard the RVIB Nathanial B. Palmer (November 2012) and the ASRV Laurence M. Gould (February 2013). One kilometer long photographic transects were conducted at 8 sites along 6,000 km of Western Antarctica from the tip of the Antarctic Peninsula to the Ross Sea from which epifaunal echinoderms, tunicates, arthropods, cnidarians, poriferans, and annelids were identified and counted allowing estimations of biodiversity. Our results do not support a latitudinal trend in diversity, but rather a decrease in abundance of macrofaunal individuals at higher latitude sites. All communities sampled on the Western Antarctic shelf were primarily dominated by ophiuroids, pycnogonids, holothuroids, and demosponges. However, the most abundant taxon across all sites was Ophionotus victoriae, followed by the symbiotic partners Iophon sp. (demosponge) and Ophioplinthus spp. (ophiuroid). Data also confirm that the Southern Ocean is composed of discretely unique benthic communities. These results provide critical understanding of the current community structure and diversity serving as a baseline as the Antarctic continental shelf changes due to rising ocean temperatures, climate change, and collapse of large ice sheets.</t>
  </si>
  <si>
    <t>[Grimes, Candace J.; Donnelly, Kyle; Halanych, Kenneth M.] Univ North Carolina Wilmington, Ctr Marine Sci, Wilmington, NC 28403 USA; [Ka, Cheikhouna; Noor, Nusrat] Auburn Univ, Dept Biol Sci, Auburn, AL USA; [Mahon, Andrew R.] Cent Michigan Univ, Dept Biol, Mt Pleasant, MI USA</t>
  </si>
  <si>
    <t>University of North Carolina; University of North Carolina Wilmington; Auburn University System; Auburn University; Central Michigan University</t>
  </si>
  <si>
    <t>Grimes, CJ; Halanych, KM (corresponding author), Univ North Carolina Wilmington, Ctr Marine Sci, Wilmington, NC 28403 USA.</t>
  </si>
  <si>
    <t>CGrimes1327@gmail.com; HalanychK@uncw.edu</t>
  </si>
  <si>
    <t>Halanych, Ken M/A-9480-2009</t>
  </si>
  <si>
    <t>National Science Foundation's Antarctic Program [ANT-1043745]; Office of Polar Programs [OPP-1916661, OPP 1916665]</t>
  </si>
  <si>
    <t>National Science Foundation's Antarctic Program; Office of Polar Programs(National Science Foundation (NSF)NSF - Directorate for Geosciences (GEO))</t>
  </si>
  <si>
    <t>Funding for this project was provided by the National Science Foundation's Antarctic Program (ANT-1043745 to KH) and the Office of Polar Programs (OPP-1916661 to KH and OPP 1916665 to AM).</t>
  </si>
  <si>
    <t>10.3389/fmars.2023.1094283</t>
  </si>
  <si>
    <t>E8WF4</t>
  </si>
  <si>
    <t>WOS:000978273200001</t>
  </si>
  <si>
    <t>Schoof, C; Cook, S; Kulessa, B; Thompson, S</t>
  </si>
  <si>
    <t>Schoof, Christian; Cook, Sue; Kulessa, Bernd; Thompson, Sarah</t>
  </si>
  <si>
    <t>The drainage of glacier and ice sheet surface lakes</t>
  </si>
  <si>
    <t>JOURNAL OF FLUID MECHANICS</t>
  </si>
  <si>
    <t>ice sheets; river dynamics</t>
  </si>
  <si>
    <t>SUBGLACIAL DRAINAGE; SUPRAGLACIAL LAKES; OUTBURST FLOODS; INCISION MODEL; MELTWATER; EVOLUTION; STORAGE; BENEATH; MORPHOLOGY; DYNAMICS</t>
  </si>
  <si>
    <t>Supraglacial lakes play a central role in storing melt water, enhancing surface melt and ultimately in driving ice flow and ice shelf melt through injecting water into the subglacial environment and through facilitating fracturing. Here, we develop a model for the drainage of supraglacial lakes through the dissipation-driven incision of a surface channel. The model consists of the St Venant equations for flow in the channel, fed by an upstream lake reservoir, coupled with an equation for the evolution of channel elevation due to advection, uplift and downward melting. After reduction to a 'stream power'-type hyperbolic model, we show that lake drainage occurs above a critical rate of water supply to the lake due to the backward migration of a shock that incises the lake seal. The critical water supply rate depends on advection velocity and uplift (or more precisely, drawdown downstream of the lake) as well as model parameters such as channel wall roughness and the parameters defining the relationship between channel cross-section and wetted perimeter. Once lake drainage does occur, it can either continue until the lake is empty, or terminate early, leading to oscillatory cycles of lake filling and draining, with the latter favoured by large lake volumes and relatively small water supply rates.</t>
  </si>
  <si>
    <t>[Schoof, Christian] Univ British Columbia, Dept Earth Ocean &amp; Atmospher Sci, Vancouver, BC V6T 1Z4, Canada; [Cook, Sue; Thompson, Sarah] Univ Tasmania, Inst Marine &amp; Antarctic Studies, Australian Antarctic Program Partnership, Hobart, Tas 7001, Australia; [Kulessa, Bernd] Swansea Univ, Sch Biosci Geog &amp; Phys, Wallace Bldg,Singleton Pk, Swansea SA2 8PP, Wales; [Kulessa, Bernd] Univ Tasmania, Sch Geog Planning &amp; Spatial Sci, Hobart, Tas 7001, Australia</t>
  </si>
  <si>
    <t>University of British Columbia; University of Tasmania; Swansea University; University of Tasmania</t>
  </si>
  <si>
    <t>Schoof, C (corresponding author), Univ British Columbia, Dept Earth Ocean &amp; Atmospher Sci, Vancouver, BC V6T 1Z4, Canada.</t>
  </si>
  <si>
    <t>cschoof@eoas.ubc.ca</t>
  </si>
  <si>
    <t>Cook, Sue/E-8390-2018</t>
  </si>
  <si>
    <t>Cook, Sue/0000-0001-9878-4218; Schoof, Christian/0000-0002-7532-2296; Thompson, Sarah S/0000-0001-9112-6933; Kulessa, Bernd/0000-0002-4830-4949</t>
  </si>
  <si>
    <t>Australian Antarctic Science Project [4342]</t>
  </si>
  <si>
    <t>Australian Antarctic Science Project</t>
  </si>
  <si>
    <t>C.G.S. would like to thank the Department of Geology at the University of Otago for their hospitality during part of this work. This research was motivated by fieldwork conducted as part of the Australian Antarctic Science Project # 4342.</t>
  </si>
  <si>
    <t>0022-1120</t>
  </si>
  <si>
    <t>1469-7645</t>
  </si>
  <si>
    <t>J FLUID MECH</t>
  </si>
  <si>
    <t>J. Fluid Mech.</t>
  </si>
  <si>
    <t>A4</t>
  </si>
  <si>
    <t>10.1017/jfm.2023.130</t>
  </si>
  <si>
    <t>Mechanics; Physics, Fluids &amp; Plasmas</t>
  </si>
  <si>
    <t>Mechanics; Physics</t>
  </si>
  <si>
    <t>E1EC2</t>
  </si>
  <si>
    <t>hybrid, Green Submitted</t>
  </si>
  <si>
    <t>WOS:000973042200001</t>
  </si>
  <si>
    <t>Martin, S</t>
  </si>
  <si>
    <t>Martin, Seelye</t>
  </si>
  <si>
    <t>The 1789 Christmas Eve collision of the HMS Guardian with an iceberg in the southwest Indian Ocean</t>
  </si>
  <si>
    <t>Antarctic glaciology; ice dynamics; icebergs</t>
  </si>
  <si>
    <t>SHELF; ICE</t>
  </si>
  <si>
    <t>In the evening of 24 December 1789, 2100 km southeast of Cape Town and after encountering three icebergs, the HMS Guardian under Captain Edward Riou collided with the submerged foot of a large iceberg. Despite severe damage to the ship and its abandonment by many of its crew and passengers, Riou sailed the hulk back to Cape Town, arriving on 22 February 1790. From present-day research and field studies, the formation of the foot in the collision is consistent with the above-freezing seawater temperatures inferred from Riou's commentary. Further, the observed 60 m iceberg height suggests that it calved from the Filchner Ice Shelf in the Weddell Sea. Comparison of the positions of Riou's icebergs with historic sightings, satellite observations and iceberg drift and fracture models also shows that they originated in the Weddell Sea and that their likelihood of occurrence in the collision region is small.</t>
  </si>
  <si>
    <t>[Martin, Seelye] Univ Washington, Sch Oceanog, Seattle, WA 98195 USA</t>
  </si>
  <si>
    <t>University of Washington; University of Washington Seattle</t>
  </si>
  <si>
    <t>Martin, S (corresponding author), Univ Washington, Sch Oceanog, Seattle, WA 98195 USA.</t>
  </si>
  <si>
    <t>seelye@uw.edu</t>
  </si>
  <si>
    <t>Martin, Seelye/0000-0003-0700-0364</t>
  </si>
  <si>
    <t>10.1017/aog.2023.8</t>
  </si>
  <si>
    <t>WOS:000972155600001</t>
  </si>
  <si>
    <t>Rzoska-Smith, E; Stelzer, R; Monterio, M; Cary, SC; Williamson, A</t>
  </si>
  <si>
    <t>Rzoska-Smith, Elizabeth; Stelzer, Ronja; Monterio, Maria; Cary, Stephen C.; Williamson, Adele</t>
  </si>
  <si>
    <t>DNA repair enzymes of the Antarctic Dry Valley metagenome</t>
  </si>
  <si>
    <t>FRONTIERS IN MICROBIOLOGY</t>
  </si>
  <si>
    <t>Antarctic Dry Valleys; metagenome; sequence similarity network; DNA repair; nuclease; DNA ligase</t>
  </si>
  <si>
    <t>JUNCTION RESOLVASE HJC; DEINOCOCCUS-RADIODURANS; BACTERIAL-DNA; STRUCTURAL BASIS; GENETIC-ANALYSIS; UV DAMAGE; PROTEIN; LIGASE; STABILITY; IDENTIFICATION</t>
  </si>
  <si>
    <t>Microbiota inhabiting the Dry Valleys of Antarctica are subjected to multiple stressors that can damage deoxyribonucleic acid (DNA) such as desiccation, high ultraviolet light (UV) and multiple freeze-thaw cycles. To identify novel or highly-divergent DNA-processing enzymes that may enable effective DNA repair, we have sequenced metagenomes from 30 sample-sites which are part of the most extensive Antarctic biodiversity survey undertaken to date. We then used these to construct wide-ranging sequence similarity networks from protein-coding sequences and identified candidate genes involved in specialized repair processes including unique nucleases as well as a diverse range of adenosine triphosphate (ATP) -dependent DNA ligases implicated in stationary-phase DNA repair processes. In one of the first direct investigations of enzyme function from these unique samples, we have heterologously expressed and assayed a number of these enzymes, providing insight into the mechanisms that may enable resident microbes to survive these threats to their genomic integrity.</t>
  </si>
  <si>
    <t>[Rzoska-Smith, Elizabeth; Stelzer, Ronja; Williamson, Adele] Univ Waikato, Sch Sci, Prot &amp; Microbes Lab, Hamilton, New Zealand; [Monterio, Maria; Cary, Stephen C.] Univ Waikato, Sch Sci, Thermophile Res Unit, Hamilton, New Zealand</t>
  </si>
  <si>
    <t>University of Waikato; University of Waikato</t>
  </si>
  <si>
    <t>Williamson, A (corresponding author), Univ Waikato, Sch Sci, Prot &amp; Microbes Lab, Hamilton, New Zealand.</t>
  </si>
  <si>
    <t>adele.williamson@waikato.ac.nz</t>
  </si>
  <si>
    <t>Williamson, Adele/0000-0001-8139-1071</t>
  </si>
  <si>
    <t>1664-302X</t>
  </si>
  <si>
    <t>FRONT MICROBIOL</t>
  </si>
  <si>
    <t>Front. Microbiol.</t>
  </si>
  <si>
    <t>10.3389/fmicb.2023.1156817</t>
  </si>
  <si>
    <t>E5DH3</t>
  </si>
  <si>
    <t>WOS:000975738700001</t>
  </si>
  <si>
    <t>Lin, N; Chi, H; Ni, L; Zhang, H; Liu, ZD</t>
  </si>
  <si>
    <t>Lin, Na; Chi, Hai; Ni, Ling; Zhang, Hong; Liu, Zhidong</t>
  </si>
  <si>
    <t>Study on the Sensitization and Antigenic Epitopes of Tropomyosin from Antarctic Krill (Euphausia superba)</t>
  </si>
  <si>
    <t>JOURNAL OF AGRICULTURAL AND FOOD CHEMISTRY</t>
  </si>
  <si>
    <t>Antarctic krill; tropomyosin; allergen; sensitization; antigenic epitopes</t>
  </si>
  <si>
    <t>MAJOR SHRIMP ALLERGEN; FOOD ALLERGY; IN-VITRO; PENAEUS-MONODON; ARGININE KINASE; BALB/C MICE; REACTIVITY; PROTEINS; IDENTIFICATION; CRUSTACEANS</t>
  </si>
  <si>
    <t>Antarctic krill (Euphausia superba), a shrimp-like marine crustacean, has become a beneficial source of high-quality animal protein. Meanwhile, a special focus has been placed on its potential sensitization issue. In this study, a 35 kDa protein was purified and identified to be Antarctic krill tropomyosin (AkTM) by high-performance liquid chromatography-tandem mass spectrometry (HPLC-MS/MS). The purified TM showed a strong IgE-binding capacity to shrimp/crab-allergic patients' sera, indicating that TM is the primary allergen in Antarctic krill. Simulated gastrointestinal digestion revealed that the digestion stability of TM to pepsin was higher than that to trypsin. The strong degranulation triggered by TM in RBL-2H3 cells suggested that AkTM has a strong sensitization capacity. The TM-sensitized BALB/c mice displayed severe anaphylactic symptoms; high levels of TM-specific IgE, sIgG1, and histamine; and increased IL-4, indicating that AkTM could provoke IgE-mediated allergic reactions. Bioinformatics prediction, indirect competition ELISA, and mast cell degranulation assay were used to map the antigenic epitopes of AkTM. Finally, nine peptides of T43-58, T88-101, T111-125, T133-143, T144-155, T183-197, T223-236, T249-261, and T263-281 were identified as the linear epitopes of AkTM. The findings may help us develop efficient food processing techniques to reduce krill allergy and gain a deeper comprehension of the allergenicity of krill allergens.</t>
  </si>
  <si>
    <t>[Lin, Na; Chi, Hai; Ni, Ling; Liu, Zhidong] Chinese Acad Fishery Sci, East China Sea Fisheries Res Inst, Shanghai 200090, Peoples R China; [Zhang, Hong] Zhejiang Gongshang Univ, Sch Food Sci &amp; Biol Engn, Hangzhou 310018, Zhejiang, Peoples R China</t>
  </si>
  <si>
    <t>Chinese Academy of Fishery Sciences; East China Sea Fisheries Research Institute, CAFS; Zhejiang Gongshang University</t>
  </si>
  <si>
    <t>Lin, N; Liu, ZD (corresponding author), Chinese Acad Fishery Sci, East China Sea Fisheries Res Inst, Shanghai 200090, Peoples R China.</t>
  </si>
  <si>
    <t>lina903368043@163.com; zd-liu@hotmail.com</t>
  </si>
  <si>
    <t>Zhang, hong/0000-0002-3930-0882; Lin, Na/0000-0002-7426-2199</t>
  </si>
  <si>
    <t>National Natural Science Foundation of China [32001624]</t>
  </si>
  <si>
    <t>National Natural Science Foundation of China(National Natural Science Foundation of China (NSFC))</t>
  </si>
  <si>
    <t>ACKNOWLEDGMENTS This research received funding from the National Natural Science Foundation of China (grant number 32001624) .</t>
  </si>
  <si>
    <t>AMER CHEMICAL SOC</t>
  </si>
  <si>
    <t>1155 16TH ST, NW, WASHINGTON, DC 20036 USA</t>
  </si>
  <si>
    <t>0021-8561</t>
  </si>
  <si>
    <t>1520-5118</t>
  </si>
  <si>
    <t>J AGR FOOD CHEM</t>
  </si>
  <si>
    <t>J. Agric. Food Chem.</t>
  </si>
  <si>
    <t>2023 APR 14</t>
  </si>
  <si>
    <t>10.1021/acs.jafc.3c00159</t>
  </si>
  <si>
    <t>Agriculture, Multidisciplinary; Chemistry, Applied; Food Science &amp; Technology</t>
  </si>
  <si>
    <t>Agriculture; Chemistry; Food Science &amp; Technology</t>
  </si>
  <si>
    <t>E0LF1</t>
  </si>
  <si>
    <t>WOS:000972545600001</t>
  </si>
  <si>
    <t>Holmberg, SM; Jorgensen, NOG</t>
  </si>
  <si>
    <t>Holmberg, Sif Marie; Jorgensen, Niels O. G.</t>
  </si>
  <si>
    <t>Insights into abundance, adaptation and activity of prokaryotes in arctic and Antarctic environments</t>
  </si>
  <si>
    <t>Microorganisms; Permafrost soils; Ice; Microbial abundance and adaptation; Methanogenesis and methanotrophy; Oil degradation; Transformation of pollutants</t>
  </si>
  <si>
    <t>COLWELLIA-PSYCHRERYTHRAEA; SUBZERO TEMPERATURES; LAKE VOSTOK; SEA-ICE; PERMAFROST; BACTERIA; BIODIVERSITY; BIODEGRADATION; BIOREMEDIATION; MICROORGANISMS</t>
  </si>
  <si>
    <t>Microorganisms perform many important functions in Arctic and Antarctic environments, but their activity and occurrence can be difficult to detect. At sub-zero temperatures, many bacteria retain their viability, but they may stay inactive for long periods. In this review, we describe essential elements of adaptation, abundance and activity of microorganisms in Arctic and Antarctic environments, and we give examples on their participation in key biogeochemical processes in permafrost soils, snow and ice. Microbes have adapted to low temperatures by adjusting the content of fatty acids and proteins in the cell membranes, and some bacteria produce a thicker cell wall. In the cytoplasm, cryoprotectants reduce freezing effects, chaperones ensure correct folding of macromolecules, and enzyme are optimized by lowering enthalpy and increasing the proportion of alpha- vs beta-helices. Abundant microbial taxa in cold environments often belong to Proteobacteria, Actinobacteria and Acidobacteria, possibly due to their ability to survive at low nutrient levels and a high metabolic diversity, e.g., production of extracellular enzymes and fixation of N-2. Some bacteria demonstrate growth at subzero temperatures (lower than - 10 degrees C) by adjusting vital processes, e.g., protein synthesis, maintenance metabolism and by reducing mobility. Important microbial ecosystem functions are exemplified by cycling of methane in oxic and anoxic conditions and by bioremediation of oil spills by indigenous microbes. Further, the significance of microbial transformation of the pollutants mercury, polychlorinated biphenyls (PCBs) and perfluorinated alkylated substances (PFAS) in polar regions is discussed.</t>
  </si>
  <si>
    <t>[Holmberg, Sif Marie; Jorgensen, Niels O. G.] Univ Copenhagen, Dept Plant &amp; Environm Sci, Sect Microbial Ecol &amp; Biotechnol, DK-1871 Frederiksberg, Denmark</t>
  </si>
  <si>
    <t>University of Copenhagen</t>
  </si>
  <si>
    <t>Jorgensen, NOG (corresponding author), Univ Copenhagen, Dept Plant &amp; Environm Sci, Sect Microbial Ecol &amp; Biotechnol, DK-1871 Frederiksberg, Denmark.</t>
  </si>
  <si>
    <t>sifholmberg@gmail.com; nogj@plen.ku.dk</t>
  </si>
  <si>
    <t>Jorgensen, Niels O G/G-4176-2014</t>
  </si>
  <si>
    <t>Jorgensen, Niels O G/0000-0002-3554-6906</t>
  </si>
  <si>
    <t>10.1007/s00300-023-03137-5</t>
  </si>
  <si>
    <t>WOS:000968270900001</t>
  </si>
  <si>
    <t>Evans, K; Reddy, SM; Merle, R; Fougerouse, D; Rickard, WDA; Saxey, DW; Park, JW; Doucet, L; Jourdan, F</t>
  </si>
  <si>
    <t>Evans, Katy; Reddy, Steven M.; Merle, Renaud; Fougerouse, Denis; Rickard, William D. A.; Saxey, David W.; Park, Jung-Woo; Doucet, Luc; Jourdan, Fred</t>
  </si>
  <si>
    <t>The origin of platinum group minerals in oceanic crust</t>
  </si>
  <si>
    <t>GEOLOGY</t>
  </si>
  <si>
    <t>SERPENTINIZATION; PERIDOTITES; SULFIDES; ALLOYS</t>
  </si>
  <si>
    <t>Highly siderophile elements (HSEs), including Re and Os, are used extensively as geochemical tracers and geochronometers to investigate the formation and evolution of Earth's crust and mantle. Mantle rocks are commonly serpentinized, but the effect of serpentinization on the distribution of HSEs is controversial because HSEs are commonly hosted by rare, micrometer to sub-micrometer-scale grains of platinum group minerals (PGMs) of ambiguous origin that are challenging to identify, characterize, and interpret. In this study, atom probe tomography (APT) is used to characterize two spatially close PGM grains hosted by a partially serpentinized harzburgite from Macquarie Island, Australia. The APT data reveal an extraordinary level of detail that provides insights into the origin of a complex Cu-Pt alloy grain (average composition similar to Cu4Pt). The grain hosts Fe-, Ni-, and Pt-rich sub-grains associated with Rh, variably overlapping networks of Pd-and Cd-enrichment, and OH-rich volumes identified as fluid inclusions. Osmium and Ru are hosted by an idioblastic laurite (RuS2) grain. Compositional, textural, and phase-diagram constraints are consistent with a modified pre-serpentinization origin for the PGMs, and a comparison between observed and calculated grain distributions indicate that while Os isotope ratios were probably unaffected by serpentinization, whole-rock and grain-scale HSE and isotopic ratios may have been decoupled during serpentinization.</t>
  </si>
  <si>
    <t>[Evans, Katy; Reddy, Steven M.; Fougerouse, Denis; Doucet, Luc; Jourdan, Fred] Curtin Univ, Sch Earth &amp; Planetary Sci, GPO Box U1985, Perth, WA 6845, Australia; [Merle, Renaud] Uppsala Univ, Dept Earth Sci, S-75236 Uppsala, Sweden; [Rickard, William D. A.; Saxey, David W.] Curtin Univ, John Laeter Ctr, GPO Box U1985, Perth, WA 6845, Australia; [Park, Jung-Woo] Seoul Natl Univ, Sch Earth &amp; Environm Sci, Seoul 08826, South Korea</t>
  </si>
  <si>
    <t>Curtin University; Uppsala University; Curtin University; Seoul National University (SNU)</t>
  </si>
  <si>
    <t>Evans, K (corresponding author), Curtin Univ, Sch Earth &amp; Planetary Sci, GPO Box U1985, Perth, WA 6845, Australia.</t>
  </si>
  <si>
    <t>k.evans@curtin.edu.au</t>
  </si>
  <si>
    <t>Evans, Katy A/G-5748-2011; Park, Jung-Woo/I-3500-2015; Fougerouse, Denis/AAV-4909-2021; merle, renaud e./ABG-7421-2020; Reddy, Steven/A-9149-2008; Saxey, David/H-5782-2014; Rickard, William/E-9963-2013</t>
  </si>
  <si>
    <t>Park, Jung-Woo/0000-0002-3792-451X; merle, renaud e./0000-0001-9018-6862; Reddy, Steven/0000-0002-4726-5714; Doucet, Luc/0000-0002-7542-0582; Saxey, David/0000-0001-7433-946X; Fougerouse, Denis/0000-0003-3346-1121; Evans, Katy/0000-0001-5144-4507; Rickard, William/0000-0002-8118-730X</t>
  </si>
  <si>
    <t>Australian Research Council [DP210101866, DP210102625]; National Research Foundation of Korea - Ministry of Science and ICT, South Korea; Evans, Merle; Australian Antarctic Division [2022R1A2C1011741]; TiGeR (The Institute of Geoscience Research) at Curtin University; [4444]</t>
  </si>
  <si>
    <t>Australian Research Council(Australian Research Council); National Research Foundation of Korea - Ministry of Science and ICT, South Korea(National Research Foundation of Korea); Evans, Merle; Australian Antarctic Division; TiGeR (The Institute of Geoscience Research) at Curtin University;</t>
  </si>
  <si>
    <t>Reddy and Evans acknowledge support from TiGeR (The Institute of Geoscience Research) at Curtin University and Australian Research Council Discovery grants DP210101866 and DP210102625. Whole-rock PGE analyses were funded by a Mid-Career Researcher Program (2022R1A2C1011741) through the National Research Foundation of Korea funded by the Ministry of Science and ICT, South Korea. Evans, Merle, and Jourdan acknowledge field-work support provided by the Australian Antarctic Division, Project 4444, A. Turbett, M. Raymond, L. Cabris, C. Lawley, and M. Bizimis are thanked for constructive reviews.</t>
  </si>
  <si>
    <t>GEOLOGICAL SOC AMER, INC</t>
  </si>
  <si>
    <t>BOULDER</t>
  </si>
  <si>
    <t>PO BOX 9140, BOULDER, CO 80301-9140 USA</t>
  </si>
  <si>
    <t>0091-7613</t>
  </si>
  <si>
    <t>1943-2682</t>
  </si>
  <si>
    <t>JUN 1</t>
  </si>
  <si>
    <t>10.1130/G50927.1</t>
  </si>
  <si>
    <t>J5YK3</t>
  </si>
  <si>
    <t>Green Submitted, hybrid, Green Published</t>
  </si>
  <si>
    <t>WOS:000982534500001</t>
  </si>
  <si>
    <t>Severi, M; Becagli, S; Caiazzo, L; Nardin, R; Toccafondi, A; Traversi, R</t>
  </si>
  <si>
    <t>Severi, Mirko; Becagli, Silvia; Caiazzo, Laura; Nardin, Raffaello; Toccafondi, Alberto; Traversi, Rita</t>
  </si>
  <si>
    <t>The 239Pu nuclear fallout as recorded in an Antarctic ice core drilled at Dome C (East Antarctica)</t>
  </si>
  <si>
    <t>Antarctica; Ice-cores; Nuclear fallout; Plutonium; ICP-MS</t>
  </si>
  <si>
    <t>VOLCANIC SYNCHRONIZATION; PLUTONIUM; ACCUMULATION; CHRONOLOGY; ANTHROPOCENE; VARIABILITY; DEPOSITION; ISOTOPES; GLACIER; SULFATE</t>
  </si>
  <si>
    <t>Starting from 1952 C.E. more than 540 atmospheric nuclear weapons tests (NWT) were conducted in different locations of the Earth. This lead to the injection of about 2.8 t of 239Pu in the environment, roughly corresponding to a total 239Pu radioactivity of 6.5 PBq. A semiquantitative ICP-MS method was used to measure this isotope in an ice core drilled in Dome C (East Antarctica). The age scale for the ice core studied in this work was built by searching for well-known volcanic signatures and synchronising these sulfate spikes with established ice core chronologies. The reconstructed plutonium deposition history was compared with previously published NWT records, pointing out an overall agreement. The geographical location of the tests was found to be an important parameter strongly affecting the concentration of 239Pu on the Antarctic ice sheet. Despite the low yield of the tests conducted in the 1970s, we highlight their important role in the deposition of radioactivity in Antarctica due to the relative closeness of the testing sites.</t>
  </si>
  <si>
    <t>[Severi, Mirko; Becagli, Silvia; Caiazzo, Laura; Nardin, Raffaello; Traversi, Rita] Univ Florence, Dept Chem Ugo Schiff, Florence, Italy; [Severi, Mirko; Becagli, Silvia; Nardin, Raffaello; Traversi, Rita] Inst Polar Sci, ISP CNR, Venice, Italy; [Caiazzo, Laura] Ente Nuove Tecnol l Energia &amp; Ambiente, Rome, Italy; [Toccafondi, Alberto] Univ Siena, Dept Informat Engn &amp; Math, Siena, Italy</t>
  </si>
  <si>
    <t>University of Florence; Consiglio Nazionale delle Ricerche (CNR); Istituto di Scienze Polari (ISP-CNR); University of Siena</t>
  </si>
  <si>
    <t>Severi, M (corresponding author), Univ Florence, Dept Chem Ugo Schiff, Florence, Italy.</t>
  </si>
  <si>
    <t>mirko.severi@unifi.it</t>
  </si>
  <si>
    <t>Becagli, Silvia/GNW-2665-2022; Severi, Mirko/J-2508-2012</t>
  </si>
  <si>
    <t>TOCCAFONDI, Alberto/0000-0001-7492-9902; Severi, Mirko/0000-0003-1511-6762</t>
  </si>
  <si>
    <t>2016 Italian National Antarctic Program (MIUR-PNRA) [PNRA 2016/AC3.05]; Italian Ministry of University and Research (MIUR) within the framework of the project Innovative Analytical Methods to study biogenic and anthropogenic proxies in Ice Cores AMICO (MIUR-PRIN 2017); Ente Cassa di Risparmio di Firenze (ECRF)</t>
  </si>
  <si>
    <t>2016 Italian National Antarctic Program (MIUR-PNRA); Italian Ministry of University and Research (MIUR) within the framework of the project Innovative Analytical Methods to study biogenic and anthropogenic proxies in Ice Cores AMICO (MIUR-PRIN 2017); Ente Cassa di Risparmio di Firenze (ECRF)(Fondazione Cassa Risparmio Firenze)</t>
  </si>
  <si>
    <t>This research was financially supported by the 2016 Italian National Antarctic Program (MIUR-PNRA) in the framework of the PNRA 2016/AC3.05 project. This research was also funded by the Italian Ministry of University and Research (MIUR) within the framework of the project Innovative Analytical Methods to study biogenic and anthropogenic proxies in Ice Cores AMICO (MIUR-PRIN 2017). The field operations benefited from the support of the French-Italian Concordia Station. This work was also partially supported by Ente Cassa di Risparmio di Firenze (ECRF). M.S., R.T. and S. B. thank MIUR-Italy (Progetto Dipartimenti di Eccellenza 2018-2022 allocated to Department of Chemistry Ugo Schiff). We thank M. Pasquale and A. Verrocchi for their help in the cold room operations and in the IC analysis. We would also like to acknowledge the Norwegian Polar Institute for the use of the Qantarctica package, used to draw the map in Fig. 2.</t>
  </si>
  <si>
    <t>10.1016/j.chemosphere.2023.138674</t>
  </si>
  <si>
    <t>F6TE9</t>
  </si>
  <si>
    <t>WOS:000983642000001</t>
  </si>
  <si>
    <t>Clark, MS</t>
  </si>
  <si>
    <t>Clark, Melody S. S.</t>
  </si>
  <si>
    <t>Letter to Professor Currie</t>
  </si>
  <si>
    <t>CELL STRESS &amp; CHAPERONES</t>
  </si>
  <si>
    <t>Letter</t>
  </si>
  <si>
    <t>[Clark, Melody S. S.] Nat Environm Res Council NERC UKRI, British Antarctic Survey, Madingley Rd, Cambridge CB3 0ET, England</t>
  </si>
  <si>
    <t>Clark, MS (corresponding author), Nat Environm Res Council NERC UKRI, British Antarctic Survey, Madingley Rd, Cambridge CB3 0ET, England.</t>
  </si>
  <si>
    <t>mscl@bas.ac.uk</t>
  </si>
  <si>
    <t>Clark, Melody S/D-7371-2014</t>
  </si>
  <si>
    <t>1355-8145</t>
  </si>
  <si>
    <t>1466-1268</t>
  </si>
  <si>
    <t>CELL STRESS CHAPERON</t>
  </si>
  <si>
    <t>Cell Stress Chaperones</t>
  </si>
  <si>
    <t>10.1007/s12192-023-01344-x</t>
  </si>
  <si>
    <t>AI9Y8</t>
  </si>
  <si>
    <t>WOS:000971712000002</t>
  </si>
  <si>
    <t>Krafft, BA; Krag, LA; Pedersen, R; Ona, E; Macaulay, G</t>
  </si>
  <si>
    <t>Krafft, Bjorn Arne; Krag, Ludvig A.; Pedersen, Ronald; Ona, Egil; Macaulay, Gavin</t>
  </si>
  <si>
    <t>Antarctic krill (Euphausia superba) catch weight estimated with a trawl-mounted echosounder during fishing</t>
  </si>
  <si>
    <t>FISHERIES MANAGEMENT AND ECOLOGY</t>
  </si>
  <si>
    <t>echo-integration; echosounder; fisheries management; krill; weight</t>
  </si>
  <si>
    <t>TARGET-STRENGTH MODEL; VERTICAL MIGRATION; OCEAN MEASUREMENTS; INDIVIDUAL FISH; SOUTHERN-OCEAN; AGGREGATION; BEHAVIOR; TRACKING</t>
  </si>
  <si>
    <t>Reporting reliable catch weight estimates is important for all fisheries management. This study explores the potential for precise and direct estimation of catch weight (green weight) for the Antarctic krill (Euphausia superba) fishery by employing a high frequency acoustic sensor in the trawl. Trials were performed off the coast of the South Orkney Islands during February 2020 using a scientific macroplankton trawl and echosounder providing a 18 degrees beam pointing downwards across the fishing circle at the trawl mouth. The acoustically estimated catch weight and the observed catch weight had a linear relationship (R-2 = 0.87, F(1,10) = 69.6, p &lt; 0.000) where the acoustically estimated catch weight significantly predicted actual catch weight (beta = 1.20, p = 0.000). The acoustic vertical densities of krill increased toward the center of the trawl opening suggesting that krill were herded during fishing. The current study demonstrates that acoustically based catch weight monitoring has the potential to be used for reporting total krill catch weight in each trawl, potentially in real-time, and that similar methods could also be employed in similar types of trawl fisheries.</t>
  </si>
  <si>
    <t>[Krafft, Bjorn Arne; Pedersen, Ronald; Ona, Egil; Macaulay, Gavin] Inst Marine Res, POB 1870, NO-5817 Bergen, Norway; [Krag, Ludvig A.] Natl Inst Aquat Resources, DTU Aqua, DK-9850 Hirtshals, Denmark</t>
  </si>
  <si>
    <t>Institute of Marine Research - Norway; Technical University of Denmark</t>
  </si>
  <si>
    <t>Krafft, BA (corresponding author), Inst Marine Res, POB 1870, NO-5817 Bergen, Norway.</t>
  </si>
  <si>
    <t>bjorn.krafft@imr.no</t>
  </si>
  <si>
    <t>Krag, Ludvig Ahm/0000-0002-1531-1499</t>
  </si>
  <si>
    <t>Havforskningsinstituttet; Royal Norwegian Ministry of Fisheries and Coastal Affairs</t>
  </si>
  <si>
    <t>0969-997X</t>
  </si>
  <si>
    <t>1365-2400</t>
  </si>
  <si>
    <t>FISHERIES MANAG ECOL</t>
  </si>
  <si>
    <t>Fisheries Manag. Ecol.</t>
  </si>
  <si>
    <t>10.1111/fme.12625</t>
  </si>
  <si>
    <t>Fisheries</t>
  </si>
  <si>
    <t>F6XE2</t>
  </si>
  <si>
    <t>WOS:000970404400001</t>
  </si>
  <si>
    <t>Halberstadt, ARW; Balco, G; Buchband, H; Spector, P</t>
  </si>
  <si>
    <t>Halberstadt, Anna Ruth W.; Balco, Greg; Buchband, Hannah; Spector, Perry</t>
  </si>
  <si>
    <t>Cosmogenic-nuclide data from Antarctic nunataks can constrain past ice sheetinstabilities</t>
  </si>
  <si>
    <t>WEDDELL SEA EMBAYMENT; EXPOSURE AGES; DRY-VALLEYS; SHACKLETON RANGE; GLACIAL HISTORY; EAST ANTARCTICA; SIRIUS GROUP; SHEET; PLIOCENE; BE-10</t>
  </si>
  <si>
    <t>We apply geologic evidence from ice-free areas in Antarctica to evaluate model simulations of ice sheet response to warm climates. This is important because such simulations are used to predict ice sheet behaviour in future warm climates, but geologic evidence of smaller-thanpresent past ice sheets is buried under the present ice sheet and therefore generally unavailable for model benchmarking. We leverage an alternative accessible geologic dataset for this purpose: cosmogenic-nuclide concentrations in bedrock surfaces of interior nunataks. These data produce a frequency distribution of ice thickness over multimillion-year periods, which is also simulated by ice sheet modelling. End-member transient models, parameterized with strong and weak marine ice sheet instability processes and ocean temperature forcings, simulate large and small sea-level impacts during warm periods and also predict contrasting and distinct frequency distributions of ice thickness. We identify regions of Antarctica where predicted frequency distributions reveal differences in end-member ice sheet behaviour. We then demonstrate that a single comprehensive dataset from one bedrock site in West Antarctica is sufficiently detailed to show that the data are consistent only with a weak marine ice sheet instability end-member, but other less extensive datasets are insufficient and/or ambiguous. Finally, we highlight locations where collecting additional data could constrain the amplitude of past and therefore future response to warm climates.</t>
  </si>
  <si>
    <t>[Halberstadt, Anna Ruth W.; Balco, Greg; Buchband, Hannah; Spector, Perry] Berkeley Geochronol Ctr, Berkeley, CA 94709 USA</t>
  </si>
  <si>
    <t>Berkeley Geochronolgy Center</t>
  </si>
  <si>
    <t>Halberstadt, ARW (corresponding author), Berkeley Geochronol Ctr, Berkeley, CA 94709 USA.</t>
  </si>
  <si>
    <t>ahalberstadt@bgc.org</t>
  </si>
  <si>
    <t>Halberstadt, Anna Ruth/JPW-9990-2023</t>
  </si>
  <si>
    <t>Office of Polar Programs [2138556, 1744771]</t>
  </si>
  <si>
    <t>Office of Polar Programs(National Science Foundation (NSF)NSF - Directorate for Geosciences (GEO))</t>
  </si>
  <si>
    <t>This research has been supported by the Office of Polar Programs (grant nos. 2138556 and 1744771).</t>
  </si>
  <si>
    <t>APR 13</t>
  </si>
  <si>
    <t>10.5194/tc-17-1623-2023</t>
  </si>
  <si>
    <t>D7MC3</t>
  </si>
  <si>
    <t>Green Submitted, gold</t>
  </si>
  <si>
    <t>WOS:000970521200001</t>
  </si>
  <si>
    <t>Jackett, C; Althaus, F; Maguire, K; Farazi, M; Scoulding, B; Untiedt, C; Ryan, T; Shanks, P; Brodie, P; Williams, A</t>
  </si>
  <si>
    <t>Jackett, Chris; Althaus, Franziska; Maguire, Kylie; Farazi, Moshiur; Scoulding, Ben; Untiedt, Candice; Ryan, Tim; Shanks, Peter; Brodie, Pamela; Williams, Alan</t>
  </si>
  <si>
    <t>A benthic substrate classification method for seabed images using deep learning: Application to management of deep-sea coral reefs</t>
  </si>
  <si>
    <t>JOURNAL OF APPLIED ECOLOGY</t>
  </si>
  <si>
    <t>benthic substrate; coral matrix; deep learning; deep sea; image classification; machine learning; Solenosmilia variabilis; vulnerable marine ecosystems</t>
  </si>
  <si>
    <t>ASSEMBLAGES</t>
  </si>
  <si>
    <t>Protecting deep-sea coral-based vulnerable marine ecosystems (VMEs) from human impacts, particularly bottom trawling, is a major conservation challenge in world oceans. Management processes for these ecosystems are weakened by key uncertainties that could be substantially addressed by having much greater volumes of quantitative image-derived data that detail the distribution and abundance of coral reefs and the nature of impacts upon them. Considerably greater volumes of data could be available if the resource costs of image annotation are reduced.In this paper we propose a solution: a deep learning system capable of automatically identifying reef-building stony corals amongst other seabed substrata in much larger volumes of seabed imagery than was previously possible. Using a previously annotated dataset, we trained a convolutional neural network on approximately 70,000 classified images ('snips') comprising six benthic substrate classes, including reef-building stony coral-'coral matrix'.Model performance improvements, chiefly by dataset cleaning, transfer learning and hyperparameter optimisation, resulted in the final trained model achieving validation accuracy of 98.19%. The classification was robust: benthic substrate types were accurately differentiated, and in some cases more consistently than was achieved by human annotators.Synthesis and applications. The availability of much larger volumes of automatically annotated image-derived data will improve spatial management of impacts on coral-based VMEs in the deep sea by (1) improved cross-validation and performance of spatial models required to predict coral distribution and abundance over the large scales of managed areas, and (2) establishing empirical relationships between coral abundance on the seabed and coral bycatch landed during fishing operations.</t>
  </si>
  <si>
    <t>[Jackett, Chris; Althaus, Franziska; Maguire, Kylie; Scoulding, Ben; Untiedt, Candice; Ryan, Tim; Williams, Alan] CSIRO Environm, Hobart, Tas, Australia; [Farazi, Moshiur] CSIRO Data61, Canberra, ACT, Australia; [Shanks, Peter] Australian Antarctic Div, Hobart, Tas, Australia; [Brodie, Pamela] CSIRO NCMI, Hobart, Tas, Australia</t>
  </si>
  <si>
    <t>Commonwealth Scientific &amp; Industrial Research Organisation (CSIRO); Australian Antarctic Division; Commonwealth Scientific &amp; Industrial Research Organisation (CSIRO)</t>
  </si>
  <si>
    <t>Jackett, C (corresponding author), CSIRO Environm, Hobart, Tas, Australia.</t>
  </si>
  <si>
    <t>chris.jackett@csiro.au</t>
  </si>
  <si>
    <t>Jackett, Christopher/E-8742-2011; Scoulding, Ben/L-6200-2018; Althaus, Franziska/E-4660-2017</t>
  </si>
  <si>
    <t>Jackett, Christopher/0000-0003-1132-1558; Farazi, Moshiur/0000-0003-1494-5921; ryan, tim/0000-0002-4857-9846; Scoulding, Ben/0000-0002-9358-736X; Shanks, Peter/0000-0001-6840-6785; Althaus, Franziska/0000-0002-5336-4612; maguire, kylie/0000-0001-5373-0531</t>
  </si>
  <si>
    <t>CSIRO Oceans and Atmosphere and Parks Australia - CSIRO's Oceans and Atmosphere; Commonwealth Scientific and Industrial Research Organisation</t>
  </si>
  <si>
    <t>CSIRO Oceans and Atmosphere and Parks Australia - CSIRO's Oceans and Atmosphere; Commonwealth Scientific and Industrial Research Organisation(Commonwealth Scientific &amp; Industrial Research Organisation (CSIRO))</t>
  </si>
  <si>
    <t>Commonwealth Scientific and Industrial Research Organisation</t>
  </si>
  <si>
    <t>0021-8901</t>
  </si>
  <si>
    <t>1365-2664</t>
  </si>
  <si>
    <t>J APPL ECOL</t>
  </si>
  <si>
    <t>J. Appl. Ecol.</t>
  </si>
  <si>
    <t>10.1111/1365-2664.14408</t>
  </si>
  <si>
    <t>M6SO6</t>
  </si>
  <si>
    <t>WOS:000970485600001</t>
  </si>
  <si>
    <t>Lau, SCY; Strugnell, JM; Sands, CJ; Silva, CNS; Wilson, NG</t>
  </si>
  <si>
    <t>Lau, Sally C. Y.; Strugnell, Jan M.; Sands, Chester J.; Silva, Catarina N. S.; Wilson, Nerida G.</t>
  </si>
  <si>
    <t>Genomic insights of evolutionary divergence and life histories innovations in Antarctic brittle stars</t>
  </si>
  <si>
    <t>MOLECULAR ECOLOGY</t>
  </si>
  <si>
    <t>echinoderms; life history evolution; molecular evolution; population genetics-empirical</t>
  </si>
  <si>
    <t>POPULATION GENETIC-STRUCTURE; LAST GLACIAL MAXIMUM; SOUTHERN-OCEAN; ECHINODERMATA-OPHIUROIDEA; CRYPTIC SPECIATION; ICE-SHEET; SELECTION; SEA; DIVERSIFICATION; CIRCUMPOLARITY</t>
  </si>
  <si>
    <t>Understanding the drivers of evolutionary innovation provides a crucial perspective of how evolutionary processes unfold across taxa and ecological systems. It has been hypothesised that the Southern Ocean provided ecological opportunities for novelty in the past. However, the drivers of innovation are challenging to pinpoint as the evolutionary genetics of Southern Ocean fauna are influenced by Quaternary glacial-interglacial cycles, oceanic currents and species ecology. Here we examined the genome-wide single nucleotide polymorphisms of the Southern Ocean brittle stars Ophionotus victoriae (five arms, broadcaster) and O. hexactis (six arms, brooder). We found that O. victoriae and O. hexactis are closely-related species with interspecific gene flow. During the late Pleistocene, O. victoriae likely persisted in a connected deep water refugium and in situ refugia on the Antarctic continental shelf and around Antarctic islands; O. hexactis persisted exclusively within in situ island refugia. Within O. victoriae, contemporary gene flow linking to the Antarctic Circumpolar Current, regional gyres and other local oceanographic regimes was observed. Gene flow connecting West and East Antarctic islands near the Polar Front was also detected in O. hexactis. A strong association was detected between outlier loci and salinity in O. hexactis. Both O. victoriae and O. hexactis are associated with genome-wide increase in alleles at intermediate-frequencies; the alleles associated with this peak appear to be species specific, and these intermediate-frequency variants are far more excessive in O. hexactis. We hypothesise that the peak in alleles at intermediate frequencies could be related to adaptation in the recent past, linked to evolutionary innovations of increase in arm number and a switch to brooding from broadcasting, in O. hexactis.</t>
  </si>
  <si>
    <t>[Lau, Sally C. Y.; Strugnell, Jan M.; Silva, Catarina N. S.] James Cook Univ, Ctr Sustainable Trop Fisheries &amp; Aquaculture, Townsville, Qld, Australia; [Lau, Sally C. Y.; Strugnell, Jan M.] James Cook Univ, Securing Antarct Environm Future, Townsville, Qld, Australia; [Strugnell, Jan M.] La Trobe Univ, Sch Life Sci, Dept Ecol Environm &amp; Evolut, Melbourne, Vic, Australia; [Sands, Chester J.] NERC, British Antarctic Survey, Cambridge, England; [Wilson, Nerida G.] Western Australian Museum, Collect &amp; Res, Welshpool, WA, Australia; [Wilson, Nerida G.] Univ Western Australia, Sch Biol Sci, Crawley, WA, Australia; [Wilson, Nerida G.] Western Australian Museum, Securing Antarct Environm Future, Welshpool, WA, Australia</t>
  </si>
  <si>
    <t>James Cook University; James Cook University; Melbourne Genomics Health Alliance; La Trobe University; UK Research &amp; Innovation (UKRI); Natural Environment Research Council (NERC); NERC British Antarctic Survey; Western Australian Museum; University of Western Australia; Western Australian Museum</t>
  </si>
  <si>
    <t>Lau, SCY (corresponding author), James Cook Univ, Ctr Sustainable Trop Fisheries &amp; Aquaculture, Townsville, Qld, Australia.</t>
  </si>
  <si>
    <t>cheukying.lau@jcu.edu.au</t>
  </si>
  <si>
    <t>Strugnell, Jan M/P-9921-2016; Wilson, Nerida/G-8433-2011; Nunes Soares Silva, Catarina/A-8402-2008</t>
  </si>
  <si>
    <t>Wilson, Nerida/0000-0002-0784-0200; Sands, Chester/0000-0003-1028-0328; Nunes Soares Silva, Catarina/0000-0001-9401-2616; Lau, Sally/0000-0002-4955-2530; Strugnell, Jan/0000-0003-2994-637X</t>
  </si>
  <si>
    <t>Antarctic Circumnavigation Expedition; Antarctic Science Foundation; Australian Academy of Science; Australian Research Council; David Pearse bequest; National Science Foundation (USA) Office of Polar Programs; [DP190101347]; [1043749]</t>
  </si>
  <si>
    <t>Antarctic Circumnavigation Expedition; Antarctic Science Foundation; Australian Academy of Science; Australian Research Council(Australian Research Council); David Pearse bequest; National Science Foundation (USA) Office of Polar Programs; ;</t>
  </si>
  <si>
    <t>Antarctic Circumnavigation Expedition; Antarctic Science Foundation; Australian Academy of Science; Australian Research Council, Grant/Award Number: DP190101347; David Pearse bequest; National Science Foundation (USA) Office of Polar Programs, Grant/Award Number: 1043749</t>
  </si>
  <si>
    <t>0962-1083</t>
  </si>
  <si>
    <t>1365-294X</t>
  </si>
  <si>
    <t>MOL ECOL</t>
  </si>
  <si>
    <t>Mol. Ecol.</t>
  </si>
  <si>
    <t>10.1111/mec.16951</t>
  </si>
  <si>
    <t>Biochemistry &amp; Molecular Biology; Ecology; Evolutionary Biology</t>
  </si>
  <si>
    <t>Biochemistry &amp; Molecular Biology; Environmental Sciences &amp; Ecology; Evolutionary Biology</t>
  </si>
  <si>
    <t>K5YZ3</t>
  </si>
  <si>
    <t>WOS:000970985800001</t>
  </si>
  <si>
    <t>Monteiro, MR; Marshall, AJ; Lee, CK; McDonald, IR; Cary, SC</t>
  </si>
  <si>
    <t>Monteiro, Maria R.; Marshall, Alexis J.; Lee, Charles K.; McDonald, Ian R.; Cary, S. Craig</t>
  </si>
  <si>
    <t>Bringing Antarctica to the lab: a polar desert environmental chamber to study the response of Antarctic microbial communities to climate change</t>
  </si>
  <si>
    <t>Antarctic terrestrial systems; Time-course experiments; Manipulative studies; Wetness disturbances; Microbial resilience</t>
  </si>
  <si>
    <t>MCMURDO DRY VALLEYS; DIVERSITY; ECOSYSTEM</t>
  </si>
  <si>
    <t>Polar deserts contain unique and sensitive communities responsive to climate-associated habitat changes. However, unlike temperate desert ecosystems, characterizing and predicting the responses of polar ecosystems to environmental change remains a significant challenge due to logistical constraints. Here we aim to demonstrate the use of a custom-designed Polar Desert Environmental Chamber (PDEC) to perform off-continent experimental ecological research. We did so by characterizing the structure and composition of arid edaphic bacterial communities collected from the McMurdo Dry Valleys during a simulated wetting event. The results were discussed in light of previous field observations. Rapid structural and compositional changes were observed during wetting and re-drying treatments. Those were driven by changes in the relative abundance of coexisting taxa, which fluctuated asynchronously over time in response to the treatments. While selection was the main ecological factor influencing communities during dry conditions or the initial wetting, with prolonged exposure to wetness, neutral processes began to drive community assembly. Ultimately, these observations reflect different adaptative responses from microbial taxa to water stress, which can be argued as beneficial to increasing resilience in polar deserts. Our findings demonstrate that experiments conducted in PDEC provide valuable contextual data on community response to environmental change and can accelerate our ability to assess biological thresholds to change within polar desert ecosystems. We advocate that, with careful consideration of key emulated environmental attributes, laboratory-based Antarctic research can complement fieldwork to achieve a nuanced and evidence-based understanding of the ecology of Antarctica's ice-free regions.</t>
  </si>
  <si>
    <t>[Monteiro, Maria R.; Marshall, Alexis J.; Lee, Charles K.; McDonald, Ian R.; Cary, S. Craig] Int Ctr Terr Antarctic Res, Hamilton, New Zealand; [Monteiro, Maria R.; Marshall, Alexis J.; Lee, Charles K.; McDonald, Ian R.; Cary, S. Craig] Univ Waikato, Te Aka Matuatua Sch Sci, Hamilton 3240, New Zealand</t>
  </si>
  <si>
    <t>University of Waikato</t>
  </si>
  <si>
    <t>Cary, SC (corresponding author), Int Ctr Terr Antarctic Res, Hamilton, New Zealand.;Cary, SC (corresponding author), Univ Waikato, Te Aka Matuatua Sch Sci, Hamilton 3240, New Zealand.</t>
  </si>
  <si>
    <t>caryc@waikato.ac.nz</t>
  </si>
  <si>
    <t>McDonald, Ian R/A-4851-2008</t>
  </si>
  <si>
    <t>McDonald, Ian R/0000-0002-4847-6492</t>
  </si>
  <si>
    <t>10.1007/s00300-023-03135-7</t>
  </si>
  <si>
    <t>WOS:000967791300001</t>
  </si>
  <si>
    <t>Pavan, RR; Diniz, F; El-Dahr, S; Tortelote, GG</t>
  </si>
  <si>
    <t>Pavan, Ricardo R.; Diniz, Fabiola; El-Dahr, Samir; Tortelote, Giovane G.</t>
  </si>
  <si>
    <t>Gene length is a pivotal feature to explain disparities in transcript capture between single transcriptome techniques</t>
  </si>
  <si>
    <t>FRONTIERS IN BIOINFORMATICS</t>
  </si>
  <si>
    <t>single-cell RNA sequencing; single-nucleus RNA sequencing; bioinformatic; data analysis; biased gene capture; next-generation sequencing</t>
  </si>
  <si>
    <t>CELL; REVEALS; DISSOCIATION; EXPRESSION; EXPORT</t>
  </si>
  <si>
    <t>The scale and capability of single-cell and single-nucleus RNA-sequencing technologies are rapidly growing, enabling key discoveries and large-scale cell mapping operations. However, studies directly comparing technical differences between single-cell and single-nucleus RNA sequencing are still lacking. Here, we compared three paired single-cell and single-nucleus transcriptomes from three different organs (Heart, Lung and Kidney). Differently from previous studies that focused on cell classification, we explored disparities in the transcriptome output of whole cells relative to the nucleus. We found that the major cell clusters could be recovered by either technique from matched samples, but at different proportions. In 2/3 datasets (kidney and lung) we detected clusters exclusively present with single-nucleus RNA sequencing. In all three organ groups, we found that genomic and gene structural characteristics such as gene length and exon content significantly differed between the two techniques. Genes recovered with the single-nucleus RNA sequencing technique had longer sequence lengths and larger exon counts, whereas single-cell RNA sequencing captured short genes at higher rates. Furthermore, we found that when compared to the whole host genome (mouse for kidney and lung datasets and human for the heart dataset), single transcriptomes obtained with either technique skewed from the expected proportions in several points: a) coding sequence length, b) transcript length and c) genomic span; and d) distribution of genes based on exons counts. Interestingly, the top-100 DEG between the two techniques returned distinctive GO terms. Hence, the type of single transcriptome technique used affected the outcome of downstream analysis. In summary, our data revealed both techniques present disparities in RNA capture. Moreover, the biased RNA capture affected the calculations of basic cellular parameters, raising pivotal points about the limitations and advantages of either single transcriptome techniques.</t>
  </si>
  <si>
    <t>[Pavan, Ricardo R.] Inst Marine &amp; Antarctic Studies IMAS, Taroona, Tas, Australia; [Diniz, Fabiola; El-Dahr, Samir; Tortelote, Giovane G.] Tulane Univ, Sch Med, Dept Pediat, Sect Pediat Nephrol, New Orleans, LA 70112 USA</t>
  </si>
  <si>
    <t>University of Tasmania; Tulane University</t>
  </si>
  <si>
    <t>Tortelote, GG (corresponding author), Tulane Univ, Sch Med, Dept Pediat, Sect Pediat Nephrol, New Orleans, LA 70112 USA.</t>
  </si>
  <si>
    <t>gtortelote@tulane.edu</t>
  </si>
  <si>
    <t>; Rocha Pavan da Silva, Ricardo/Q-5502-2017</t>
  </si>
  <si>
    <t>Cardoso Diniz, Fabiola/0000-0003-3302-0510; Tortelote, Giovane/0000-0002-9312-3442; Rocha Pavan da Silva, Ricardo/0000-0002-7878-2861</t>
  </si>
  <si>
    <t>This work was funded by Tulane School of Medicine Startup Grant to GT.; Tulane School of Medicine Startup Grant</t>
  </si>
  <si>
    <t>We thank all members of GT lab and SE-D lab for helpful discussions and suggestions. We are thankful to Alejandra Lege for her careful revisions and suggestions.r This work was funded by Tulane School of Medicine Startup Grant to GT.</t>
  </si>
  <si>
    <t>2673-7647</t>
  </si>
  <si>
    <t>FRONT BIOINFORM</t>
  </si>
  <si>
    <t>Front. Bioinform.</t>
  </si>
  <si>
    <t>APR 12</t>
  </si>
  <si>
    <t>10.3389/fbinf.2023.1144266</t>
  </si>
  <si>
    <t>Mathematical &amp; Computational Biology</t>
  </si>
  <si>
    <t>U7GB1</t>
  </si>
  <si>
    <t>WOS:001086440100001</t>
  </si>
  <si>
    <t>Gianni, GM; Likerman, J; Navarrete, CR; Gianni, CR; Zlotnik, S</t>
  </si>
  <si>
    <t>Gianni, Guido M.; Likerman, Jeremias; Navarrete, Cesar R.; Gianni, Conrado R.; Zlotnik, Sergio</t>
  </si>
  <si>
    <t>Ghost-arc geochemical anomaly at a spreading ridge caused by supersized flat subduction</t>
  </si>
  <si>
    <t>SHEAR-VELOCITY MODEL; MANTLE PLUME; HETEROGENEITY BENEATH; WAVE TOMOGRAPHY; SLAB; EVOLUTION; DEFORMATION; ISOTOPE; ORIGIN; LITHOSPHERE</t>
  </si>
  <si>
    <t>The Southern Atlantic-Southwest Indian ridges hold mid-ocean ridge basalts with a residual subduction-related geochemical signature, whose origin is unsolved. The study suggests a link to a subduction-modified mantle transported inland &gt;2280 km by a large-scale flat slab event. The Southern Atlantic-Southwest Indian ridges (SASWIR) host mid-ocean ridge basalts with a residual subduction-related geochemical fingerprint (i.e., a ghost-arc signature) of unclear origin. Here, we show through an analysis of plate kinematic reconstructions and seismic tomography models that the SASWIR subduction-modified mantle source formed in the Jurassic close to the Georgia Islands slab (GI) and remained near-stationary in the mantle reference frame. In this analysis, the GI lies far inboard the Jurassic Patagonian-Antarctic Peninsula active margin. This was formerly attributed to a large-scale flat subduction event in the Late Triassic-Early Jurassic. We propose that during this flat slab stage, the subduction-modified mantle areas beneath the Mesozoic active margin and surrounding sutures zones may have been bulldozed inland by &gt;2280 km. After the demise of the flat slab, this mantle anomaly remained near-stationary and was sampled by the Karoo mantle plume 183 Million years (Myr) ago and again since 55 Myr ago by the SASWIR. We refer to this process as asthenospheric anomaly telescoping. This study provides a hitherto unrecognized geodynamic effect of flat subduction, the viability of which we support through numerical modeling.</t>
  </si>
  <si>
    <t>[Gianni, Guido M.; Gianni, Conrado R.] Univ Nacl San Juan, Inst Geofisico Sismol Ing Fernando Volponi IGSV, San Juan, Argentina; [Gianni, Guido M.; Likerman, Jeremias; Navarrete, Cesar R.] Natl Sci &amp; Tech Res Council CONICET, Buenos Aires, Argentina; [Likerman, Jeremias] Univ Buenos Aires, Inst Estudios Andinos Don Pablo Groeber, Buenos Aires, Argentina; [Navarrete, Cesar R.] Univ Nacl Patagonia San Juan Bosco, Lab Patagon Petro Tecton, Comodoro Rivadavia, Chubut, Argentina; [Zlotnik, Sergio] Univ Politecn Cataluna, Lab Calcul Numer, Escola Tecn Super Enginyers Camins Canals &amp; Ports, Barcelona, Spain; [Zlotnik, Sergio] Ctr Int Metodes Numer Engn CIMNE, Barcelona, Spain</t>
  </si>
  <si>
    <t>Universidad Nacional de San Juan; Centro Nacional Patagonico (CENPAT); Consejo Nacional de Investigaciones Cientificas y Tecnicas (CONICET); University of Buenos Aires; Universidad Nacional de la Patagonia San Juan Bosco; Universitat Politecnica de Catalunya; Universitat Politecnica de Catalunya; Centre Internacional de Metodes Numerics en Enginyeria (CIMNE)</t>
  </si>
  <si>
    <t>Zlotnik, S (corresponding author), Univ Politecn Cataluna, Lab Calcul Numer, Escola Tecn Super Enginyers Camins Canals &amp; Ports, Barcelona, Spain.;Zlotnik, S (corresponding author), Ctr Int Metodes Numer Engn CIMNE, Barcelona, Spain.</t>
  </si>
  <si>
    <t>sergio.zlotnik@upc.edu</t>
  </si>
  <si>
    <t>; Zlotnik, Sergio/A-3462-2011</t>
  </si>
  <si>
    <t>Navarrete, Cesar/0000-0001-7106-3672; Likerman, Jeremias/0000-0003-3844-2085; Zlotnik, Sergio/0000-0001-9674-8950; Gianni, Guido Martin/0000-0001-9036-0621; Gianni, Conrado R./0009-0008-1162-9484</t>
  </si>
  <si>
    <t>CONICET; Universidad Nacional de la Patagonia San Juan Bosco [1399]; European Union [777778]; Generalitat de Catalunya [PID2020-113463RB-C32]; MCIN/AEI; [2021 SGR 01049]</t>
  </si>
  <si>
    <t>CONICET(Consejo Nacional de Investigaciones Cientificas y Tecnicas (CONICET)); Universidad Nacional de la Patagonia San Juan Bosco; European Union(European Union (EU)); Generalitat de Catalunya(Generalitat de Catalunya); MCIN/AEI;</t>
  </si>
  <si>
    <t>G. M. G. and C. R. N. recognize the support given by CONICET and the funding given by the Universidad Nacional de la Patagonia San Juan Bosco (Grant number: CIUNPAT no. 1399). S. Z. and J. L. acknowledge the funding from the European Union's Horizon 2020 research and innovation programme under the Marie Sklodowska-Curie grant agreement No 777778. S.Z. acknowledges the funding of Project PID2020-113463RB-C32 funded by MCIN/AEI /10.13039/501100011033 and the funding of Generalitat de Catalunya via the 2021 SGR 01049.</t>
  </si>
  <si>
    <t>10.1038/s41467-023-37799-w</t>
  </si>
  <si>
    <t>I6CN1</t>
  </si>
  <si>
    <t>WOS:001003644100012</t>
  </si>
  <si>
    <t>Su, FZ; Fan, R; Yan, FQ; Meadows, M; Lyne, V; Hu, P; Song, XZ; Zhang, TY; Liu, ZH; Zhou, CH; Pei, T; Yang, XM; Du, YY; Wei, ZX; Wang, F; Qi, YQ; Chai, F</t>
  </si>
  <si>
    <t>Su, Fenzhen; Fan, Rong; Yan, Fengqin; Meadows, Michael; Lyne, Vincent; Hu, Po; Song, Xiangzhou; Zhang, Tianyu; Liu, Zenghong; Zhou, Chenghu; Pei, Tao; Yang, Xiaomei; Du, Yunyan; Wei, Zexun; Wang, Fan; Qi, Yiquan; Chai, Fei</t>
  </si>
  <si>
    <t>Widespread global disparities between modelled and observed mid-depth ocean currents</t>
  </si>
  <si>
    <t>MAINE CONFIGURATION; ATLANTIC BIGHT; DEEP CURRENTS; EL-NINO; CIRCULATION; GULF; TRAJECTORIES; 1/12-DEGREES; VARIABILITY; DIFFUSIVITY</t>
  </si>
  <si>
    <t>Analysis of big Argo data reveals that model representation of global ocean circulation near 1000-m depth is substantially compromised by inaccuracies. Only 3.8% of the mid-depth ocean circulation can be considered accurately modelled. The mid-depth ocean circulation is critically linked to actual changes in the long-term global climate system. However, in the past few decades, predictions based on ocean circulation models highlight the lack of data, knowledge, and long-term implications in climate change assessment. Here, using 842,421 observations produced by Argo floats from 2001-2020, and Lagrangian simulations, we show that only 3.8% of the mid-depth oceans, including part of the equatorial Pacific Ocean and the Antarctic Circumpolar Current, can be regarded as accurately modelled, while other regions exhibit significant underestimations in mean current velocity. Knowledge of ocean circulation is generally more complete in the low-latitude oceans but is especially poor in high latitude regions. Accordingly, we propose improvements in forecasting, model representation of stochasticity, and enhancement of observations of ocean currents. The study demonstrates that knowledge and model representations of global circulation are substantially compromised by inaccuracies of significant magnitude and direction, with important implications for modelled predictions of currents, temperature, carbon dioxide sequestration, and sea-level rise trends.</t>
  </si>
  <si>
    <t>[Su, Fenzhen; Fan, Rong; Yan, Fengqin; Zhou, Chenghu; Pei, Tao; Yang, Xiaomei; Du, Yunyan] Chinese Acad Sci, Inst Geog Sci &amp; Nat Resources Res, State Key Lab Resources &amp; Environm Informat Syst, Beijing 100101, Peoples R China; [Su, Fenzhen; Fan, Rong; Yan, Fengqin; Zhou, Chenghu; Pei, Tao; Yang, Xiaomei; Du, Yunyan] Univ Chinese Acad Sci, Coll Resources &amp; Environm, Beijing 100049, Peoples R China; [Su, Fenzhen; Meadows, Michael] Nanjing Univ, Sch Geog &amp; Ocean Sci, Nanjing 210093, Peoples R China; [Su, Fenzhen] Nanjing Univ, Collaborat Innovat Ctr South China Sea Studies, Nanjing, Peoples R China; [Meadows, Michael] Univ Cape Town, Dept Environm &amp; Geog Sci, ZA-7701 Rondebosch, South Africa; [Meadows, Michael] Zhejiang Normal Univ, Coll Geog &amp; Environm Sci, Jinhua 321004, Peoples R China; [Lyne, Vincent] Univ Tasmania, IMAS Hobart, Hobart, Tas 7004, Australia; [Hu, Po; Wang, Fan] Chinese Acad Sci, Inst Oceanol, Key Lab Ocean Circulat &amp; Waves, Qingdao 266071, Peoples R China; [Song, Xiangzhou; Qi, Yiquan] Hohai Univ, Coll Oceanog, Nanjing 211100, Peoples R China; [Zhang, Tianyu] Guangdong Ocean Univ, Coll Oceanog &amp; Meteorol, Zhanjiang 524088, Peoples R China; [Liu, Zenghong; Chai, Fei] Minist Nat Resources, Inst Oceanog 2, State Key Lab Satellite Ocean Environm Dynam, Hangzhou 310012, Peoples R China; [Wei, Zexun] Minist Nat Resources, Inst Oceanog 1, Key Lab Marine Sci &amp; Numer Modeling, Qingdao 266061, Peoples R China; [Chai, Fei] Xiamen Univ, Coll Ocean &amp; Earth Sci, Xiamen 361102, Peoples R China</t>
  </si>
  <si>
    <t>Chinese Academy of Sciences; Institute of Geographic Sciences &amp; Natural Resources Research, CAS; Chinese Academy of Sciences; University of Chinese Academy of Sciences, CAS; Nanjing University; Nanjing University; University of Cape Town; Zhejiang Normal University; University of Tasmania; Chinese Academy of Sciences; Institute of Oceanology, CAS; Hohai University; Guangdong Ocean University; Ministry of Natural Resources of the People's Republic of China; Ministry of Natural Resources of the People's Republic of China; First Institute of Oceanography, Ministry of Natural Resources; Xiamen University</t>
  </si>
  <si>
    <t>Su, FZ (corresponding author), Chinese Acad Sci, Inst Geog Sci &amp; Nat Resources Res, State Key Lab Resources &amp; Environm Informat Syst, Beijing 100101, Peoples R China.;Su, FZ (corresponding author), Univ Chinese Acad Sci, Coll Resources &amp; Environm, Beijing 100049, Peoples R China.;Su, FZ (corresponding author), Nanjing Univ, Sch Geog &amp; Ocean Sci, Nanjing 210093, Peoples R China.;Su, FZ (corresponding author), Nanjing Univ, Collaborat Innovat Ctr South China Sea Studies, Nanjing, Peoples R China.</t>
  </si>
  <si>
    <t>sufz@lreis.ac.cn</t>
  </si>
  <si>
    <t>Meadows, Michael E/AAH-2461-2020; Wang, Fan/J-5119-2012; QI, Yiquan/H-2637-2012</t>
  </si>
  <si>
    <t>Meadows, Michael E/0000-0001-8322-3055; Wang, Fan/0000-0001-5932-7567; Su, Fenzhen/0000-0003-4972-3595; Fan, Rong/0000-0001-8564-9578; Zhou, Chenghu/0000-0003-3331-2302</t>
  </si>
  <si>
    <t>Strategic Priority Research Program of Chinese Academy of Sciences [XDA19060304]; National Natural Science Foundation of China [41890854]</t>
  </si>
  <si>
    <t>Strategic Priority Research Program of Chinese Academy of Sciences(Chinese Academy of Sciences); National Natural Science Foundation of China(National Natural Science Foundation of China (NSFC))</t>
  </si>
  <si>
    <t>AcknowledgementsThis work is supported by the Strategic Priority Research Program of Chinese Academy of Sciences (Grant No. XDA19060304, F.S.) and the National Natural Science Foundation of China (Grant No. 41890854, F.S.).</t>
  </si>
  <si>
    <t>10.1038/s41467-023-37841-x</t>
  </si>
  <si>
    <t>WOS:001003644100031</t>
  </si>
  <si>
    <t>Gao, YS; Yang, LJ; Liu, HW; Xie, ZQ</t>
  </si>
  <si>
    <t>Gao, Yuesong; Yang, Lianjiao; Liu, Hongwei; Xie, Zhouqing</t>
  </si>
  <si>
    <t>Positive Atlantic Multidecadal Oscillation has driven poleward redistribution of the West Antarctic Peninsula biota through a food-chain mechanism</t>
  </si>
  <si>
    <t>Adelie penguin; Antarctic krill; Phytoplankton; Chlorophyll; Ecological response; Climate change; Environmental change; Range shift</t>
  </si>
  <si>
    <t>CLIMATE-CHANGE; INTERANNUAL VARIABILITY; SEA-ICE; ENVIRONMENTAL VARIABILITY; PENGUIN POPULATIONS; OCEAN ECOSYSTEMS; KRILL; MARINE; HABITAT; RECRUITMENT</t>
  </si>
  <si>
    <t>The West Antarctic Peninsula (WAP) has recorded a significant poleward range shift in marine biota, including Adelie penguins, Antarctic krill and phytoplankton. The ecological changes have been widely attributed to Pacific/Southern Hemisphere variabilities. However, the teleconnection from the North Atlantic Ocean, which also could induce changes in the WAP physical environments, has been overlooked. Here we combine state-of-the-art observational/ modelling databases to quantify the poleward redistribution since the 1980s of three key members of the WAP biota and explored their response to several climatic oscillations. The abundance of Adelie penguins, Antarctic krill and phy-toplankton in the WAP all show a decrease in the north and an increase in the south, leading to a poleward shift of their distribution centers by similar to 0.8-2.3 degrees. A more positive Atlantic Multidecadal Oscillation (AMO) has contributed to the poleward redistribution of phytoplankton/krill/penguin with a time lag of 0/1/5 yr, indicating a food-chain related mechanism. +AMO in spring resulted in reduced sea ice, earlier ice retreat and enhanced winds in the northern WAP, which constrained phytoplankton blooms and krill reproduction, thereby decreasing the krill recruitment 1 yr later and consequently the penguin recruitment 5 yr later. In the southern WAP, where the sea ice cover was nearly per-manent in the 1980s, reduced sea ice and earlier ice retreat promoted phytoplankton growth and krill/penguin reproduc-tion. Our results emphasize the global nature of climate-ecological coupling; the influence of the Northern Hemisphere climate system on Antarctic/Southern Ocean biota is a non-negligible factor for the ecosystem management.</t>
  </si>
  <si>
    <t>[Gao, Yuesong; Yang, Lianjiao; Liu, Hongwei; Xie, Zhouqing] Univ Sci &amp; Technol China, Inst Polar Environm, Dept Environm Sci &amp; Engn, Anhui Key Lab Polar Environm &amp; Global Change, Hefei 230026, Anhui, Peoples R China</t>
  </si>
  <si>
    <t>Chinese Academy of Sciences; University of Science &amp; Technology of China, CAS</t>
  </si>
  <si>
    <t>Xie, ZQ (corresponding author), Univ Sci &amp; Technol China, Inst Polar Environm, Dept Environm Sci &amp; Engn, Anhui Key Lab Polar Environm &amp; Global Change, Hefei 230026, Anhui, Peoples R China.</t>
  </si>
  <si>
    <t>National Natural Science Foundation of China [41930532, 42006185]</t>
  </si>
  <si>
    <t>Acknowledgements This work is funded by the National Natural Science Foundation of China (No. 41930532, 42006185) . The authors declare that they have no known competing fi nancial interests or personal relationships that could have appeared to in fl uence the work reported in this paper.</t>
  </si>
  <si>
    <t>10.1016/j.scitotenv.2023.163373</t>
  </si>
  <si>
    <t>F2QR7</t>
  </si>
  <si>
    <t>WOS:000980849100001</t>
  </si>
  <si>
    <t>Dias, FB; Rintoul, SR; Richter, O; Galton-Fenzi, BK; Zika, JD; Pellichero, V; Uotila, P</t>
  </si>
  <si>
    <t>Dias, Fabio Boeira; Rintoul, Stephen R. R.; Richter, Ole; Galton-Fenzi, Benjamin Keith; Zika, Jan D. D.; Pellichero, Violaine; Uotila, Petteri</t>
  </si>
  <si>
    <t>Sensitivity of simulated water mass transformation on the Antarctic shelf to tides, topography and model resolution</t>
  </si>
  <si>
    <t>Southern Ocean; Antarctic shelf; water mass transformation; high salinity shelf water (HSSW); ice shelf water (ISW); coastal polynyas; ice shelf cavities; ocean-ice shelf interaction</t>
  </si>
  <si>
    <t>CIRCUMPOLAR DEEP-WATER; RONNE ICE SHELF; SOUTHERN-OCEAN; BOTTOM WATER; CONTINENTAL-SHELF; SEA-ICE; WEDDELL GYRE; CIRCULATION; HEAT; BENEATH</t>
  </si>
  <si>
    <t>Water mass transformation (WMT) around the Antarctic margin controls Antarctica Bottom Water formation and the abyssal limb of the global meridional overturning circulation, besides mediating ocean-ice shelf exchange, ice sheet stability and its contribution to sea level rise. However, the mechanisms controlling the rate of WMT in the Antarctic shelf are poorly understood due to the lack of observations and the inability of climate models to simulate those mechanisms, in particular beneath the floating ice shelves. We used a circum-Antarctic ocean-ice shelf model to assess the contribution of surface fluxes, mixing, and ocean-ice shelf interaction to the WMT on the continental shelf. The salt budget dominates the WMT rates, with only a secondary contribution from the heat budget. Basal melt of ice shelves drives buoyancy gain at lighter density classes (27.2&lt; 27.6 kg m(-3)), while salt input associated with sea-ice growth in coastal polynyas drives buoyancy loss at heavier densities (sigma(theta)&gt; 27.6). We found a large sensitivity of the WMT rates to model horizontal resolution, tides and topography within the Filchner-Ronne, East and West Antarctica ice shelf cavities. In the Filchner-Ronne Ice Shelf, an anticyclonic circulation in front of the Ronne Depression regulates the rates of basal melting/refreezing and WMT and is substantially affected by tides and model resolution. Model resolution is also found to affect the Antarctic Slope Current in both East and West Antarctica, impacting the on-shelf heat delivery, basal melt and WMT. Moreover, the representation of the ice shelf draft associated with model resolution impacts the freezing temperature and thus basal melt and WMT rates in the East Antarctica. These results highlight the importance of resolving small-scale features of the flow and topography, and to include the effects of tidal forcing, to adequately represent water mass transformations on the shelf that directly influence the abyssal global overturning circulation.</t>
  </si>
  <si>
    <t>[Dias, Fabio Boeira; Uotila, Petteri] Univ Helsinki, Inst Atmospher &amp; Earth Syst Res, Helsinki, Finland; [Dias, Fabio Boeira] Univ New South Wales, Climate Change Res Ctr, Sydney, NSW, Australia; [Dias, Fabio Boeira; Zika, Jan D. D.] Univ New South Wales, Australian Ctr Excellence Antarctic Sci ACEAS, Sydney, NSW, Australia; [Rintoul, Stephen R. R.; Pellichero, Violaine] CSIRO Environm, Nipaluna Hobart, Hobart, Tas, Australia; [Rintoul, Stephen R. R.; Galton-Fenzi, Benjamin Keith] Univ Tasmania, Inst Marine &amp; Antarctic Studies, Australian Antarctic Program Partnership, Nipaluna Hobart, Hobart, Tas, Australia; [Richter, Ole] Alfred Wegener Inst, Phys Oceanog Polar Seas, Bremerhaven, Germany; [Galton-Fenzi, Benjamin Keith] Australian Antarctic Div, Kingston, Tas, Australia; [Galton-Fenzi, Benjamin Keith] Univ Tasmania, Australian Ctr Excellence Antarctic Sci, Nipaluna Hobart, Hobart, Tas, Australia; [Zika, Jan D. D.] Univ New South Wales, UNSW Data Sci Hub, Sydney, NSW, Australia; [Zika, Jan D. D.] Univ New South Wales, Sch Math &amp; Stat, Sydney, NSW, Australia; [Pellichero, Violaine] Univ Tasmania, Inst Marine Antarctic Studies, Nipaluna Hobart, Hobart, Tas, Australia</t>
  </si>
  <si>
    <t>University of Helsinki; University of New South Wales Sydney; University of New South Wales Sydney; University of Tasmania; Helmholtz Association; Alfred Wegener Institute, Helmholtz Centre for Polar &amp; Marine Research; Australian Antarctic Division; University of Tasmania; University of New South Wales Sydney; University of New South Wales Sydney; University of Tasmania</t>
  </si>
  <si>
    <t>Dias, FB (corresponding author), Univ Helsinki, Inst Atmospher &amp; Earth Syst Res, Helsinki, Finland.;Dias, FB (corresponding author), Univ New South Wales, Climate Change Res Ctr, Sydney, NSW, Australia.;Dias, FB (corresponding author), Univ New South Wales, Australian Ctr Excellence Antarctic Sci ACEAS, Sydney, NSW, Australia.</t>
  </si>
  <si>
    <t>f.boeira_dias@unsw.edu.au</t>
  </si>
  <si>
    <t>Uotila, Petteri/A-1703-2012</t>
  </si>
  <si>
    <t>Uotila, Petteri/0000-0002-2939-7561; Boeira Dias, Fabio/0000-0002-2965-2120; Zika, Jan/0000-0003-3462-3559</t>
  </si>
  <si>
    <t>10.3389/fmars.2023.1027704</t>
  </si>
  <si>
    <t>E4SH3</t>
  </si>
  <si>
    <t>WOS:000975451500001</t>
  </si>
  <si>
    <t>Wubben, E; Veenstra, T; Witkowski, J; Raffi, I; Hilgen, F; Bos, R; van Dijk, J; Lathouwers, Y; Spiering, B; Vennema, L; Wang, ZY; Sangiorgi, F; Sluijs, A</t>
  </si>
  <si>
    <t>Wubben, Evi; Veenstra, Tjerk; Witkowski, Jakub; Raffi, Isabella; Hilgen, Frederik; Bos, Remco; van Dijk, Joost; Lathouwers, Ymke; Spiering, Bianca; Vennema, Laurens; Wang, Zongyi; Sangiorgi, Francesca; Sluijs, Appy</t>
  </si>
  <si>
    <t>Astrochronology of the Miocene Climatic Optimum record from Ocean Drilling Program Site 959 in the eastern equatorial Atlantic</t>
  </si>
  <si>
    <t>NEWSLETTERS ON STRATIGRAPHY</t>
  </si>
  <si>
    <t>Miocene Climatic Optimum; bulk carbonate isotope stratigraphy; biostratigraphy; Ocean Drilling Program Site 959; astronomical tuning; Monterey Excursion; eccentricity</t>
  </si>
  <si>
    <t>ANTARCTIC ICE-SHEET; ATMOSPHERIC CARBON-DIOXIDE; DIATOM BIOSTRATIGRAPHY; ISOTOPE STRATIGRAPHY; PACIFIC-OCEAN; TIME-SCALE; MIDDLE; EOCENE; EVOLUTION; PALEOCENE</t>
  </si>
  <si>
    <t>The Miocene Climatic Optimum (MCO; similar to 16.9-14.7 Ma) was a relatively warm interval which interrupted the Cenozoic cooling trend and bears analogies with projected near-future climate change. Evidence for MCO warming and climatic variability is dominantly based on studies from mid-to high-latitude regions and deep ocean benthic foraminiferal oxygen isotope reconstructions, whereas studies from tropical latitudes are needed to resolve latitudinal temperature gradients and ocean nutrient cycling. Sedimentary cores retrieved at Ocean Drilling Program (ODP) Site 959 (Leg 159) in the eastern equatorial Atlantic Ocean offer a near-continuous, low-latitude record spanning the Early to Middle Miocene, but age constraints were limited. To achieve an orbitally resolved age model, we generated new calcareous nannofossil and diatom biostratigraphy as well as high-resolution bulk carbonate stable carbon (delta 13C) and oxygen isotope (delta 18O) ratios, magnetic susceptibility (MS), weight percent CaCO3 and mean greyscale records. We record several diagnostic biostratigraphic markers and identify the well-dated onset of the MCO, Monterey Excursion (ME), Carbon Maxima (CM) events and peak warming in the bulk carbonate isotope records. An orbital age model is realized by tuning the bulk carbonate delta 13C record to eccentricity extracted from the Laskar et al. (2004) astronomical solution that is consistent with the bio-and chemostratigraphic constraints. We conclude that the studied sediment record spans the Early to Middle Miocene interval between similar to 18.2 and 15 Ma and includes a hiatus directly prior to the onset of MCO of maximally similar to 700 kyr. All records reveal dominant eccentricity-paced variability, while prominent precession and obliquity paced variability is observed between similar to 16.9-16.1 Ma; this interval corresponds to a node in the long similar to 2.4 Myr eccentricity cycle. Moreover, a major shift from bio-siliceous-dominated to carbonate-rich sediments is found across the onset of the MCO (similar to 16.9 Ma). Both lithologies represent intervals of relatively high productivity, likely associated with upwelling. Ultimately, our high-resolution record from Site 959 can provide an important opportunity for reconstructing a tropical paleoclimate record at precession-to-eccentricity resolution during the MCO.</t>
  </si>
  <si>
    <t>[Wubben, Evi; Veenstra, Tjerk; Hilgen, Frederik; Bos, Remco; van Dijk, Joost; Lathouwers, Ymke; Spiering, Bianca; Vennema, Laurens; Wang, Zongyi; Sangiorgi, Francesca; Sluijs, Appy] Univ Utrecht, Fac Geosci, Dept Earth Sci, Princetonlaan 8, NL-3584 CB Utrecht, Netherlands; [Witkowski, Jakub] Univ Szczecin, Inst Marine &amp; Environm Sci, Ul Mickiewicza 18, PL-70383 Szczecin, Poland; [Raffi, Isabella] Univ G dAnnunzio, Dipartimento Ingn &amp; Geol, Via Vestini 31, I-66013 Pescara, Italy</t>
  </si>
  <si>
    <t>Utrecht University; University of Szczecin; G d'Annunzio University of Chieti-Pescara</t>
  </si>
  <si>
    <t>Wubben, E (corresponding author), Univ Utrecht, Fac Geosci, Dept Earth Sci, Princetonlaan 8, NL-3584 CB Utrecht, Netherlands.</t>
  </si>
  <si>
    <t>e.wubben@uu.nl</t>
  </si>
  <si>
    <t>Sluijs, Appy/B-3726-2009</t>
  </si>
  <si>
    <t>Wubben, Evi/0000-0002-2478-0748; Bos, Remco/0000-0002-3664-3265; Spiering, Bianca/0009-0007-8561-0922</t>
  </si>
  <si>
    <t>European Research Council - Horizon 2020 program [771497]; Ministry of Education, Culture and Science (OCW)</t>
  </si>
  <si>
    <t>European Research Council - Horizon 2020 program(European Research Council (ERC)); Ministry of Education, Culture and Science (OCW)(Ministry of Education, Culture, Sports, Science and Technology, Japan (MEXT))</t>
  </si>
  <si>
    <t>We thank the International Ocean Discovery Program and predecessors (notably the Ocean Drilling Program) for providing us with data and the samples analyzed in this study. This study is funded by the European Research Council Consolidator Grant 771497, awarded to AS, funded by the Horizon 2020 program. We also thank the Netherlands Earth System Science Centre (NESSC) , financially supported by the Ministry of Education, Culture and Science (OCW) , for fostering national collaborations. We are grateful for the technical support by Maxim Krasnoperov, Desmond Eefting, Arnold van Dijk and Coen Mulder (Utrecht University) . We thank Adrianna Januszkiewicz and Amalia Notaro for help in processing samples, producing slides and analysis of diatom and calcareous nannofossil biostratigraphic examination.</t>
  </si>
  <si>
    <t>GEBRUDER BORNTRAEGER</t>
  </si>
  <si>
    <t>STUTTGART</t>
  </si>
  <si>
    <t>JOHANNESSTR 3A, D-70176 STUTTGART, GERMANY</t>
  </si>
  <si>
    <t>0078-0421</t>
  </si>
  <si>
    <t>NEWSL STRATIGR</t>
  </si>
  <si>
    <t>Newsl. Stratigr.</t>
  </si>
  <si>
    <t>10.1127/nos/2023/0749</t>
  </si>
  <si>
    <t>Q8LG9</t>
  </si>
  <si>
    <t>WOS:000971790900001</t>
  </si>
  <si>
    <t>Liggett, D; Herbert, A; Badhe, R; Charnley, GEC; Hudson, KPC; Kelman, I; Lee, WS; Lorenzo, C; Marques-Quinteiro, P; Nash, M; Pickett, J; Yermakova, Y</t>
  </si>
  <si>
    <t>Liggett, Daniela; Herbert, Andrea; Badhe, Renuka; Charnley, Gina E. C.; Hudson, K. P. C.; Kelman, Ilan; Lee, Won Sang; Lorenzo, Cristian; Marques-Quinteiro, Pedro; Nash, Meredith; Pickett, Jennifer; Yermakova, Yelena</t>
  </si>
  <si>
    <t>Researchers on ice? How the COVID-19 pandemic has impacted Antarctic researchers</t>
  </si>
  <si>
    <t>academia; Antarctic research community; fieldwork; gender; mental health; pandemic; survey</t>
  </si>
  <si>
    <t>GENDER; WOMEN; PRECARITY; CARE; ORGANIZATIONS; POLITICS; NEEDS; STEM</t>
  </si>
  <si>
    <t>The COVID-19 pandemic and pandemic-related measures have impacted the lives and work-related activities of Antarctic researchers. To explore these impacts, we designed, piloted and disseminated an online survey in English, Russian, Spanish and Chinese in late 2020 and early 2021. The survey explored how the pandemic affected the productivity of Antarctic researchers, their career prospects and their mental wellbeing. Findings exposed patterns of inequities. For instance, of the 406 unique responses to the survey, women appeared to have been affected more adversely than men, especially in relation to mental health, and early-career researchers were disadvantaged more than their mid- or late-career colleagues. Overall, a third of the research participants reported at least one major negative impact from the pandemic on their mental health. Approximately half of the participants also mentioned that the COVID-19 pandemic had some positive effects, especially in terms of the advantages that working from home brought and opportunities to attend events, network or benefit from training workshops online. We conclude with a series of recommendations for science administrators and policymakers to mitigate the most serious adverse impacts of the pandemic on Antarctic research communities, with implications for other contexts where scientific activities are conducted under extreme circumstances.</t>
  </si>
  <si>
    <t>[Liggett, Daniela; Herbert, Andrea] Univ Canterbury, Gateway Antarct, Christchurch, New Zealand; [Badhe, Renuka] European Polar Board, The Hague, Netherlands; [Charnley, Gina E. C.] Imperial Coll London, Sch Publ Hlth, Dept Infect Dis Epidemiol, London, England; [Charnley, Gina E. C.] Imperial Coll London, MRC Ctr Global Infect Dis Anal, London, England; [Hudson, K. P. C.] Vermont Tech Coll, Randolph, VT USA; [Kelman, Ilan] UCL, Inst Risk &amp; Disaster Reduct, London, England; [Kelman, Ilan] UCL, Inst Global Hlth, London, England; [Kelman, Ilan] Univ Agder, Kristiansand, Norway; [Lee, Won Sang] Korea Polar Res Inst, Div Glacial Environm Res, Incheon 21990, South Korea; [Lorenzo, Cristian] Univ Nacl Tierra del Fuego Antartida &amp; Islas Atlan, Ctr Austral Invest Cient CAD, CONICET, Inst Ciencias Polares Ambiente &amp; Recursos Nat ICPA, Ushuaia, Argentina; [Marques-Quinteiro, Pedro] Univ Lusofona, Escola Ciencias Econ &amp; Organizacoes, TRIE, Lisbon, Portugal; [Nash, Meredith] Australian Natl Univ, Coll Engn &amp; Comp Sci, Canberra, Australia; Vrije Univ Brussel, Brussels, Belgium; Alaska Marine Safety Educ Assoc, Sitka, AK USA; Univ Oslo, Oslo, Norway</t>
  </si>
  <si>
    <t>University of Canterbury; Imperial College London; Imperial College London; University of London; University College London; University of London; University College London; University of Agder; Korea Polar Research Institute (KOPRI); Consejo Nacional de Investigaciones Cientificas y Tecnicas (CONICET); Lusofona University; Australian National University; Vrije Universiteit Brussel; University of Oslo</t>
  </si>
  <si>
    <t>Liggett, D (corresponding author), Univ Canterbury, Gateway Antarct, Christchurch, New Zealand.</t>
  </si>
  <si>
    <t>daniela.liggett@canterbury.ac.nz</t>
  </si>
  <si>
    <t>COFAC, NIF 501679529/K-1896-2015; Charnley, Gina E C/ABB-4878-2021; Nash, Meredith/O-6178-2019; Marques-Quinteiro, Pedro/AAI-9402-2020</t>
  </si>
  <si>
    <t>COFAC, NIF 501679529/0000-0001-9385-8476; Charnley, Gina E C/0000-0003-2087-7822; Nash, Meredith/0000-0002-7429-4924; Kelman, Ilan/0000-0002-4191-6969; Badhe, Renuka/0000-0001-5255-744X; Lee, Won Sang/0000-0002-1074-7672; Liggett, Daniela/0000-0003-4184-5205</t>
  </si>
  <si>
    <t>Scientific Committee on Antarctic Research (SCAR); Trans-Antarctic Association</t>
  </si>
  <si>
    <t>We thank the Scientific Committee on Antarctic Research (SCAR) for seed funding for this project and for supporting the distribution of our survey to the Antarctic research community. In addition, we would like to acknowledge financial support received from the Trans-Antarctic Association.</t>
  </si>
  <si>
    <t>10.1017/S0954102023000020</t>
  </si>
  <si>
    <t>WOS:000969124500001</t>
  </si>
  <si>
    <t>Berends, CJ; van de Wal, RSW; van den Akker, T; Lipscomb, WH</t>
  </si>
  <si>
    <t>Berends, Constantijn J.; van de Wal, Roderik S. W.; van den Akker, Tim; Lipscomb, William H.</t>
  </si>
  <si>
    <t>Compensating errors in inversions for subglacial bed roughness: same steady state, different dynamic response</t>
  </si>
  <si>
    <t>ICE-SHEET MODEL; BASAL PROPERTIES; INITIALIZATION; GREENLAND; RECONSTRUCTION; PERFORMANCE; PROJECTIONS; RESOLUTION; SHELVES; DESIGN</t>
  </si>
  <si>
    <t>Subglacial bed roughness is one of the main factors controlling the rate of future Antarctic ice-sheet retreat and also one of the most uncertain. A common technique to constrain the bed roughness using ice-sheet models is basal inversion, tuning the roughness to reproduce the observed present-day ice-sheet geometry and/or surface velocity. However, many other factors affecting ice-sheet evolution, such as the englacial temperature and viscosity, the surface and basal mass balance, and the subglacial topography, also contain substantial uncertainties. Using a basal inversion technique intrinsically causes any errors in these other quantities to lead to compensating errors in the inverted bed roughness. Using a set of idealised-geometry experiments, we quantify these compensating errors and investigate their effect on the dynamic response of the ice sheet to a prescribed forcing. We find that relatively small errors in ice viscosity and subglacial topography require substantial compensating errors in the bed roughness in order to produce the same steady-state ice sheet, obscuring the realistic spatial variability in the bed roughness. When subjected to a retreat-inducing forcing, we find that these different parameter combinations, which per definition of the inversion procedure result in the same steady-state geometry, lead to a rate of ice volume loss that can differ by as much as a factor of 2. This implies that ice-sheet models that use basal inversion to initialise their model state can still display a substantial model bias despite having an initial state which is close to the observations.</t>
  </si>
  <si>
    <t>[Berends, Constantijn J.; van de Wal, Roderik S. W.; van den Akker, Tim] Univ Utrecht, Inst Marine &amp; Atmospher Res Utrecht, Utrecht, Netherlands; [van de Wal, Roderik S. W.] Univ Utrecht, Fac Geosci, Dept Phys Geog, Utrecht, Netherlands; [Lipscomb, William H.] Natl Ctr Atmospher Res, Climate &amp; Global Dynam Lab, Boulder, CO USA</t>
  </si>
  <si>
    <t>Utrecht University; Utrecht University; National Center Atmospheric Research (NCAR) - USA</t>
  </si>
  <si>
    <t>Berends, CJ (corresponding author), Univ Utrecht, Inst Marine &amp; Atmospher Res Utrecht, Utrecht, Netherlands.</t>
  </si>
  <si>
    <t>c.j.berends@uu.nl</t>
  </si>
  <si>
    <t>van de wal, roderik/D-1705-2011</t>
  </si>
  <si>
    <t>van de wal, roderik/0000-0003-2543-3892; Lipscomb, William/0000-0002-7100-3730; Berends, Tijn/0000-0002-2961-0350</t>
  </si>
  <si>
    <t>PROTECT; European Union [869304]; Netherlands Polar Program; NWO Exact; Natural Sciences; National Center for Atmospheric Research; National Science Foundation [1852977]</t>
  </si>
  <si>
    <t>PROTECT; European Union(European Union (EU)); Netherlands Polar Program; NWO Exact; Natural Sciences; National Center for Atmospheric Research; National Science Foundation(National Science Foundation (NSF))</t>
  </si>
  <si>
    <t>Constantijn J. Berends was supported by PRO-TECT. This publication was supported by PROTECT. This projecthas received funding from the European Union's Horizon 2020 re-search and innovation programme (grant no. 869304, PROTECTcontribution number 62). Tim van den Akker was supported bythe Netherlands Polar Program. The use of supercomputer facilities was sponsored by NWO Exact and Natural Sciences. Modelruns were performed on the Dutch National Supercomputer Snel-lius. William H. Lipscomb was supported by the National Center for Atmospheric Research, which is a major facility sponsoredby the National Science Foundation under cooperative agreementno. 1852977</t>
  </si>
  <si>
    <t>10.5194/tc-17-1585-2023</t>
  </si>
  <si>
    <t>D5SM9</t>
  </si>
  <si>
    <t>WOS:000969330500001</t>
  </si>
  <si>
    <t>Trifoglio, NL; Salinas, HFO; Alder, VA</t>
  </si>
  <si>
    <t>Trifoglio, Noelia L. L.; Salinas, Hector F. Olguin; Alder, Viviana A. A.</t>
  </si>
  <si>
    <t>Diatoms, tintinnids, and the protist community of the western Weddell Sea in summer: latitudinal distribution and biogeographic boundaries</t>
  </si>
  <si>
    <t>Spatial distribution; Biomass; Fronts; Microbial plankton; Phaeocystis; Antarctica</t>
  </si>
  <si>
    <t>SOUTHERN-OCEAN SEDIMENTS; MARGINAL ICE-ZONE; TERRA-NOVA BAY; ATLANTIC SECTOR; PHYTOPLANKTON BLOOMS; SPECIAL EMPHASIS; SURFACE WATERS; AUSTRAL SUMMER; ROSS SEA; VARIABILITY</t>
  </si>
  <si>
    <t>Understanding the spatial and temporal distribution of marine plankton is essential to detect trends and predict their response to climate change. Seasonality, fronts, and dispersion by currents and eddies condition the distribution from micro- to macroscales. Here, we address comparatively the structure of planktonic protist communities and the assemblages of tintinnid and diatom species in subsurface waters of the western Weddell Sea during February 2005. We analyze to which extent the biogeographic patterns based on different hierarchical levels and ecological variables reveal spatial similarities, and how these patterns reflect frontal processes. Abundance and carbon biomass were estimated for eight groups of protists and for diatom and tintinnid taxa in relation with chlorophyll-a and environmental variables. The Weddell Sea boosted the proliferation of flagellated cells. Diatoms showed an unclear distribution trend and, with the exception of a few species, those primarily contributing to abundance were clearly others than those primarily contributing to biomass. Biogeographic patterns differed according to hierarchical levels and the ecological variables considered. All levels explored showed an uneven distribution in most of the area except for the range of latitudes between similar to 67 degrees S and 70 degrees S, where the trends were notably homogeneous. Three rich carbon biomass patches were found, two of them in shelf waters (South Orkney Islands and Filchner Trough) and a major one in the Marginal Ice Zone. Based on a disruption of species distribution, the Antarctic Slope Front-Antarctic Slope Current system is suggested to be located at 73.35 degrees S. A refinement of previous biogeographic schemes was provided.</t>
  </si>
  <si>
    <t>[Trifoglio, Noelia L. L.; Salinas, Hector F. Olguin; Alder, Viviana A. A.] Univ Buenos Aires, Fac Ciencias Exactas &amp; Nat, Dept Ecol Genet &amp; Evoluc, Buenos Aires, Argentina; [Trifoglio, Noelia L. L.; Alder, Viviana A. A.] Univ Buenos Aires, CONICET, Inst Ecol Genet &amp; Evoluc, IEGEBA, Buenos Aires, Argentina; [Alder, Viviana A. A.] Inst Antartico Argentino, Direcc Nacl Antartico MRECIC, 25 Mayo 1143, San Martin, Buenos Aires, Argentina</t>
  </si>
  <si>
    <t>University of Buenos Aires; Consejo Nacional de Investigaciones Cientificas y Tecnicas (CONICET); University of Buenos Aires; Instituto Antartico Argentino</t>
  </si>
  <si>
    <t>Trifoglio, NL (corresponding author), Univ Buenos Aires, Fac Ciencias Exactas &amp; Nat, Dept Ecol Genet &amp; Evoluc, Buenos Aires, Argentina.;Trifoglio, NL (corresponding author), Univ Buenos Aires, CONICET, Inst Ecol Genet &amp; Evoluc, IEGEBA, Buenos Aires, Argentina.</t>
  </si>
  <si>
    <t>trifoglio.19@gmail.com</t>
  </si>
  <si>
    <t>Trifoglio, Noelia Lorena/0000-0002-3756-3881; Alder, Viviana A./0000-0002-7375-3279</t>
  </si>
  <si>
    <t>PNUD; Universidad de Buenos Aires [ARG PNUD 02/018-BB 03]; [UBACYT 20020170100664BA]</t>
  </si>
  <si>
    <t>PNUD; Universidad de Buenos Aires(University of Buenos Aires);</t>
  </si>
  <si>
    <t>We express our gratitude to the Instituto Antartico Argentino and Direccion Nacional del Antartico for providing logistic support, and to the crew of the icebreaker Almirante Irizar, particularly Claudio Franzosi (Instituto Antartico Argentino-Direccion Nacional del Antartico), for helping in sample collection. This work was supported by PNUD (ARG PNUD 02/018-BB 03) and by Universidad de Buenos Aires (UBACYT 20020170100664BA).</t>
  </si>
  <si>
    <t>10.1007/s00300-023-03125-9</t>
  </si>
  <si>
    <t>WOS:000968156200001</t>
  </si>
  <si>
    <t>Belyaev, O; Sparaventi, E; Navarro, G; Rodríguez-Romero, A; Tovar-Sánchez, A</t>
  </si>
  <si>
    <t>Belyaev, Oleg; Sparaventi, Erica; Navarro, Gabriel; Rodriguez-Romero, Araceli; Tovar-Sanchez, Antonio</t>
  </si>
  <si>
    <t>The contribution of penguin guano to the Southern Ocean iron pool</t>
  </si>
  <si>
    <t>KING-GEORGE-ISLAND; PRIMARY PRODUCTIVITY; PYGOSCELIS-ANTARCTICA; CHINSTRAP PENGUINS; DISSOLVED IRON; CLIMATE-CHANGE; BALEEN WHALES; PHYTOPLANKTON; KRILL; ADELIE</t>
  </si>
  <si>
    <t>Here the authors show that Chinstrap penguins play a significant role in iron recycling, essential for phytoplankton growth and carbon sequestration, recycling yearly 521 tonnes of iron, half of what they did 40 years ago due to population decline. Iron plays a crucial role in the high-nutrient, low-chlorophyll Southern Ocean regions, promoting phytoplankton growth and enhancing atmospheric carbon sequestration. In this area, iron-rich Antarctic krill (Euphausia superba) and baleen whale species, which are among their main predators, play a large role in the recycling of iron. However, penguins have received limited attention despite their representing the largest seabird biomass in the southern polar region. Here, we use breeding site guano volumes estimated from drone images, deep learning-powered penguin census, and guano chemical composition to assess the iron export to the Antarctic waters from one of the most abundant penguin species, the Chinstrap penguin (Pygoscelis antarcticus). Our results show that these seabirds are a relevant contributor to the iron remobilization pool in the Southern Ocean. With an average guano concentration of 3 mg iron g(-1), we estimate that the Chinstrap penguin population is recycling 521 tonnes iron yr(-1), representing the current iron contribution half of the amount these penguins were able to recycle four decades ago, as they have declined by more than 50% since then.</t>
  </si>
  <si>
    <t>[Belyaev, Oleg; Sparaventi, Erica; Navarro, Gabriel; Tovar-Sanchez, Antonio] CSIC, Inst Marine Sci Andalusia ICMAN, Dept Ecol &amp; Coastal Management, , Puerto Real, Cadiz 11510, Spain; [Rodriguez-Romero, Araceli] Univ Cadiz, Marine Res Inst INMAR, Fac Marine &amp; Environm Sci, Dept Analyt Chem, Puerto Real, Cadiz 11510, Spain</t>
  </si>
  <si>
    <t>Consejo Superior de Investigaciones Cientificas (CSIC); CSIC - Instituto de Ciencias Marinas de Andalucia (ICMAN); Universidad de Cadiz</t>
  </si>
  <si>
    <t>Belyaev, O (corresponding author), CSIC, Inst Marine Sci Andalusia ICMAN, Dept Ecol &amp; Coastal Management, , Puerto Real, Cadiz 11510, Spain.</t>
  </si>
  <si>
    <t>o.belyaev@csic.es</t>
  </si>
  <si>
    <t>Rodríguez, Araceli/GXM-7707-2022; Navarro, Gabriel/AAA-9528-2020</t>
  </si>
  <si>
    <t>Rodríguez, Araceli/0000-0002-6718-1040; Navarro, Gabriel/0000-0002-8919-0060; Tovar-Sanchez, Antonio/0000-0003-4375-1982; Belyaev Korolev, Oleg/0000-0002-8851-2996; Sparaventi, Erica/0000-0002-7578-8918</t>
  </si>
  <si>
    <t>Spanish Government projects PIMETAN; DICHOSO; ERDF A way of making Europe [RTI2018-098048-B-I00]; Spanish FPI grant; Juan de la Cierva Incorporacion [PID2021-125783OB-I00]; [PRE2019-089679]; [IJC2018-037545-I]; [MCIN/AEI/ 10.13039/501100011033]</t>
  </si>
  <si>
    <t>Spanish Government projects PIMETAN; DICHOSO; ERDF A way of making Europe; Spanish FPI grant(Spanish Government); Juan de la Cierva Incorporacion; ; ;</t>
  </si>
  <si>
    <t>This research has been funded by the Spanish Government projects PIMETAN (ref. RTI2018-098048-B-I00), DICHOSO (PID2021-125783OB-I00), EQC2018-004275-P and EQC2019-005721-P funded by MCIN/AEI/10.13039/501100011033 and by ERDF A way of making Europe. E.S. is supported by the Spanish FPI grant (Ref: PRE2019-089679) and A.R.-R. is supported by the Spanish grant Juan de la Cierva Incorporacion (Ref: IJC2018-037545-I) funded by MCIN/AEI/ 10.13039/501100011033 and by ERDF A way of making Europe. Copernicus Sentinel data (2021) was obtained from Sentinel Hub. Permissions to work and collect guano samples in the study area were granted by the Spanish Polar Committee. We thank the military staff of the Spanish Antarctic Base Gabriel de Castilla, the crew of the Sarmiento de Gamboa oceanographic vessel and the Marine Technology Unit (UTM-CSIC) for their logistic support, for making the XXXIV Spanish Antarctic campaign possible. We appreciate Andres Barbosa's information and expertise on penguin ecology and recognize his life, dedicated to studying penguins in Antarctica, which has inspired our project. We thank D. Roque for supporting flight operations, M. Agullo and I. Carribero for analytical assistance in the laboratory, M. B. Dunbar for the English language revision and M. Roca for advice on the quality of the illustrations. This research is part of the POLARCSIC and TELEDETECT research initiative.</t>
  </si>
  <si>
    <t>APR 11</t>
  </si>
  <si>
    <t>10.1038/s41467-023-37132-5</t>
  </si>
  <si>
    <t>IN2T9</t>
  </si>
  <si>
    <t>WOS:001166947800017</t>
  </si>
  <si>
    <t>Jin, CS; Xu, DK; Li, MS; Hu, PX; Jiang, ZX; Liu, JX; Miao, YF; Wu, FL; Liang, WT; Zhang, Q; Su, B; Liu, QS; Zhang, R; Sun, JM</t>
  </si>
  <si>
    <t>Jin, Chun-Sheng; Xu, Deke; Li, Mingsong; Hu, Pengxiang; Jiang, Zhaoxia; Liu, Jianxing; Miao, Yunfa; Wu, Fuli; Liang, Wentian; Zhang, Qiang; Su, Bai; Liu, Qingsong; Zhang, Ran; Sun, Jimin</t>
  </si>
  <si>
    <t>Tectonic and orbital forcing of the South Asian monsoon in central Tibet during the late Oligocene</t>
  </si>
  <si>
    <t>PROCEEDINGS OF THE NATIONAL ACADEMY OF SCIENCES OF THE UNITED STATES OF AMERICA</t>
  </si>
  <si>
    <t>South Asian monsoon; cyclostratigraphy; late Oligocene; Tibetan Plateau; Nima Basin</t>
  </si>
  <si>
    <t>MARINE-SEDIMENTS; EURASIAN CLIMATE; GLOBAL MONSOON; PLATEAU; EVOLUTION; UPLIFT; DYNAMICS; RECORD; MIDDLE; CONVERGENCE</t>
  </si>
  <si>
    <t>The modern pattern of the Asian monsoon is thought to have formed around the Oligocene/Miocene transition and is generally attributed to Himalaya-Tibetan Plateau (H-TP) uplift. However, the timing of the ancient Asian monsoon over the TP and its response to astronomical forcing and TP uplift remains poorly known because of the paucity of well-dated high-resolution geological records from the TP interior. Here, we present a precession-scale cyclostratigraphic sedimentary section of 27.32 to 23.24 million years ago (Ma) during the late Oligocene epoch from the Nima Basin to show that the South Asian monsoon (SAM) had already advanced to the central TP (32 degrees N) at least by 27.3 Ma, which is indicated by cyclic arid-humid fluctuations based on environmental magnetism proxies. A shift of lithology and astronomically orbital periods and amplified amplitude of proxy measurements as well as a hydroclimate transition around 25.8 Ma suggest that the SAM intensified at similar to 25.8 Ma and that the TP reached a paleoelevation threshold for enhancing the coupling between the uplifted plateau and the SAM. Orbital short eccentricity-paced precipitation variability is argued to be mainly driven by orbital eccentricity-modulated low-latitude summer insolation rather than glacial-interglacial Antarctic ice sheet fluctuations. The monsoon data from the TP interior provide key evidence to link the greatly enhanced tropical SAM at 25.8 Ma with TP uplift rather than global climate change and suggest that SAM's northward expansion to the boreal subtropics was dominated by a combination of tectonic and astronomical forcing at multiple timescales in the late Oligocene epoch.</t>
  </si>
  <si>
    <t>[Jin, Chun-Sheng; Xu, Deke; Zhang, Qiang; Sun, Jimin] Chinese Acad Sci, Inst Geol &amp; Geophys, Key Lab Cenozo Geol &amp; Environm, Beijing 100029, Peoples R China; [Jin, Chun-Sheng; Xu, Deke; Sun, Jimin] Chinese Acad Sci, Innovat Acad Earth Sci, Beijing 100029, Peoples R China; [Li, Mingsong] Peking Univ, Sch Earth &amp; Space Sci, Beijing 100871, Peoples R China; [Hu, Pengxiang] Australian Natl Univ, Res Sch Earth Sci, Canberra, ACT 0200, Australia; [Jiang, Zhaoxia] Ocean Univ China, Coll Marine Geosci, Qingdao 266100, Peoples R China; [Liu, Jianxing] Minist Nat Resources, Inst Oceanog 1, Key Lab Marine Sedimentol &amp; Environm Geol, Qingdao 266061, Peoples R China; [Miao, Yunfa] Chinese Acad Sci, Northwest Inst Ecoenvironm &amp; Resources, Key Lab Desert &amp; Desertificat, Lanzhou 730000, Peoples R China; [Wu, Fuli] Chinese Acad Sci, Inst Tibetan Plateau Res, Key Lab Continental Collis &amp; Plateau uplift, Beijing 100101, Peoples R China; [Liang, Wentian] Northwest Univ, State Key Lab Continental Dynam, Xian 710069, Peoples R China; [Zhang, Qiang] Southern Univ Sci &amp; Technol, Dept Ocean Sci &amp; Engn, Shenzhen 518055, Peoples R China; [Zhang, Ran] Chinese Acad Sci, Inst Atmospher Phys, Beijing 100029, Peoples R China</t>
  </si>
  <si>
    <t>Chinese Academy of Sciences; Institute of Geology &amp; Geophysics, CAS; Chinese Academy of Sciences; Peking University; Australian National University; Ocean University of China; First Institute of Oceanography, Ministry of Natural Resources; Ministry of Natural Resources of the People's Republic of China; Chinese Academy of Sciences; Chinese Academy of Sciences; Institute of Tibetan Plateau Research, CAS; Northwest University Xi'an; Southern University of Science &amp; Technology; Chinese Academy of Sciences; Institute of Atmospheric Physics, CAS</t>
  </si>
  <si>
    <t>Jin, CS; Sun, JM (corresponding author), Chinese Acad Sci, Inst Geol &amp; Geophys, Key Lab Cenozo Geol &amp; Environm, Beijing 100029, Peoples R China.;Jin, CS; Sun, JM (corresponding author), Chinese Acad Sci, Innovat Acad Earth Sci, Beijing 100029, Peoples R China.;Zhang, R (corresponding author), Chinese Acad Sci, Inst Atmospher Phys, Beijing 100029, Peoples R China.</t>
  </si>
  <si>
    <t>csjin@mail.iggcas.ac.cn; zhangran@mail.iap.ac.cn; jmsun@mail.iggcas.ac.cn</t>
  </si>
  <si>
    <t>HU, PENGXIANG/L-8725-2018; Sun, Jimin/F-1240-2018; Li, Mingsong/I-9237-2012</t>
  </si>
  <si>
    <t>Sun, Jimin/0000-0003-3516-1413; xu, de ke/0000-0002-1945-880X; Li, Mingsong/0000-0002-5542-8106</t>
  </si>
  <si>
    <t>National Natural Science Foundation of China [41888101]; National Key Ramp;D Program of China [2022YFF0800800]; Strategic Priority Research Program of CAS [XDA20070202, XDB26000000]; Second Tibetan Plateau Scientific Expedition and Research Program [2019QZKK0700]; NNSFC [42177434, 41877452, 41772181, 42071103]</t>
  </si>
  <si>
    <t>National Natural Science Foundation of China(National Natural Science Foundation of China (NSFC)); National Key Ramp;D Program of China; Strategic Priority Research Program of CAS; Second Tibetan Plateau Scientific Expedition and Research Program; NNSFC(National Natural Science Foundation of China (NSFC))</t>
  </si>
  <si>
    <t>We are grateful to three anonymous reviewers and the editor for their insightful comments and suggestions, which significantly improved the manuscript. This work was supported by the National Natural Science Foundation of China (41888101), the National Key R &amp; amp;D Program of China (2022YFF0800800), the Strategic Priority Research Program of CAS (XDA20070202, XDB26000000), and the Second Tibetan Plateau Scientific Expedition and Research Program (2019QZKK0700), and the NNSFC (42177434, 41877452, 41772181, and 42071103).</t>
  </si>
  <si>
    <t>NATL ACAD SCIENCES</t>
  </si>
  <si>
    <t>2101 CONSTITUTION AVE NW, WASHINGTON, DC 20418 USA</t>
  </si>
  <si>
    <t>0027-8424</t>
  </si>
  <si>
    <t>1091-6490</t>
  </si>
  <si>
    <t>P NATL ACAD SCI USA</t>
  </si>
  <si>
    <t>Proc. Natl. Acad. Sci. U. S. A.</t>
  </si>
  <si>
    <t>e2214558120</t>
  </si>
  <si>
    <t>10.1073/pnas.2214558120</t>
  </si>
  <si>
    <t>N7QP6</t>
  </si>
  <si>
    <t>WOS:001038916900004</t>
  </si>
  <si>
    <t>Latorre, MP; Berghoff, CF; Giesecke, R; Malits, A; Pizarro, G; Iachetti, CM; Martin, J; Flores-Melo, X; Gil, MN; Iriarte, JL; Schloss, IR</t>
  </si>
  <si>
    <t>Latorre, M. P.; Berghoff, C. F.; Giesecke, R.; Malits, A.; Pizarro, G.; Iachetti, C. M.; Martin, J.; Flores-Melo, X.; Gil, M. N.; Iriarte, J. L.; Schloss, I. R.</t>
  </si>
  <si>
    <t>Plankton metabolic balance in the eastern Beagle Channel during spring</t>
  </si>
  <si>
    <t>Phytoplankton production; Microbial community respiration; Fast repetition rate fluorometry; Carbonate system; Beagle Channel</t>
  </si>
  <si>
    <t>DELTA-PCO(2) VARIATION; PHYTOPLANKTON BIOMASS; COMMUNITY COMPOSITION; SEASONAL VARIABILITY; CARBON FIXATION; SURFACE WATERS; SEA; OCEAN; ESTUARINE; DYNAMICS</t>
  </si>
  <si>
    <t>Microbial community metabolic balance (i.e., the ratio between photosynthesis and community respiration) is critical for assessing the strength of the biological carbon pump and its importance for the marine food web. This study aimed at characterizing the microbial community metabolic balance (hereinafter referred to as metabolic balance) in the Beagle Channel (BC, 54 degrees S, 68 degrees W), a sub-Antarctic environment that connects the Pacific and Atlantic Oceans at the southernmost extreme of South America. During a binational Chilean-Argentinian cruise along the eastern BC in the austral spring (November 2019), oxygen production and consumption rates were estimated in vitro after 12-h light and dark incubations. Phytoplankton primary productivity was additionally assessed using in vivo active fluorescence techniques. Environmental conditions (temperature, salinity, nutrients, dissolved oxygen, carbonate system and light) and the composition of the plankton community (i.e., phytoplankton and bacteria) were analyzed to assess the factors controlling productivity in the BC. Finally, we explored the role of the microbial community metabolic balance in modulating CO2 uptake by means of highresolution underway CO2 fugacities (fCO2). Results showed a highly dynamic and rapidly changing system, with gross primary production (GPP) rates presenting a west-east gradient, with minimum values in the western portion of the study area (0.63 &amp; PLUSMN; 0.12 mmol O2 m- 3 d-1) and maximum values towards the Atlantic (13.87 &amp; PLUSMN; 2.00 mmol O2 m- 3 d-1). Community respiration rates were high (mean: 2.81 mmol O2 m- 3 d-1) and positively correlated with GPP. Although net community production (NCP) was relatively low (0.25-3.27 mmol O2 m- 3d-1), the P:R ratio suggests the prevalence of autotrophic communities, dominated by chain forming diatoms, mainly in the eastern portion (NCP : 3.27 mmol O2 m- 3 d-1). Thermohaline conditions played a key role in regulating the productive capacity of the BC and in the sea-air CO2 exchange, except in the most productive stations, where biological production fueled fCO2 dynamics.</t>
  </si>
  <si>
    <t>[Latorre, M. P.; Malits, A.; Iachetti, C. M.; Martin, J.; Flores-Melo, X.; Schloss, I. R.] Ctr Austral Invest Cient CAD CONICET, Ushuaia, Argentina; [Berghoff, C. F.] Inst Nacl Invest &amp; Desarrollo Pesquero, Mar Del Plata, Argentina; [Giesecke, R.] Univ Austral Chile, Inst Ciencias Marinas &amp; Limnol, Valdivia, Chile; [Giesecke, R.; Iriarte, J. L.] Ctr FONDAP Invest Dinam Ecosistemas Marinos Altas, Valdivia, Chile; [Pizarro, G.] Inst Fomento Pesquero IFOP, Ctr Estudios Algas Noc CREAN, Punta Arenas, Chile; [Martin, J.] Univ Barcelona UB, Dept Dinam Terra &amp; Ocea, E-08028 Barcelona, Spain; [Gil, M. N.] CCT CONICET, Ctr Estudio Sistemas Marinos CESIMAR, CENPAT, Puerto Madryn, Argentina; [Gil, M. N.] Univ Nacl Patagonia San Juan Bosco, Sedes Puerto Madryn &amp; Trelew, Trelew, Argentina; [Iriarte, J. L.] Univ Austral Chile, Inst Acuicultura, Puerto Montt, Chile; [Schloss, I. R.] Inst Antart Argentino IAA, Buenos Aires, Argentina; [Schloss, I. R.] Univ Nacl Tierra Fuego, Inst Ciencias Polares, Ambiente &amp; Recursos Nat, Ushuaia, Argentina; [Malits, A.] Univ Vienna, Dept Funct &amp; Evolutionary Biol, Vienna, Austria</t>
  </si>
  <si>
    <t>National Fisheries Research &amp; Development Institute (INIDEP); Universidad Austral de Chile; Instituto de Fomento Pesquero (Valparaiso); University of Barcelona; Centro Nacional Patagonico (CENPAT); Universidad Nacional de la Patagonia San Juan Bosco; Universidad Austral de Chile; University of Vienna</t>
  </si>
  <si>
    <t>Latorre, MP (corresponding author), Ctr Austral Invest Cient CAD CONICET, Ushuaia, Argentina.</t>
  </si>
  <si>
    <t>latorre.maite@conicet.gov.ar</t>
  </si>
  <si>
    <t>Flores-Melo, XIMENA/0000-0002-0946-0674; Giesecke, Ricardo/0000-0002-8805-6089; pizarro, gemita/0000-0003-2974-2609</t>
  </si>
  <si>
    <t>Consejo Nacional de Investigaciones Cientificas y Tecnicas [PIDT Pampa Azul 2022-A22]; Prince Albert II Foundation; Iniciativa Pampa Azul from Ministerio de Ciencia, Tecnologia e Innovacion; FONDAP-IDEAL grant [2863]; GOA-ON-TOF (Pier-2-Peer 2018-2019); [15150003]; [RES-2019-2020-APN-DIR#CONICET]; [PICT-2020-SERIEA-01519,]; [Res. 03-2022]</t>
  </si>
  <si>
    <t>Consejo Nacional de Investigaciones Cientificas y Tecnicas(Consejo Nacional de Investigaciones Cientificas y Tecnicas (CONICET)); Prince Albert II Foundation; Iniciativa Pampa Azul from Ministerio de Ciencia, Tecnologia e Innovacion; FONDAP-IDEAL grant; GOA-ON-TOF (Pier-2-Peer 2018-2019); ; ; ;</t>
  </si>
  <si>
    <t>This research was undertaken in the context of the first Binational Cruise between Argentina and Chile. Authors thank G. Ferreyra and H. Gonzalez Estay for their leadership in the overall project and the cruise, as well as the three scientific leaders of the cruise (A. Cabreira, R. Giesecke and M. Diez) . We further thank Ariel Giamportone for the design and technical support with incubators for measuring metabolic rates and Lucia Epherra, who contributed in the carbonate chemistry analyses. We also thank the National Institute of Fisheries Research and Development, the crew of the R/V Victor Angelescu, the Ministries of Foreign Affairs of Argentina and Chile, Coast Guard Service of Argentina and the Chilean Navy for logistic support. Funding for this project was provided by the Consejo Nacional de Investigaciones Cientificas y Tecnicas (grant RES-2019-2020-APN-DIR#CONICET) , the Prince Albert II Foundation (grant No2863) and Iniciativa Pampa Azul from Ministerio de Ciencia, Tecnologia e Innovacion. This work is further a contribution to FONDAP-IDEAL grant 15150003, PICT-2020-SERIEA-01519, Res. 03-2022,PIDT Pampa Azul 2022-A22 and GOA-ON-TOF (Pier-2-Peer 2018-2019) .</t>
  </si>
  <si>
    <t>10.1016/j.jmarsys.2023.103882</t>
  </si>
  <si>
    <t>M4OL3</t>
  </si>
  <si>
    <t>WOS:001030017800001</t>
  </si>
  <si>
    <t>Huai, BJ; Ding, MH; Li, XC</t>
  </si>
  <si>
    <t>Huai, Baojuan; Ding, Minghu; Li, Xichen</t>
  </si>
  <si>
    <t>Editorial: Cryosphere and climate change in the Arctic, the Antarctic, and the Tibetan plateau</t>
  </si>
  <si>
    <t>glaciers; shrinkage; climate change; glacier mass balance; three poles</t>
  </si>
  <si>
    <t>MASS-BALANCE; GREENLAND; MOUNTAIN</t>
  </si>
  <si>
    <t>[Huai, Baojuan] Shandong Normal Univ, Coll Geog &amp; Environm, Jinan, Peoples R China; [Ding, Minghu] Chinese Acad Meteorol Sci, State Key Lab Severe Weather, Beijing, Peoples R China; [Li, Xichen] Chinese Acad Sci, Inst Atmospher Phys, Beijing, Peoples R China</t>
  </si>
  <si>
    <t>Shandong Normal University; China Meteorological Administration; Chinese Academy of Meteorological Sciences (CAMS); Chinese Academy of Sciences; Institute of Atmospheric Physics, CAS</t>
  </si>
  <si>
    <t>Ding, MH (corresponding author), Chinese Acad Meteorol Sci, State Key Lab Severe Weather, Beijing, Peoples R China.</t>
  </si>
  <si>
    <t>dingminghu@foxmail.com</t>
  </si>
  <si>
    <t>Li, Xichen/ISB-4663-2023; Ding, Minghu/AFU-3600-2022</t>
  </si>
  <si>
    <t>Ding, Minghu/0000-0002-1142-6598</t>
  </si>
  <si>
    <t>10.3389/feart.2023.1150478</t>
  </si>
  <si>
    <t>E8QN8</t>
  </si>
  <si>
    <t>WOS:000978124300001</t>
  </si>
  <si>
    <t>Ugalde, SC; Vu, SV; Giang, CT; Ngoc, NTH; Tran, TKA; Mullen, JD; Van In, V; O'Connor, W</t>
  </si>
  <si>
    <t>Ugalde, Sarah C.; V. Vu, Sang; Giang, Cao Truong; Ngoc, Nguyen Thi Hong; Tran, Thi Kim Anh; Mullen, John D.; Van In, Vu; O'Connor, Wayne</t>
  </si>
  <si>
    <t>Status, supply chain, challenges, and opportunities to advance oyster aquaculture in northern Vietnam</t>
  </si>
  <si>
    <t>Aquaculture; Asia; Bivalve; Oyster; Supply chain; Vietnam</t>
  </si>
  <si>
    <t>SHRIMP; IMPACT</t>
  </si>
  <si>
    <t>Oyster aquaculture in northern Vietnam is a new and growing industry that brings benefits to coastal communities. By understanding the oyster supply chain, the potential value can be fully explored, and socio-economic and environmental gains targeted. This study surveyed industry representatives - from farm to plate - to examine the industry status, distribution network, challenges, and opportunities. Four broad distribution network models were identified: direct-to-sale, wholesaler, cooperative/processor, and retailer. These models are quite different and comparing them is complex. A reduction in the marketing margin in any supply chain is likely to result in shared economic and/or welfare gains for pre-harvest elements, elements in the value chain, and consumers. Similarly, lower farm production and hatchery costs and increased consumer demand would result in welfare gains shared along the supply chain, although these do not necessarily translate to changes in the marketing margin. Key challenges were associated with spatial and marine development planning, lack of monitoring, collaboration/coordination along the supply chain, market price variation and consumers. Challenges were further explored in the categories of collaboration/coordination, regulation, and export. Opportunities exist to better understand how oyster shell might be used as a by-product such as a livestock mineral supplement, in soil acidity management, and in crop and vegetable growth. Almost half of the survey respondents have oyster shell as a by-product, suggesting the potential for carbon offset schemes could also be explored, at least to the extent to which they ameliorate the carbon footprint of the industry. These opportunities could advance and value-add to oyster aquaculture in northern Vietnam.</t>
  </si>
  <si>
    <t>[Ugalde, Sarah C.] Univ Tasmania, Inst Marine &amp; Antarctic Studies, Private Bag 49, Hobart, Tas 7001, Australia; [Ugalde, Sarah C.] Univ Tasmania, Ctr Marine Socioecol, Hobart, Tas, Australia; [V. Vu, Sang; Giang, Cao Truong; Ngoc, Nguyen Thi Hong; Van In, Vu] Res Inst Aquaculture, 1 Dinh Bang, Tu Son 16352, Bac Ninh, Vietnam; [Tran, Thi Kim Anh] Vinh Univ, Sch Agr &amp; Nat Resources, Vinh 460000, Vietnam; [Tran, Thi Kim Anh] Univ Newcastle, Coll Engn Sci &amp; Environm, Global Innovat Ctr Adv Nanomat, Callaghan, NSW 2308, Australia; [O'Connor, Wayne] Port Stephens Fisheries Inst, NSW Dept Primary Ind, Taylors Beach, NSW 2316, Australia</t>
  </si>
  <si>
    <t>University of Tasmania; University of Tasmania; Vinh University; University of Newcastle; NSW Department of Primary Industries</t>
  </si>
  <si>
    <t>Ugalde, SC (corresponding author), Univ Tasmania, Inst Marine &amp; Antarctic Studies, Private Bag 49, Hobart, Tas 7001, Australia.;Ugalde, SC (corresponding author), Univ Tasmania, Ctr Marine Socioecol, Hobart, Tas, Australia.</t>
  </si>
  <si>
    <t>sarah.ugalde@utas.edu.au</t>
  </si>
  <si>
    <t>NGOC, NGUYEN/JQJ-4239-2023</t>
  </si>
  <si>
    <t>Tran, Thi Kim Anh/0000-0002-6689-9077</t>
  </si>
  <si>
    <t>Australian Centre for International Agricultural Research (ACIAR) [FIS/2020/175]</t>
  </si>
  <si>
    <t>Australian Centre for International Agricultural Research (ACIAR)(Australian Ctr Intl Agr Res)</t>
  </si>
  <si>
    <t>This study was funded by Australian Centre for International Agricultural Research (ACIAR) via the project: Blue economy: Valuing the carbon sequestration potential in oyster aquaculture (FIS/2020/175) that is a collaboration between Research Institute for Aquaculture No.1, Vietnam, New South Wales Department of Primary Industries, and the Institute for Marine and Antarctic Studies at the University of Tasmania. The authors would like to thank Dr. Nhu Van Can, Director of Aqua -culture, Directorate of Fisheries, Ministry of Agriculture and Rural Development, Vietnam for the validation and review on oyster value and supply chains, and all survey respondents who volunteered their time and valuable perspectives.</t>
  </si>
  <si>
    <t>10.1016/j.aquaculture.2023.739548</t>
  </si>
  <si>
    <t>F3BT0</t>
  </si>
  <si>
    <t>WOS:000981139200001</t>
  </si>
  <si>
    <t>Przeslawski, R; Barrett, N; Carroll, A; Foster, S; Gibbons, B; Jordan, A; Monk, J; Langlois, T; Lara-Lopez, A; Pearlman, J; Picard, K; Pini-Fitzsimmons, J; van Ruth, P; Williams, J</t>
  </si>
  <si>
    <t>Przeslawski, Rachel; Barrett, Neville; Carroll, Andrew; Foster, Scott; Gibbons, Brooke; Jordan, Alan; Monk, Jacquomo; Langlois, Tim; Lara-Lopez, Ana; Pearlman, Jay; Picard, Kim; Pini-Fitzsimmons, Joni; van Ruth, Paul; Williams, Joel</t>
  </si>
  <si>
    <t>Developing an ocean best practice: A case study of marine sampling practices from Australia</t>
  </si>
  <si>
    <t>monitoring; FAIR (findable; accessible; interoperable; and reusable) principles; standard operating procedure (SOP); marine protected areas</t>
  </si>
  <si>
    <t>Since 2012, there has been a surge in the numbers of marine science publications that use the term 'best practice', yet the term is not often defined, nor is the process behind the best practice development described. Importantly a 'best practice' is more than a documented practice that an individual or institution uses and considers good. This article describes a rigorous process to develop an ocean best practice using examples from a case study from Australia in which a suite of nine standard operating procedures were released in 2018 and have since become national best practices. The process to develop a best practice includes three phases 1) scope and recruit, 2) develop and release, 3) revise and ratify. Each phase includes 2-3 steps and associated actions that are supported by the Ocean Best Practices System (). The Australian case study differs from many other practices, which only use the second phase (develop and release). In this article, we emphasize the value of the other phases to ensure a practice is truly a 'best practice'. These phases also have other benefits, including higher uptake of a practice stemming from a sense of shared ownership (from scope and recruit phase) and currency and accuracy (from revise and ratify phase). Although the process described in this paper may be challenging and time-consuming, it optimizes the chance to develop a true best practice that is a) fit-for-purpose with clearly defined scope; b) representative and inclusive of potential users; c) accurate and effective, reflecting emerging technologies and programs; and d) supported and adopted by users.</t>
  </si>
  <si>
    <t>[Przeslawski, Rachel; Pini-Fitzsimmons, Joni] New South Wales Dept Primary Ind Fisheries, Huskisson, Australia; [Barrett, Neville; Jordan, Alan; Monk, Jacquomo; Lara-Lopez, Ana; Williams, Joel] Univ Tasmania, Inst Marine &amp; Antarctic Studies, Hobart, Tas, Australia; [Carroll, Andrew; Picard, Kim] Oceans Reefs Coasts &amp; Antarctic Branch, Canberra, Australia; [Foster, Scott] Commonwealth Sci &amp; Ind Res Org CSIRO, Data61, Hobart, Tas, Australia; [Gibbons, Brooke; Langlois, Tim] Univ Western Australia UWA, Oceans Inst, Perth, WA, Australia; [Gibbons, Brooke; Langlois, Tim] Univ Western Australia, Sch Biol Sci, Perth, WA, Australia; [Pearlman, Jay] FourBridges, Port Angeles, WA USA; [van Ruth, Paul] Univ Tasmania, Integrated Marine Observing Syst, Hobart, Tas, Australia</t>
  </si>
  <si>
    <t>University of Tasmania; Commonwealth Scientific &amp; Industrial Research Organisation (CSIRO); University of Western Australia; University of Western Australia; University of Tasmania</t>
  </si>
  <si>
    <t>Przeslawski, R (corresponding author), New South Wales Dept Primary Ind Fisheries, Huskisson, Australia.</t>
  </si>
  <si>
    <t>rachel.przeslawski@dpi.nsw.gov.au</t>
  </si>
  <si>
    <t>Pini-Fitzsimmons, Joni/AAW-4049-2021; Przeslawski, Rachel/F-8277-2011; Barrett, Neville/J-7593-2014</t>
  </si>
  <si>
    <t>Pini-Fitzsimmons, Joni/0000-0001-6131-9718; Przeslawski, Rachel/0000-0003-0269-3755; Gibbons, Brooke/0000-0002-0628-7781; Williams, Joel/0000-0002-4173-3855; Barrett, Neville/0000-0002-6167-1356</t>
  </si>
  <si>
    <t>Australian Government's National Environmental Science Program (NESP)</t>
  </si>
  <si>
    <t>Australian Government's National Environmental Science Program (NESP)(Australian Government)</t>
  </si>
  <si>
    <t>This work was undertaken for the Marine and Coastal Hub, a collaborative partnership supported through funding from the Australian Government's National Environmental Science Program (NESP).</t>
  </si>
  <si>
    <t>10.3389/fmars.2023.1173075</t>
  </si>
  <si>
    <t>E8RE2</t>
  </si>
  <si>
    <t>WOS:000978140700001</t>
  </si>
  <si>
    <t>Li, YC; Cui, ZS; Luan, X; Bian, XQ; Li, GQ; Hao, T; Liu, JY; Feng, K; Song, YZ</t>
  </si>
  <si>
    <t>Li, Yingchao; Cui, Zhisong; Luan, Xiao; Bian, Xinqi; Li, Guoqing; Hao, Tong; Liu, Jinyan; Feng, Ke; Song, Yizhi</t>
  </si>
  <si>
    <t>Degradation potential and pathways of methylcyclohexane by bacteria derived from Antarctic surface water</t>
  </si>
  <si>
    <t>Cyclic alkanes; Methylcyclohexane; Metagenome-assembled genomes; Lactone formation; Aromatization</t>
  </si>
  <si>
    <t>POLYCYCLIC AROMATIC-HYDROCARBONS; TERRA-NOVA BAY; CRUDE-OIL; BIODEGRADATION; COMMUNITIES; SEA; TEMPERATURE; BENZOATE; BIOREMEDIATION; CYCLOHEXANE</t>
  </si>
  <si>
    <t>Cycloalkanes pose a tremendous environmental risk due to their high concentration in petroleum hydrocarbons and hazardous effects to organisms. Numerous studies have documented the biodegradation of acyclic alkanes and aromatic hydrocarbons. However, insufficient attention has been paid to studies on the microbial degradation of cycloalkanes, which might be closely linked to psychrophilic microbes derived from low-temperature habitats. Here we show that endemic methylcyclohexane (MCH, an abundant cycloalkane species in oil) consumers proliferated in seawater samples derived from the Antarctic surface water (AASW). The MCH-consuming bacterial communities derived from AASW exhibited a distinct species composition compared with their counterparts derived from other cold-water habitats. We also probed Colwellia and Roseovarius as the key active players in cycloalkane degradation by dilution-to-extinction-based incubation with MCH as sole source of carbon and energy. Furthermore, we propose two nearly complete MCH degradation pathways, lactone formation and</t>
  </si>
  <si>
    <t>[Li, Yingchao; Cui, Zhisong; Bian, Xinqi; Li, Guoqing; Liu, Jinyan; Feng, Ke] Minist Nat Resources China, Inst Oceanog 1, Marine Bioresource &amp; Environm Res Ctr, Key Lab Marine Ecoenvironm Sci &amp; Technol, Qingdao 266061, Peoples R China; [Cui, Zhisong] Qingdao Natl Lab Marine Sci &amp; Technol, Lab Marine Ecol &amp; Environm Sci, Qingdao 266071, Peoples R China; [Luan, Xiao] China Inst Water Resources &amp; Hydropower Res, State Key Lab Simulat &amp; Regulat Water Cycle River, Beijing 100048, Peoples R China; [Hao, Tong] Shandong Univ Sci &amp; Technol, Coll Safety &amp; Environm Engn, Qingdao 266590, Peoples R China; [Song, Yizhi] Chinese Acad Sci, Suzhou Inst Biomed Engn &amp; Technol, Suzhou 215163, Peoples R China; [Song, Yizhi] Univ Sci &amp; Technol China, Sch Biomed Engn Suzhou, Div Life Sci &amp; Med, Suzhou 215163, Peoples R China</t>
  </si>
  <si>
    <t>Ministry of Natural Resources of the People's Republic of China; Laoshan Laboratory; China Institute of Water Resources &amp; Hydropower Research; Shandong University of Science &amp; Technology; Chinese Academy of Sciences; Suzhou Institute of Biomedical Engineering &amp; Technology, CAS; Chinese Academy of Sciences; University of Science &amp; Technology of China, CAS</t>
  </si>
  <si>
    <t>Cui, ZS (corresponding author), Minist Nat Resources China, Inst Oceanog 1, Marine Bioresource &amp; Environm Res Ctr, Key Lab Marine Ecoenvironm Sci &amp; Technol, Qingdao 266061, Peoples R China.;Song, YZ (corresponding author), Chinese Acad Sci, Suzhou Inst Biomed Engn &amp; Technol, Suzhou 215163, Peoples R China.</t>
  </si>
  <si>
    <t>czs@fio.org.cn; songyz@sibet.ac.cn</t>
  </si>
  <si>
    <t>feng, feng/KBR-1814-2024; li, rui/JVM-8999-2024; WANG, YING/JLM-9219-2023; Wang, yl/JNR-4963-2023; li, Li/JPA-0218-2023; yu, hui/KDO-3946-2024; Zhang, Youyou/KCY-0810-2024; liu, yuhao/JWP-0475-2024; Li, YU/JQV-2716-2023; chang, yu/KFB-2822-2024; Yang, Fan/JVO-8611-2024; Li, J N/JXL-5833-2024; su, hang/KEH-2976-2024; yang, yuyuan/KHC-8879-2024; Ling, Li/JYO-7043-2024; liu, xiao/JLL-2119-2023; zhang, shengqi/KGL-7519-2024; li, li/JVP-2971-2024; zhang, yueqi/JXM-4287-2024; Wang, Xintong/JJE-1189-2023; yang, rui/JHI-3328-2023; yang, yunfeng/KHT-9566-2024; li, xiang/JCN-9316-2023; wang, wang/JQW-3034-2023; Liu, Jie/JCP-1070-2023; Li, Kun/JLL-6505-2023; liu, jingwen/JQW-9270-2023; Liu, Yang/JVD-6777-2023; zhang, hao/JOJ-7093-2023; Zhang, Yuan/JUF-7293-2023; Zhang, Yunyi/JHS-3626-2023; Wen, Jing/KCL-6614-2024; Chen, Chao/JHS-6563-2023; LI, WEI/JUE-9796-2023; Wang, Yue/JRY-8962-2023; wang, xiaoqiang/JMT-2783-2023; yang, kun/JGM-4169-2023; chen, zhuo/JXX-1337-2024; Yang, Mei/JNS-2225-2023; Zhou, Yue/JHS-8791-2023; Wang, Zejun/KBB-8454-2024; Li, siqi/KDN-4520-2024; zhang, xiao/JCN-8822-2023; xu, wei/JZD-2112-2024; Li, Wei/JLL-4365-2023; wang, wei/JYP-7819-2024; li, yifan/JHU-9272-2023; Lin, Lin/JTU-1595-2023; Wang, Jing/JRW-1512-2023; yang, xiao/JLL-7721-2023; Wang, Xin/JVE-0200-2024; Liu, qi/JZT-5038-2024; Zhang, Wei/JKI-3565-2023; Li, Yao/JJC-2927-2023; xiao, wei/KCK-6954-2024; li, mengyang/JWO-9551-2024; song, yu/KCZ-2003-2024; zhang, xinyu/JKI-8403-2023; wang, jun/JPY-3635-2023; ZHOU, YUE/KCJ-8790-2024; Li, Lei/JPE-6543-2023; YI, J/JJE-7713-2023; wang, xin/JWA-3772-2024; Yu, Xiaohan/KCK-5462-2024; li, lan/KCJ-5061-2024; Yang, Fan/JMA-9594-2023; li, yuan/KBQ-4200-2024; wang, xiaoxuan/JMP-6531-2023; li, tao/JVO-9006-2024; Zhang, Kai/KBD-3312-2024; Li, Wen/JQI-4757-2023; zhang, ying/JQX-1479-2023; zhao, lin/JJF-0406-2023; Zhang, Tianxi/KEH-5921-2024; Wang, Yuchen/JPW-9345-2023; Li, Jiawei/JOJ-9277-2023; liu, yang/JMB-9083-2023; Yuan, Ye/KBC-9835-2024; Wang, Xuechun/JRX-6509-2023; Li, Yan/JUU-5189-2023; LI, YUN/JTV-7108-2023; wang, yi/JYO-8193-2024; wang, xi/JNT-5162-2023; zheng, yan/JKJ-3632-2023; wang, Xiaoming/KBB-8854-2024; zhao, yan/JNT-6961-2023; Wang, Jinlong/KHC-3829-2024; yuanyuan, Li/JEZ-6497-2023; Li, Yan/JRW-0176-2023; Sun, Xinyu/JXX-2281-2024</t>
  </si>
  <si>
    <t>Li, Kun/0000-0002-3638-2974; Wang, Yue/0000-0001-8673-6358; Yuan, Ye/0009-0008-1640-7047;</t>
  </si>
  <si>
    <t>National Natural Science Foundation of China [42076165]; Basic Scientific Fund for National Public Research Institutes of China [2020Q06]; Gusu innovation and entrepreneurship leading talents of Suzhou City [ZXL2021422]; Primary Research &amp; Development Plan of Jilin Province [20210204117YY]</t>
  </si>
  <si>
    <t>National Natural Science Foundation of China(National Natural Science Foundation of China (NSFC)); Basic Scientific Fund for National Public Research Institutes of China; Gusu innovation and entrepreneurship leading talents of Suzhou City; Primary Research &amp; Development Plan of Jilin Province</t>
  </si>
  <si>
    <t>This work was financially supported by the National Natural Science Foundation of China (42076165) and Basic Scientific Fund for National Public Research Institutes of China (2020Q06) . YZS thanks support from Gusu innovation and entrepreneurship leading talents of Suzhou City (ZXL2021422) and Primary Research &amp; Development Plan of Jilin Province (20210204117YY) . We would like to thank Wei Cao for water sample collections. This cruise was conducted on the R/V XueLong 2 .</t>
  </si>
  <si>
    <t>10.1016/j.chemosphere.2023.138647</t>
  </si>
  <si>
    <t>F2ED4</t>
  </si>
  <si>
    <t>WOS:000980519700001</t>
  </si>
  <si>
    <t>Bessell, TJ; Appleyard, SA; Stuart-Smith, RD; Johnson, OJ; Ling, SD; Heather, FJ; Lynch, TP; Barrett, NS; Stuart-Smith, J</t>
  </si>
  <si>
    <t>Bessell, Tyson J. J.; Appleyard, Sharon A. A.; Stuart-Smith, Rick D. D.; Johnson, Olivia J. J.; Ling, Scott D. D.; Heather, Freddie J. J.; Lynch, Tim P. P.; Barrett, Neville S. S.; Stuart-Smith, Jemina</t>
  </si>
  <si>
    <t>Using eDNA and SCUBA surveys for detection and monitoring of a threatened marine cryptic fish</t>
  </si>
  <si>
    <t>AQUATIC CONSERVATION-MARINE AND FRESHWATER ECOSYSTEMS</t>
  </si>
  <si>
    <t>detectability; extent of occurrence; IUCN Red List; rocky reef; sampling effort; seagrass; underwater visual census</t>
  </si>
  <si>
    <t>ENVIRONMENTAL DNA; VISUAL CENSUS; HABITATS; BRACHIONICHTHYIDAE; CONSERVATION; DIVERSITY; PATTERNS; DESIGN; SIZE</t>
  </si>
  <si>
    <t>1. Quantification of species' spatial distributions and population trends is crucial for successful conservation efforts. Obtaining sufficient population data, however, is often difficult in the marine environment, especially for rare fish and invertebrate species that are small, cryptic and very difficult to detect. 2.This study sought to understand the effort required to search for undiscovered populations of small, cryptic, marine species in shallow vegetated coastal habitats and track population numbers, using the Critically Endangered red handfish (Thymichthys politus) as a representative species. A sampling strategy was designed using a combination of environmental DNA (eDNA) and structured underwater scuba surveys of life-like 3D-printed 'handfish replicas' to estimate detectability and ultimately determine whether current population monitoring is adequately covering the remaining habitat occupied by the species. 3.Tested over scales of hundreds of metres to kilometres, the eDNA assays performed relatively poorly in situ, detecting red handfish presence in only similar to 13% of samples collected from the centre of a known, yet low-density, red handfish site. In contrast, underwater searches for independently placed handfish replicas by scuba divers indicated that mean detection probabilities at finer scales (similar to 100 m) ranged from 57 to 97%. Near certain (95% probability) detection of an adult handfish was achievable with only one to three surveys (300 m(2) belt transects), depending on the habitat complexity. 4.While other species will vary in detectability using eDNA and underwater searches, these findings give insight into the general effort required for the detection of small, rare species inhabiting vegetated coastal environments. Such knowledge not only helps to refine monitoring and conservation efforts for known threatened species, but may also assist in identifying other inconspicuous species whose population declines may otherwise go unnoticed.</t>
  </si>
  <si>
    <t>[Bessell, Tyson J. J.; Stuart-Smith, Rick D. D.; Johnson, Olivia J. J.; Ling, Scott D. D.; Heather, Freddie J. J.; Barrett, Neville S. S.; Stuart-Smith, Jemina] Univ Tasmania, Inst Marine &amp; Antarctic Studies, Hobart, Tas, Australia; [Appleyard, Sharon A. A.] CSIRO, Australian Natl Fish Collect, Hobart, Tas, Australia; [Lynch, Tim P. P.; Stuart-Smith, Jemina] CSIRO, Oceans &amp; Atmosphere, Hobart, Tas, Australia</t>
  </si>
  <si>
    <t>University of Tasmania; Commonwealth Scientific &amp; Industrial Research Organisation (CSIRO); Commonwealth Scientific &amp; Industrial Research Organisation (CSIRO)</t>
  </si>
  <si>
    <t>Bessell, TJ (corresponding author), Univ Tasmania, Inst Marine &amp; Antarctic Studies, Hobart, Tas, Australia.</t>
  </si>
  <si>
    <t>tyson.bessell@utas.edu.au</t>
  </si>
  <si>
    <t>Heather, Freddie/KBA-4476-2024; Stuart-Smith, Rick/I-5214-2019; Ling, Scott/J-7161-2014; Barrett, Neville/J-7593-2014; Appleyard, Sharon/D-6076-2012</t>
  </si>
  <si>
    <t>Stuart-Smith, Rick/0000-0002-8874-0083; Ling, Scott/0000-0002-5544-8174; Barrett, Neville/0000-0002-6167-1356; Bessell, Tyson/0000-0003-4823-5653; Johnson, Olivia/0000-0002-2928-7784; Appleyard, Sharon/0000-0002-3105-1690</t>
  </si>
  <si>
    <t>Australian Government's National Environmental Science Program; Department of Agriculture, Water and the Environment; Commonwealth Scientific and Industrial Research Organisation; Mohammed bin Zayed Species Conservation Fund; Sea World Research and Rescue Foundation Inc.</t>
  </si>
  <si>
    <t>Australian Government's National Environmental Science Program(Australian Government); Department of Agriculture, Water and the Environment; Commonwealth Scientific and Industrial Research Organisation(Commonwealth Scientific &amp; Industrial Research Organisation (CSIRO)); Mohammed bin Zayed Species Conservation Fund; Sea World Research and Rescue Foundation Inc.</t>
  </si>
  <si>
    <t>Australian Government's National Environmental Science Program; Department of Agriculture, Water and the Environment;Commonwealth Scientific and Industrial Research Organisation; Mohammed bin Zayed Species Conservation Fund; Sea World Research and Rescue Foundation Inc</t>
  </si>
  <si>
    <t>1052-7613</t>
  </si>
  <si>
    <t>1099-0755</t>
  </si>
  <si>
    <t>AQUAT CONSERV</t>
  </si>
  <si>
    <t>Aquat. Conserv.-Mar. Freshw. Ecosyst.</t>
  </si>
  <si>
    <t>10.1002/aqc.3944</t>
  </si>
  <si>
    <t>Environmental Sciences; Marine &amp; Freshwater Biology; Water Resources</t>
  </si>
  <si>
    <t>Environmental Sciences &amp; Ecology; Marine &amp; Freshwater Biology; Water Resources</t>
  </si>
  <si>
    <t>F3TZ6</t>
  </si>
  <si>
    <t>WOS:000969274900001</t>
  </si>
  <si>
    <t>Leihy, RI; Peake, L; Clarke, DA; Chown, SL; McGeoch, MA</t>
  </si>
  <si>
    <t>Leihy, Rachel I.; Peake, Lou; Clarke, David A.; Chown, Steven L.; McGeoch, Melodie A.</t>
  </si>
  <si>
    <t>Introduced and invasive alien species of Antarctica and the Southern Ocean Islands</t>
  </si>
  <si>
    <t>SCIENTIFIC DATA</t>
  </si>
  <si>
    <t>ECOLOGICAL BIOGEOGRAPHY; BIOLOGICAL INVASIONS; MARION ISLAND; HUMAN IMPACTS; ERADICATION; VEGETATION; REGIONS; FAUNA</t>
  </si>
  <si>
    <t>Open data on biological invasions are particularly critical in regions that are co-governed and/or where multiple independent parties have responsibility for preventing and controlling invasive alien species. The Antarctic is one such region where, in spite of multiple examples of invasion policy and management success, open, centralised data are not yet available. This dataset provides current and comprehensive information available on the identity, localities, establishment, eradication status, dates of introduction, habitat, and evidence of impact of known introduced and invasive alien species for the terrestrial and freshwater Antarctic and Southern Ocean region. It includes 3066 records for 1204 taxa and 36 individual localities. The evidence indicates that close to half of these species are not having an invasive impact, and that similar to 13% of records are of species considered locally invasive. The data are provided using current biodiversity and invasive alien species data and terminology standards. They provide a baseline for updating and maintaining the foundational knowledge needed to halt the rapidly growing risk of biological invasion in the region.</t>
  </si>
  <si>
    <t>[Leihy, Rachel I.; Chown, Steven L.] Monash Univ, Sch Biol Sci, Securing Antarct Environm Future, Melbourne, Vic 3800, Australia; [Leihy, Rachel I.] Arthur Rylah Inst Environm Res, Dept Energy Environm &amp; Climate Act, Heidelberg, Vic 3084, Australia; [Peake, Lou; Clarke, David A.; McGeoch, Melodie A.] La Trobe Univ, Dept Environm &amp; Genet, Securing Antarct Environm Future, Melbourne, Vic 3086, Australia</t>
  </si>
  <si>
    <t>Melbourne Genomics Health Alliance; Monash University; Arthur Rylah Institute for Environmental Research (ARI); Melbourne Genomics Health Alliance; La Trobe University</t>
  </si>
  <si>
    <t>Leihy, RI (corresponding author), Monash Univ, Sch Biol Sci, Securing Antarct Environm Future, Melbourne, Vic 3800, Australia.;Leihy, RI (corresponding author), Arthur Rylah Inst Environm Res, Dept Energy Environm &amp; Climate Act, Heidelberg, Vic 3084, Australia.</t>
  </si>
  <si>
    <t>leihy.rachel@gmail.com</t>
  </si>
  <si>
    <t>Clarke, David A/IUQ-2290-2023; Peake, Lou/KDN-0972-2024; Peake, Lou/GPX-8965-2022; Chown, Steven/ABD-7646-2021; McGeoch, Melodie/F-8353-2011; Chown, Steven/H-3347-2011</t>
  </si>
  <si>
    <t>Clarke, David A/0000-0003-3529-1162; Peake, Lou/0000-0003-0138-5291; Peake, Lou/0000-0003-0138-5291; McGeoch, Melodie/0000-0003-3388-2241; Chown, Steven/0000-0001-6069-5105; Leihy, Rachel/0000-0001-9672-625X</t>
  </si>
  <si>
    <t>ARC SRIEAS [SR200100005]</t>
  </si>
  <si>
    <t>ARC SRIEAS(Australian Research Council)</t>
  </si>
  <si>
    <t>This work was supported by ARC SRIEAS Grant SR200100005 Securing Antarctica's Environmental Future. We thank Stewart Bisset for data support.</t>
  </si>
  <si>
    <t>2052-4463</t>
  </si>
  <si>
    <t>SCI DATA</t>
  </si>
  <si>
    <t>Sci. Data</t>
  </si>
  <si>
    <t>10.1038/s41597-023-02113-2</t>
  </si>
  <si>
    <t>D3QD2</t>
  </si>
  <si>
    <t>WOS:000967896800001</t>
  </si>
  <si>
    <t>Krucon, T; Ruszkowska, Z; Pilecka, W; Szych, A; Drewniak, L</t>
  </si>
  <si>
    <t>Krucon, Tomasz; Ruszkowska, Zuzanna; Pilecka, Weronika; Szych, Anna; Drewniak, Lukasz</t>
  </si>
  <si>
    <t>Bioprospecting of the Antarctic Bacillus subtilis strain for potential application in leaching hydrocarbons and trace elements from contaminated environments based on functional and genomic analysis</t>
  </si>
  <si>
    <t>ENVIRONMENTAL RESEARCH</t>
  </si>
  <si>
    <t>Soil washing; Soil leaching; Biosurfactant; Bacillus subtilis; Post -culture medium; Bioprospection</t>
  </si>
  <si>
    <t>PETROLEUM-HYDROCARBONS; SOIL; BIOSURFACTANT; SURFACTIN; REMOVAL; GAMMA</t>
  </si>
  <si>
    <t>The production of secondary metabolites including biosurfactants by the Bacillus subtilis ANT_WA51 and the evaluation of its ability to leach metals and petroleum derivatives from the soil, using post-culture medium was investigated. The ANT_WA51 strain isolated from a pristine, harsh Antarctic environment produces the bio-surfactants surfactin and fengycin, which reduce the surface tension of molasses-based post-culture medium to 26.6 mN m-1 at a critical micellization concentration (CMC) of 50 mg L-1 and a critical micelle dilution (CMD) of 1:19. The presence of biosurfactants and other secondary metabolites in the post-culture medium contributed to significant removal of xenobiotics from contaminated soils in the batch washing experiment -70% hydrocarbons and 10-23% metals (Zn, Ni and Cu). The isolate's tolerance to different abiotic stresses, including freezing, freeze-thaw cycles, salinity (up to 10%), the presence of metals -Cr(VI), Pb(II), Mn(II), As(V) (up to 10 mM) and Mo(VI) (above 500 mM) and petroleum hydrocarbons (up to 20.000 mg kg-1) as well as the confirmed metabolic activity of these bacteria in toxic environments in the OxiTop (R) system indicate that they can be used directly in bioremediation. Comparative genomic analysis of this bacteria revealed a high similarity of its genome to the associated plant strains from America and Europe indicating the wide applicability of plant growth-promoting Bacillus subtilis and that the data can be extrapolated to a wide range of environmental strains. An important aspect of the study was to present the absence of inherent features which would indicate its clear pathogenicity enables its safe use in the environment. Based on the obtained results, we also conclude that the use of post -culture medium, obtained on low-cost byproducts like molasses, for leaching contaminants, especially hydro-carbons, is a promising bioremediation method that can be a replacement for the use of synthetic surfactants and provides a base for further large-scale research but the selection of an appropriate leaching may be dependent on the concentration of contaminants.</t>
  </si>
  <si>
    <t>[Krucon, Tomasz; Ruszkowska, Zuzanna; Pilecka, Weronika; Szych, Anna; Drewniak, Lukasz] Univ Warsaw, Inst Microbiol, Fac Biol, Dept Environm Microbiol &amp; Biotechnol, Warsaw, Poland; [Drewniak, Lukasz] Univ Warsaw, Inst Microbiol, Fac Biol, Ilji Miecznikowa 1, PL-02096 Warsaw, Poland</t>
  </si>
  <si>
    <t>University of Warsaw; University of Warsaw</t>
  </si>
  <si>
    <t>Drewniak, L (corresponding author), Univ Warsaw, Inst Microbiol, Fac Biol, Ilji Miecznikowa 1, PL-02096 Warsaw, Poland.</t>
  </si>
  <si>
    <t>l.drewniak2@uw.edu.pl</t>
  </si>
  <si>
    <t>Ruszkowska, Zuzanna/0000-0002-3404-8550; Drewniak, Lukasz/0000-0002-3236-0508; Krucon, Tomasz/0000-0001-6366-5235; Pilecka, Weronika/0000-0001-9264-6121</t>
  </si>
  <si>
    <t>University of Warsaw (Poland) [BOB-IDUB-622-162/2021]; European Regional Development Fund (ERDF) within the Oper-ational Program of the Mazovia Region (Poland) [RPMA.01.02.00-14-b491/18]</t>
  </si>
  <si>
    <t>University of Warsaw (Poland); European Regional Development Fund (ERDF) within the Oper-ational Program of the Mazovia Region (Poland)(European Union (EU))</t>
  </si>
  <si>
    <t>This work was partially supported by the University of Warsaw (Poland) within the IDUB POB I grant no. BOB-IDUB-622-162/2021, and by the European Regional Development Fund (ERDF) within the Oper-ational Program of the Mazovia Region (Poland) , grant no. RPMA.01.02.00-14-b491/18.</t>
  </si>
  <si>
    <t>0013-9351</t>
  </si>
  <si>
    <t>1096-0953</t>
  </si>
  <si>
    <t>ENVIRON RES</t>
  </si>
  <si>
    <t>Environ. Res.</t>
  </si>
  <si>
    <t>JUN 15</t>
  </si>
  <si>
    <t>10.1016/j.envres.2023.115785</t>
  </si>
  <si>
    <t>Environmental Sciences; Public, Environmental &amp; Occupational Health</t>
  </si>
  <si>
    <t>Environmental Sciences &amp; Ecology; Public, Environmental &amp; Occupational Health</t>
  </si>
  <si>
    <t>F5LT5</t>
  </si>
  <si>
    <t>WOS:000982767000001</t>
  </si>
  <si>
    <t>Oliveira, DL; Gomes, TC; Melo, IS; De Souza, AO</t>
  </si>
  <si>
    <t>Oliveira, D. L.; Gomes, T. C.; Melo, I. S.; De Souza, A. O.</t>
  </si>
  <si>
    <t>Janibacter sp. Isolated from Deschampsia antarctica Rhizosphere as a Potential Source of Antimicrobial Compounds</t>
  </si>
  <si>
    <t>BIOLOGY BULLETIN</t>
  </si>
  <si>
    <t>Antarctic; cellular fatty acids; antimicrobial activity; Janibacter sp</t>
  </si>
  <si>
    <t>SP NOV.; FATTY-ACIDS; BACTERIA; TERRAE</t>
  </si>
  <si>
    <t>In this study, 106 bacterial strains were isolated from rhizosphere of Deschampsia antarctica and used for the screening of potential antimicrobial compounds. Among all the bacterial strains, 61 (57.55%) were classified as Gram-positive, 34 (32.08%) as Gram-negative, and 11 (10.37%) did not grown under the laboratory culture conditions and were not classified. Organic crude extracts were analysed for potential antimicrobial activity and the B-22-EA ethyl acetate extract was the most effective inhibiting 84% of Escherichia coli growth, and Staphylococcus aureus, Pseudomonas aeruginosa and Micrococcus luteus by 31, 17 and 5%, respectively. The B-22-EA extract showed a MIC of 187 mu g/mL on Cryptococcus neoformans, and of 438 mu g/mL on Trichophyton rubrum. The strain, coded as B22, was classified as Gram-positive and the taxonomic analysis indicated that this strain belongs to the genera Janibacter, with 98.66% of similarity with Janibacter hoylei PVAS-1 and Janibacter limosus DSM 11140; 98.51% with Janibacter cremeus HR08-44, and 98.36% with Janibacter indicus 0704P10-1, Janibacter anophelis H2.16B and Janibacter terrae CS12. The cellular fatty acids (CFA) composition for B22 (Janibacter sp.) was determined by fatty acid methyl esters (FAME) using gas chromatography and compared with those species for which the B22 strain has a high level of similarity. The comparison among the different species from the genus Janibacter shows that there is a difference in their CFA composition and in their optimum temperature for growth, showing the high biodiversity, even for the same species. The data from this study are important and B-22 (Janibacter sp.) is an interesting source of antimicrobial compounds.</t>
  </si>
  <si>
    <t>[Oliveira, D. L.; Gomes, T. C.; De Souza, A. O.] Inst Butantan, Dev &amp; Innovat Lab, BR-05503900 Sao Paulo, SP, Brazil; [Melo, I. S.] Embrapa Environm, Environm Microbiol Lab, BR-13820000 Jaguariuna, SP, Brazil</t>
  </si>
  <si>
    <t>Instituto Butantan; Empresa Brasileira de Pesquisa Agropecuaria (EMBRAPA)</t>
  </si>
  <si>
    <t>De Souza, AO (corresponding author), Inst Butantan, Dev &amp; Innovat Lab, BR-05503900 Sao Paulo, SP, Brazil.</t>
  </si>
  <si>
    <t>ana.souza@butantan.gov.br</t>
  </si>
  <si>
    <t>Souza, Ana/KFB-3039-2024; de Souza, Ana Olivia/I-1776-2012</t>
  </si>
  <si>
    <t>de Souza, Ana Olivia/0000-0001-6025-7500</t>
  </si>
  <si>
    <t>Fundacao de Amparo a Pesquisa do Estado de Sao Paulo (FAPESP) [2009/05970-2]</t>
  </si>
  <si>
    <t>Fundacao de Amparo a Pesquisa do Estado de Sao Paulo (FAPESP)(Fundacao de Amparo a Pesquisa do Estado de Sao Paulo (FAPESP))</t>
  </si>
  <si>
    <t>This work was supported by the grant of Fundacao de Amparo a Pesquisa do Estado de Sao Paulo (FAPESP) no. 2009/05970-2.</t>
  </si>
  <si>
    <t>1062-3590</t>
  </si>
  <si>
    <t>1608-3059</t>
  </si>
  <si>
    <t>BIOL BULL+</t>
  </si>
  <si>
    <t>Biol. Bull</t>
  </si>
  <si>
    <t>10.1134/S1062359022602476</t>
  </si>
  <si>
    <t>I2CW8</t>
  </si>
  <si>
    <t>WOS:000967779800017</t>
  </si>
  <si>
    <t>Lee, MR; Floyd, C; Martin, PE; Zhao, XC; Franchi, IA; Jenkins, L; Griffin, S</t>
  </si>
  <si>
    <t>Lee, Martin R.; Floyd, Cameron; Martin, Pierre-Etienne; Zhao, Xuchao; Franchi, Ian A.; Jenkins, Laura; Griffin, Sammy</t>
  </si>
  <si>
    <t>Extended time scales of carbonaceous chondrite aqueous alteration evidenced by a xenolith in LaPaz Icefield 02239 (CM2)</t>
  </si>
  <si>
    <t>METEORITICS &amp; PLANETARY SCIENCE</t>
  </si>
  <si>
    <t>FINE-GRAINED RIMS; REFRACTORY INCLUSIONS; MODAL MINERALOGY; OXYGEN-ISOTOPE; CHONDRULES; MATRIX; PHYLLOSILICATES; NEBULA; ORIGIN; PETROGRAPHY</t>
  </si>
  <si>
    <t>LaPaz Icefield (LAP) 02239 is a mildly aqueously altered CM2 carbonaceous chondrite that hosts a xenolith from a primitive chondritic parent body. The xenolith contains chondrules and calcium- and aluminum-rich inclusions (CAIs) in a very fine-grained matrix. The chondrules are comparable in mineralogy and oxygen isotopic composition with those in the CMs, and its CAIs are also mineralogically similar to the CM population apart for being unusually small and abundant. The presence of serpentine demonstrates that the xenolith has been aqueously altered, and its phyllosilicate-rich matrix has a comparable oxygen isotopic composition to the matrices of CM meteorites. The xenolith's chondrules lack fine-grained rims, whereas the xenolith itself has a fine-grained rim that is petrographically and chemically comparable with the rims on coarse grained objects in LAP 02239 and other CM meteorites. These properties show that the xenolith's parent body was formed from similar materials to the CM parent body(ies). Following its lithification by aqueous alteration, a piece of the xenolith's parent body was impact-ejected, acquired a fine-grained rim while free-floating in the protoplanetary disc, then was accreted along with rimmed chondrules and other materials to make the LAP 02239 parent body. Subsequent aqueous processing of the LAP 02239 parent body altered the fine-grained rims on the xenolith, chondrules, and CAIs. The xenolith shows that the timespan of geological evolution of carbonaceous chondrite parent bodies was sufficiently long for some of them to have been aqueously altered before others had formed.</t>
  </si>
  <si>
    <t>[Lee, Martin R.; Floyd, Cameron; Martin, Pierre-Etienne; Jenkins, Laura; Griffin, Sammy] Univ Glasgow, Sch Geog &amp; Earth Sci, Glasgow G12 8QQ, Scotland; [Zhao, Xuchao; Franchi, Ian A.] Open Univ, Sch Phys Sci, Milton Keynes MK7 6AA, England</t>
  </si>
  <si>
    <t>University of Glasgow; Open University - UK</t>
  </si>
  <si>
    <t>Lee, MR (corresponding author), Univ Glasgow, Sch Geog &amp; Earth Sci, Glasgow G12 8QQ, Scotland.</t>
  </si>
  <si>
    <t>martin.lee@glasgow.ac.uk</t>
  </si>
  <si>
    <t>Lee, Martin/D-9169-2011</t>
  </si>
  <si>
    <t>Lee, Martin/0000-0002-6004-3622</t>
  </si>
  <si>
    <t>STFC [ST/T000228/1, ST/T002328/1, ST/W001128/1]; NSF [ST/T002328/1, ST/W001128/1]; NSF; NASA; STFC [ST/T002328/1, ST/W001128/1] Funding Source: UKRI</t>
  </si>
  <si>
    <t>STFC(UK Research &amp; Innovation (UKRI)Science &amp; Technology Facilities Council (STFC)); NSF(National Science Foundation (NSF)); NSF(National Science Foundation (NSF)); NASA(National Aeronautics &amp; Space Administration (NASA)); STFC(UK Research &amp; Innovation (UKRI)Science &amp; Technology Facilities Council (STFC))</t>
  </si>
  <si>
    <t>We thank Billy Smith and Colin How for assistance with the FIB and TEM work. IAF and XZ are grateful for STFC funding through grant ST/T000228/1 for NanoSIMS measurements, and MRL thanks the STFC for support through grants ST/T002328/1 and ST/W001128/1. We thank the Natural History Museum, London, for the loan of Cold Bokkeveld BM1727, and to ANSMET for the loan of LAP 02239.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We are very grateful to Conel Alexander and Samuel Ebert for their knowledgeable and constructive reviews, and an associate editor Josep Trigo-Rodriguez.</t>
  </si>
  <si>
    <t>1086-9379</t>
  </si>
  <si>
    <t>1945-5100</t>
  </si>
  <si>
    <t>METEORIT PLANET SCI</t>
  </si>
  <si>
    <t>Meteorit. Planet. Sci.</t>
  </si>
  <si>
    <t>10.1111/maps.13978</t>
  </si>
  <si>
    <t>AW2P3</t>
  </si>
  <si>
    <t>WOS:000966267700001</t>
  </si>
  <si>
    <t>Faria, FA; Bugoni, L; Nunes, GT; Senner, NR; Repenning, M</t>
  </si>
  <si>
    <t>Faria, Fernando A.; Bugoni, Leandro; Nunes, Guilherme T.; Senner, Nathan R.; Repenning, Marcio</t>
  </si>
  <si>
    <t>Spring migration of a Neotropical shorebird, the Rufous-chested Plover, Charadrius modestus, between southern Brazil and the sub-Antarctic Falkland/Malvinas Islands</t>
  </si>
  <si>
    <t>Biologging; Bird migration; Charadriidae; Movement ecology; Rufous-chested Dotterel</t>
  </si>
  <si>
    <t>NEW-ZEALAND; WIND; FLIGHT; BIRDS; EXPOSURE; TRACKING; TIME</t>
  </si>
  <si>
    <t>Information about migratory strategies and routes is central to avian ecology and conservation, but frequently lacking for Austral breeding species. Terrestrial Austral migrants wintering in southern Brazil are largely thought to breed in Patagonia and migrate to the region in late winter/spring. Here, we present satellite tracking data from 3 adult Rufous-chested Plovers (Charadrius modestus) tagged during the nonbreeding season in southern Brazil and describe the weather conditions during the initiation of their pre-breeding migration. These individuals departed their wintering areas on days of decreasing air pressure and predominantly NE quadrant tailwinds in late August/early September. Unexpectedly, they all performed non-stop flights (mean +/- 1 standard deviation = 2,354.6 +/- 30.8 km in orthodromes) over the Southwestern Atlantic Ocean to reach breeding sites in the sub-Antarctic Malvinas/Falkland Islands in 3-6 days. These are the first tracking data for this species, and some of the only data from any species using this poorly studied migratory system. Gathering additional information on this route could, therefore, be crucial for management and conservation, as little is known about the sites at which migrants concentrate during the pre-migratory period and because this route can be a potential gateway for emerging pathogens and viruses to sub-Antarctic and Antarctic regions.</t>
  </si>
  <si>
    <t>[Faria, Fernando A.; Bugoni, Leandro; Repenning, Marcio] Univ Fed Rio Grande FURG, Lab Aves Aquat &amp; Tartarugas Marinhas, Inst Ciencias Biol, Campus Carreiros, BR-96203900 Rio Grande, RS, Brazil; [Faria, Fernando A.; Bugoni, Leandro] Univ Fed Rio Grande FURG, Programa Posgrad Oceanog Biol, Inst Oceanog, Campus Carreiros, BR-96203900 Rio Grande, RS, Brazil; [Nunes, Guilherme T.] Univ Fed Rio Grande Sul UFRGS, Ctr Estudos Costeiros Limnol &amp; Marinhos CECLIMAR, BR-95625000 Imbe, RS, Brazil; [Senner, Nathan R.] Univ Massachusetts, Dept Environm Conservat, Amherst, MA 01003 USA</t>
  </si>
  <si>
    <t>Universidade Federal do Rio Grande; Universidade Federal do Rio Grande; Universidade Federal do Rio Grande do Sul; University of Massachusetts System; University of Massachusetts Amherst</t>
  </si>
  <si>
    <t>Faria, FA (corresponding author), Univ Fed Rio Grande FURG, Lab Aves Aquat &amp; Tartarugas Marinhas, Inst Ciencias Biol, Campus Carreiros, BR-96203900 Rio Grande, RS, Brazil.;Faria, FA (corresponding author), Univ Fed Rio Grande FURG, Programa Posgrad Oceanog Biol, Inst Oceanog, Campus Carreiros, BR-96203900 Rio Grande, RS, Brazil.</t>
  </si>
  <si>
    <t>biofariaf@gmail.com</t>
  </si>
  <si>
    <t>Bugoni, Leandro/F-9539-2012; Nunes, Guilherme Tavares/AAL-2807-2020</t>
  </si>
  <si>
    <t>Bugoni, Leandro/0000-0003-0689-7026; Nunes, Guilherme Tavares/0000-0002-0095-1389</t>
  </si>
  <si>
    <t>10.1007/s00300-023-03126-8</t>
  </si>
  <si>
    <t>E3KH8</t>
  </si>
  <si>
    <t>WOS:000965535300001</t>
  </si>
  <si>
    <t>Burger, DA; van der Merwe, S; Lesaffre, E; le Roux, PC; Raath-Krüger, MJ</t>
  </si>
  <si>
    <t>Burger, Divan A.; van Der Merwe, Sean; Lesaffre, Emmanuel; le Roux, Peter C.; Raath-Krueger, Morgan J.</t>
  </si>
  <si>
    <t>A robust mixed-effects parametric quantile regression model for continuous proportions: Quantifying the constraints to vitality in cushion plants</t>
  </si>
  <si>
    <t>STATISTICA NEERLANDICA</t>
  </si>
  <si>
    <t>Bayesian; continuous proportions; cushion plants; mixed-effects; outliers; quantile regression; sub-Antarctic</t>
  </si>
  <si>
    <t>DISTRIBUTIONS; OUTLIERS</t>
  </si>
  <si>
    <t>There is no literature on outlier-robust parametric mixed-effects quantile regression models for continuous proportion data as an alternative to systematically identifying and eliminating outliers. To fill this gap, we formulate a robust method by extending the recently proposed fixed-effects quantile regression model based on the heavy-tailed Johnson-t$$ t $$ distribution for continuous proportion data to the mixed-effects modeling context, using a Bayesian approach. Our proposed method is motivated by and used to model the extreme quantiles of the vitality of cushion plants to provide insights into the ecology of the system in which the plants are dominant. We conducted a simulation study to assess the new method's performance and robustness to outliers. We show that the new model has good accuracy and confidence interval coverage properties and is remarkably robust to outliers. In contrast, our study demonstrates that the current approach in the literature for modeling hierarchically structured bounded data's quantiles is susceptible to outliers, especially when modeling the extreme quantiles. We conclude that the proposed model is an appropriate robust alternative to the current approach for modeling the quantiles of correlated continuous proportions when outliers are present in the data.</t>
  </si>
  <si>
    <t>[Burger, Divan A.] Cytel Inc, 1050 Winter St, Waltham, MA 02451 USA; [Burger, Divan A.] Univ Pretoria, Dept Stat, Pretoria, South Africa; [van Der Merwe, Sean] Univ Free State, Dept Math Stat &amp; Actuarial Sci, Bloemfontein, South Africa; [Lesaffre, Emmanuel] Katholieke Univ Leuven, I BioStat, Leuven, Belgium; [le Roux, Peter C.; Raath-Krueger, Morgan J.] Univ Pretoria, Dept Plant &amp; Soil Sci, Pretoria, South Africa</t>
  </si>
  <si>
    <t>Cytel; University of Pretoria; University of the Free State; KU Leuven; University of Pretoria</t>
  </si>
  <si>
    <t>Burger, DA (corresponding author), Univ Pretoria, Dept Stat, ZA-0028 Pretoria, South Africa.</t>
  </si>
  <si>
    <t>divanaburger@gmail.com</t>
  </si>
  <si>
    <t>le Roux, Peter Christiaan/E-7784-2011; Raath-Krüger, Morgan/AAM-8871-2020; Burger, Divan Aristo/V-1986-2017</t>
  </si>
  <si>
    <t>le Roux, Peter Christiaan/0000-0002-7941-7444; Raath-Krüger, Morgan/0000-0002-3326-1165; van der Merwe, Sean/0000-0002-8623-8639; Burger, Divan Aristo/0000-0001-8096-6371; LESAFFRE, Emmanuel/0000-0002-3747-6905</t>
  </si>
  <si>
    <t>NRF of South Africa [132383, PDG190329424983]; South African National Antarctic Programme [93077, 110726]</t>
  </si>
  <si>
    <t>NRF of South Africa; South African National Antarctic Programme</t>
  </si>
  <si>
    <t>NRF of South Africa (Grant Number 132383 &amp; Postdoctoral Grant PDG190329424983); South African National Antarctic Programme (Grant Numbers 93077 &amp; 110726)</t>
  </si>
  <si>
    <t>0039-0402</t>
  </si>
  <si>
    <t>1467-9574</t>
  </si>
  <si>
    <t>STAT NEERL</t>
  </si>
  <si>
    <t>Stat. Neerl.</t>
  </si>
  <si>
    <t>NOV</t>
  </si>
  <si>
    <t>10.1111/stan.12293</t>
  </si>
  <si>
    <t>Statistics &amp; Probability</t>
  </si>
  <si>
    <t>Mathematics</t>
  </si>
  <si>
    <t>X4JE9</t>
  </si>
  <si>
    <t>WOS:000965481000001</t>
  </si>
  <si>
    <t>Roca, IT; Kaleschke, L; Van Opzeeland, I</t>
  </si>
  <si>
    <t>Roca, Irene T.; Kaleschke, Lars; Van Opzeeland, Ilse</t>
  </si>
  <si>
    <t>Sea-ice anomalies affect the acoustic presence of Antarctic pinnipeds in breeding areas</t>
  </si>
  <si>
    <t>FRONTIERS IN ECOLOGY AND THE ENVIRONMENT</t>
  </si>
  <si>
    <t>WEDDELL SEALS; ECOLOGY; HABITAT</t>
  </si>
  <si>
    <t>Sea ice is crucial for breeding in true Antarctic pinnipeds. Although critical to interpret and mitigate the effects of extreme climatic events on polar species, knowledge of the effects of strong sea-ice anomalies on the reproductive activity of true Antarctic pinnipeds is scarce. Underwater vocalizations in these species play a key role in reproduction and function as indicators for presence and breeding onset. Using 8 years of recordings, we quantified the effect of sea-ice concentration and drift on the acoustic presence probability of four pinniped species in their breeding areas. In all four species, acoustic activity timing was constant across years, but decreased when sea-ice cover conditions were &lt;10%, suggesting that individuals may fail to anticipate rapid changes in sea-ice cover. In the species' traditional breeding areas, extreme and regular negative anomalies in early austral-summer sea ice could affect long-term reproductive success. Our findings underscore the urgent need for a better understanding of climate-driven changes in high-fidelity breeding areas to mitigate current and future anthropogenic pressures, and to sustain the integrity and functionality of the Southern Ocean's ecosystems.</t>
  </si>
  <si>
    <t>[Roca, Irene T.; Van Opzeeland, Ilse] Carl von Ossietzky Univ Oldenburg, Helmholtz Inst Funct Marine Biodivers, Oldenburg, Germany; [Roca, Irene T.; Kaleschke, Lars; Van Opzeeland, Ilse] Alfred Wegener Inst, Helmholtz Ctr Polar &amp; Marine Res, Bremerhaven, Germany; [Roca, Irene T.] Univ Quebec Outaouais, Gatineau, PQ, Canada</t>
  </si>
  <si>
    <t>Carl von Ossietzky Universitat Oldenburg; Helmholtz Association; Alfred Wegener Institute, Helmholtz Centre for Polar &amp; Marine Research; University of Quebec; University Quebec Outaouais</t>
  </si>
  <si>
    <t>Roca, IT (corresponding author), Carl von Ossietzky Univ Oldenburg, Helmholtz Inst Funct Marine Biodivers, Oldenburg, Germany.;Roca, IT (corresponding author), Alfred Wegener Inst, Helmholtz Ctr Polar &amp; Marine Res, Bremerhaven, Germany.;Roca, IT (corresponding author), Univ Quebec Outaouais, Gatineau, PQ, Canada.</t>
  </si>
  <si>
    <t>irene.rocatorrecilla@uqo.ca</t>
  </si>
  <si>
    <t>Bremerhavener Gesellschaft fuer Innovationsfoerderung und Stadtentwicklung (BIS); Projekt DEAL</t>
  </si>
  <si>
    <t>O Boebel, S Spiesecke, and L Kindermann; H Klinck, S Riedel, D Steinhage, A Ziffer, and the overwintering teams (Alfred Wegener Institute for Polar and Marine Research, Bremerhaven, Germany); H Schubert (Reederei F Laeisz GmbH, Rostock, Germany); and R Verhoeven, J Hoffmann, and C Mueller (FIELAX Services for Marine Science and Technology mbH, Bremerhaven, Germany) all played crucial roles in establishing and/or maintaining the Perennial Acoustic Observatory in the Antarctic Ocean (PALAOA). Partial funding for the PALAOA project was provided by the Bremerhavener Gesellschaft fuer Innovationsfoerderung und Stadtentwicklung (BIS). Sea-ice data were provided by the University of Bremen. Open Access funding enabled and organized by Projekt DEAL.</t>
  </si>
  <si>
    <t>1540-9295</t>
  </si>
  <si>
    <t>1540-9309</t>
  </si>
  <si>
    <t>FRONT ECOL ENVIRON</t>
  </si>
  <si>
    <t>Front. Ecol. Environ.</t>
  </si>
  <si>
    <t>10.1002/fee.2622</t>
  </si>
  <si>
    <t>Ecology; Environmental Sciences</t>
  </si>
  <si>
    <t>I1FO5</t>
  </si>
  <si>
    <t>WOS:000965934200001</t>
  </si>
  <si>
    <t>Mofokeng, RP; Faltynkova, A; Alfonso, MB; Boujmil, I; Carvalho, IRB; Lunzalu, K; Zanuri, NBM; Nyadjro, ES; Puskic, PS; Lindsay, DJ; Willis, K; Adyel, TM; Serra-Gonçalves, C; Zolich, A; Eriksen, TS; Evans, HC; Gabriel, D; Hajbane, S; Suaria, G; Law, KL; Lobelle, D</t>
  </si>
  <si>
    <t>Mofokeng, R. P.; Faltynkova, A.; Alfonso, M. B.; Boujmil, I.; Carvalho, I. R. B.; Lunzalu, K.; Zanuri, N. B. Mohd; Nyadjro, E. S.; Puskic, P. S.; Lindsay, D. J.; Willis, K.; Adyel, T. M.; Serra-Goncalves, C.; Zolich, A.; Eriksen, T. S.; Evans, H-C; Gabriel, D.; Hajbane, S.; Suaria, G.; Law, K. L.; Lobelle, D.</t>
  </si>
  <si>
    <t>The future of ocean plastics: designing diverse collaboration frameworks</t>
  </si>
  <si>
    <t>ICES JOURNAL OF MARINE SCIENCE</t>
  </si>
  <si>
    <t>communication; marine litter; plastic pollution; policy; research; stakeholders; technology</t>
  </si>
  <si>
    <t>MARINE POLLUTION; GOVERNANCE; POLICIES; SCIENCE; THREAT</t>
  </si>
  <si>
    <t>This paper aims to guide the stakeholder engagement process related to plastic pollution research in marine environments. We draw on advice identified during an online workshop (Ocean Plastic Workshop 2022) organized by Early Career Ocean Professionals (ECOPs) from 11 countries, held in April 2022. International experts and workshop participants discussed their experiences in the collaborative development and implementation of ocean plastic pollution projects held worldwide, guided by three main questions: (i) What is the role of scientists in a multi-stakeholder project? (ii) How should scientists communicate with other stakeholders? (iii) Which stakeholders are missing in collaborative projects, and why are they missing? This multidisciplinary, co-learning approach highlights the value of stakeholder engagement for ocean plastic projects with an end goal to identify and implement ocean plastic solutions via innovative technologies, informing policy, community engagement, or a combination of all three approaches. The target outcomes of the workshop described in this paper include the identification of transdisciplinary (academic-stakeholder) engagement frameworks and specific suggestions that can serve as guidelines for the development of future plastic pollution projects.</t>
  </si>
  <si>
    <t>[Mofokeng, R. P.] Univ KwaZulu Natal, Sch Life Sci, Westville Campus, ZA-3629 Durban, South Africa; [Faltynkova, A.] Norwegian Univ Sci &amp; Technol NTNU, Dept Biol, N-7491 Trondheim, Norway; [Alfonso, M. B.] Kyushu Univ, Ctr Ocean Plast Studies, Res Inst Appl Mech COPS RIAM, Kasuga, Fukuoka 8168580, Japan; [Boujmil, I.] Natl Inst Marine Sci &amp; Technol INSTM, Carthage 2025, Tunisia; [Carvalho, I. R. B.] Univ Sao Paulo, Inst Environm &amp; Energy, BR-05508110 Sao Paulo, Brazil; [Lunzalu, K.] Univ Calif Santa Cruz, Dept Environm Studies, Santa Cruz, CA 95064 USA; [Zanuri, N. B. Mohd] Univ Sains Malaysia, Ctr Marine &amp; Coastal Studies CEMACS, George Town 11800, Malaysia; [Nyadjro, E. S.] Mississippi State Univ, Northern Gulf Inst, Mississippi State, MS USA; [Nyadjro, E. S.] NOAA, Stennis Space Ctr, Natl Centers Environm Informat, Mississippi State, MS 39529 USA; [Puskic, P. S.; Serra-Goncalves, C.] Univ Tasmania, Inst Marine &amp; Antarctic Studies, Hobart, Tas 7004, Australia; [Puskic, P. S.; Willis, K.; Serra-Goncalves, C.] Univ Tasmania, Ctr Marine Socioecol, Hobart, Tas 7001, Australia; [Lindsay, D. J.] Japan Agcy Marine Earth Sci &amp; Technol, Inst Extracutting Edge Sci &amp; Technol, Avantgarde Res X Star, Yokosuka, Kanagawa 2370061, Japan; [Willis, K.] Commonwealth Sci &amp; Ind Res Org, Environm Business Unit, Hobart, Tas 7001, Australia; [Adyel, T. M.] Deakin Univ, Ctr Integrat Ecol, Sch Life &amp; Environm Sci, Melbourne, Vic 3125, Australia; [Adyel, T. M.] Univ South Australia, STEM, Mawson Lakes Campus, Mawson Lakes, SA 5095, Australia; [Eriksen, T. S.] South African Inst Aquat Biodivers, ZA-6139 Makhanda, South Africa; [Evans, H-C] Univ Eswatini, Dept Journalism &amp; Mass Commun, Kwaluseni, Eswatini; [Gabriel, D.] Univ Azores, Res Ctr Biodivers &amp; Genet Resources CIBIO, P-9501801 Ponta Delgada, Portugal; [Hajbane, S.] Univ Western Australia, Oceans Grad Sch, Crawley, WA 6009, Australia; [Hajbane, S.] Univ Western Australia, UWA Oceans Inst, Crawley, WA 6009, Australia; [Suaria, G.] Natl Res Council ISMAR CNR, Inst Marine Sci, I-19032 Lerici, Italy; [Law, K. L.] Sea Educ Assoc, Woods Hole, MA 02543 USA; [Lobelle, D.] Univ Utrecht, Inst Marine &amp; Atmospher Res, NL-3584 CC Utrecht, Netherlands; [Lobelle, D.] Fugro, Veurse Achterweg 10, NL-2264 SG Leidschendam, Netherlands</t>
  </si>
  <si>
    <t>University of Kwazulu Natal; Norwegian University of Science &amp; Technology (NTNU); Kyushu University; Universidade de Sao Paulo; University of California System; University of California Santa Cruz; Universiti Sains Malaysia; Mississippi State University; National Oceanic Atmospheric Admin (NOAA) - USA; Mississippi State University; National Aeronautics &amp; Space Administration (NASA); University of Tasmania; University of Tasmania; Japan Agency for Marine-Earth Science &amp; Technology (JAMSTEC); Commonwealth Scientific &amp; Industrial Research Organisation (CSIRO); Melbourne Genomics Health Alliance; Deakin University; University of South Australia; National Research Foundation - South Africa; South African Institute for Aquatic Biodiversity; Universidade dos Acores; University of Western Australia; University of Western Australia; Consiglio Nazionale delle Ricerche (CNR); Istituto di Scienze Marine (ISMAR-CNR); Utrecht University</t>
  </si>
  <si>
    <t>Lobelle, D (corresponding author), Univ Utrecht, Inst Marine &amp; Atmospher Res, NL-3584 CC Utrecht, Netherlands.;Lobelle, D (corresponding author), Fugro, Veurse Achterweg 10, NL-2264 SG Leidschendam, Netherlands.</t>
  </si>
  <si>
    <t>delphine.lobelle@gmail.com</t>
  </si>
  <si>
    <t>Alfonso, Maria Belen/JNS-2767-2023; Adyel, Tanveer/AAQ-6463-2020; Suaria, Giuseppe/O-4210-2014; Evans, Henri-Count/F-7918-2018; Gabriel, Daniela/L-7869-2013</t>
  </si>
  <si>
    <t>Alfonso, Maria Belen/0000-0003-0543-8098; Adyel, Tanveer/0000-0001-5940-5406; Suaria, Giuseppe/0000-0002-4290-349X; Hajbane, Sara/0000-0001-6644-4585; Serra-Goncalves, Catarina/0000-0003-0252-9381; Puskic, Peter/0000-0003-1352-8843; Boujmil, Ines/0000-0001-6763-8269; Nyadjro, Ebenezer/0000-0002-8803-5245; Faltynkova, Andrea/0000-0003-2523-3137; Gabriel, Daniela/0000-0002-0362-6274</t>
  </si>
  <si>
    <t>Richard Lounsbery Foundation</t>
  </si>
  <si>
    <t>This work was financially supported by The Richard Lounsbery Foundation.</t>
  </si>
  <si>
    <t>1054-3139</t>
  </si>
  <si>
    <t>1095-9289</t>
  </si>
  <si>
    <t>ICES J MAR SCI</t>
  </si>
  <si>
    <t>ICES J. Mar. Sci.</t>
  </si>
  <si>
    <t>JAN 22</t>
  </si>
  <si>
    <t>10.1093/icesjms/fsad055</t>
  </si>
  <si>
    <t>Fisheries; Marine &amp; Freshwater Biology; Oceanography</t>
  </si>
  <si>
    <t>FQ5U9</t>
  </si>
  <si>
    <t>WOS:000989540500001</t>
  </si>
  <si>
    <t>Biagioli, F; Coleine, C; Buzzini, P; Turchetti, B; Sannino, C; Selbmann, L</t>
  </si>
  <si>
    <t>Biagioli, Federico; Coleine, Claudia; Buzzini, Pietro; Turchetti, Benedetta; Sannino, Ciro; Selbmann, Laura</t>
  </si>
  <si>
    <t>Positive fungal interactions are key drivers in Antarctic endolithic microcosms at the boundaries for life sustainability</t>
  </si>
  <si>
    <t>FEMS MICROBIOLOGY ECOLOGY</t>
  </si>
  <si>
    <t>antarctica; cryptoendolithic communities; fungal interactions; global warming; ITS metabarcoding; network analysis</t>
  </si>
  <si>
    <t>ENVIRONMENT; COMMUNITY; DIVERSITY; CLIMATE</t>
  </si>
  <si>
    <t>In the ice-free areas of Victoria Land in continental Antarctica, where the conditions reach the limits for life sustainability, highly adapted and extreme-tolerant microbial communities exploit the last habitable niches inside porous rocks (i.e. cryptoendolithic communities). These guilds host the main standing biomass and principal, if not sole, contributors to environmental/biogeochemical cycles, driving ecosystem processes and functionality in these otherwise dead lands. Although knowledge advances on their composition, ecology, genomic and metabolic features, a large-scale perspective of occurring interactions and interconnections within and between endolithic fungal assemblages is still lacking to date. Unravelling the tight relational network among functional guilds in the Antarctic cryptoendolithic communities may represent a main task. Aiming to fill this knowledge gap, we performed a correlation-network analysis based on amplicon-sequencing data of 74 endolithic microbiomes collected throughout Victoria Land. Endolithic communities' compositional pattern was largely dominated by Lichenized fungi group (83.5%), mainly represented by Lecanorales and Lecideales, followed by Saprotrophs (14.2%) and RIF+BY (2.4%) guilds led by Tremellales and Capnodiales respectively. Our findings highlighted that fungal functional guilds' relational spectrum was dominated by cooperative interactions led by lichenised and black fungi, deeply engaged in community trophic sustain and protection, respectively. On the other hand, a few negative correlations found may help in preserving niche boundaries between microbes living in such strict spatial association. Fungal interactions promote the functioning of Antarctic endolithic communities.</t>
  </si>
  <si>
    <t>[Biagioli, Federico; Coleine, Claudia; Selbmann, Laura] Univ Tuscia, Dept Ecol &amp; Biol Sci, I-01100 Viterbo, Italy; [Buzzini, Pietro; Turchetti, Benedetta; Sannino, Ciro] Univ Perugia, Dept Agr Food &amp; Environm Sci, I-06121 Perugia, Italy; [Buzzini, Pietro; Turchetti, Benedetta; Sannino, Ciro] Univ Perugia, Ind Yeasts Collect DBVPG, I-06121 Perugia, Italy; [Selbmann, Laura] Italian Natl Antarctic Museum MNA, Mycol Sect, I-16121 Genoa, Italy</t>
  </si>
  <si>
    <t>Tuscia University; University of Perugia; University of Perugia</t>
  </si>
  <si>
    <t>Coleine, C (corresponding author), Univ Tuscia, Dept Ecol &amp; Biol Sci, I-01100 Viterbo, Italy.</t>
  </si>
  <si>
    <t>coleine@unitus.it</t>
  </si>
  <si>
    <t>Coleine, Claudia/AAE-1889-2020; Selbmann, Laura/L-3056-2013</t>
  </si>
  <si>
    <t>Coleine, Claudia/0000-0002-9289-6179; Selbmann, Laura/0000-0002-8967-3329; Biagioli, Federico/0000-0001-7648-0520; turchetti, benedetta/0000-0002-7370-3028</t>
  </si>
  <si>
    <t>Italian National Program for Antarctic Research (PNRA); Italian Antarctic National Museum (MNA)</t>
  </si>
  <si>
    <t>Authors wish to thank the Italian National Program for Antarctic Research (PNRA) for funding sampling campaigns and research activities in Italy in the frame of PNRA projects. The Italian Antarctic National Museum (MNA) is kindly acknowledged for financial support to the Culture Collection of Antarctic fungi (MNA-CCFEE, University of Tuscia, Italy) of the Mycological Section of the MNA, where the rocks used in this study are stored. Authors wish to thank Jean-Pierre Paul de Vera and German BGR for the logistics provided for the necessary field work of planetary analogue characterization and sample collection in Antarctica during the GANOVEX 10 expedition and are specifically very thankful to Dr Andreas Laeufer, the expedition leader, who organised the helicopter trips to the most remote areas such as the Helliwell Hills.</t>
  </si>
  <si>
    <t>0168-6496</t>
  </si>
  <si>
    <t>1574-6941</t>
  </si>
  <si>
    <t>FEMS MICROBIOL ECOL</t>
  </si>
  <si>
    <t>FEMS Microbiol. Ecol.</t>
  </si>
  <si>
    <t>APR 7</t>
  </si>
  <si>
    <t>fiad045</t>
  </si>
  <si>
    <t>10.1093/femsec/fiad045</t>
  </si>
  <si>
    <t>G7ER1</t>
  </si>
  <si>
    <t>WOS:000990752100002</t>
  </si>
  <si>
    <t>Chatterjee, S; Das, SK; Behera, PK; Ghosh, D; Chakraborty, A; Patel, PP; Ikehara, M</t>
  </si>
  <si>
    <t>Chatterjee, Subham; Das, Supriyo Kumar; Behera, Pravat Kumar; Ghosh, Devanita; Chakraborty, Arindam; Patel, Priyank Pravin; Ikehara, Minoru</t>
  </si>
  <si>
    <t>Short-chain n-alkanes in benthic mats and mosses from the Larsemann Hills, East Antarctica</t>
  </si>
  <si>
    <t>ORGANIC GEOCHEMISTRY</t>
  </si>
  <si>
    <t>Ultraviolet radiation; Antarctica; Larsemann Hills; Benthic mat; Moss; n-alkanes</t>
  </si>
  <si>
    <t>UV-B RADIATION; CARBON-ISOTOPE FRACTIONATION; FTIR SPECTROSCOPY; ULTRAVIOLET-RADIATION; PIGMENT COMPOSITION; VESTFOLD HILLS; SALINE LAKES; WAX; BIOSYNTHESIS; TRANSITION</t>
  </si>
  <si>
    <t>Variation in leaf colour (green, red and grey) of mosses and lake benthic mats in Antarctica is often linked to water stress and ultraviolet light (UV-B) exposure. Changes in the abundance of organic compounds, such as pectin and phenols, are associated with mechanisms protecting against desiccation and UV radiation. However, the function of n-alkanes, especially against UV radiation, is rarely examined. Here, gas chromatography-mass spectrometry and Fourier-transform infrared spectroscopy analyses were performed to study the variation in n-alkanes in freshwater lake benthic mats and mosses collected from the Larsemann Hills in East Antarctica. Stable isotopes of organic carbon and nitrogen, environmental DNA characterisation and microscopy-based analyses are used to estimate the presence of cyanobacteria, algae and diatoms in moss and benthic mat consortia. Variation in the short-chain (n-C17 to n-C20) versus long-chain (n-C21 to n-C30) n-alkanes in the mosses and benthic mats with their colour were noted. The research links the relative abundance of short-chain n-alkanes to the UV-B exposure and proposes that Antarctic mosses and benthic mats synthesise short-chain n-alkanes for protection against UV-B.</t>
  </si>
  <si>
    <t>[Chatterjee, Subham; Das, Supriyo Kumar; Behera, Pravat Kumar] Presidency Univ, Dept Geol, Coll St 86-1, Kolkata 700073, India; [Ghosh, Devanita] Indian Inst Sci, Ctr Earth Sci, Bengaluru 560012, Karnataka, India; [Ghosh, Devanita] Delft Univ Technol, Civil Engn &amp; Geosci, NL-2628 CN Delft, Netherlands; [Chakraborty, Arindam] Acad Sinica, Inst Earth Sci, Taipei 115, Taiwan; [Patel, Priyank Pravin] Presidency Univ, Dept Geog, Coll St 86-1, Kolkata 700073, India; [Ikehara, Minoru] Kochi Univ, Ctr Adv Marine Core Res, Kochi, Japan</t>
  </si>
  <si>
    <t>Presidency University, Kolkata; Indian Institute of Science (IISC) - Bangalore; Delft University of Technology; Academia Sinica - Taiwan; Presidency University, Kolkata; Kochi University</t>
  </si>
  <si>
    <t>Das, SK (corresponding author), Presidency Univ, Dept Geol, Coll St 86-1, Kolkata 700073, India.</t>
  </si>
  <si>
    <t>sdas.geol@presiuniv.ac.in</t>
  </si>
  <si>
    <t>Patel, Priyank Pravin/AAI-8290-2020; Chakraborty, Arindam/HZK-7218-2023</t>
  </si>
  <si>
    <t>Patel, Priyank Pravin/0000-0003-4990-1662; Chakraborty, Arindam/0000-0003-4711-2635; Ikehara, Minoru/0000-0002-2695-4713; Ghosh, Devanita/0000-0002-6856-3868</t>
  </si>
  <si>
    <t>NCPOR; MoES [NCPOR/2019/PACER-POP/ES-01]</t>
  </si>
  <si>
    <t>NCPOR; MoES</t>
  </si>
  <si>
    <t>The authors acknowledge the financial support given by the NCPOR, MoES, under the PACER Outreach Programme Initiative (S.O.: NCPOR/2019/PACER-POP/ES-01 dated 05/07/2019) . The authors thank P. Elango, the logistics personnel of 38th ISEA, Abhishek Verma and Anoop Mahajan, who helped in sample collection. Rahul Mohan is acknowledged for supporting the research proposal as a collaborator. Director, BSIP is acknowledged for providing permission to A.C. to carry out the work. We thank the reviewers, John K. Volkman and the Associate Editor for their comments which improved the manuscript.</t>
  </si>
  <si>
    <t>0146-6380</t>
  </si>
  <si>
    <t>1873-5290</t>
  </si>
  <si>
    <t>ORG GEOCHEM</t>
  </si>
  <si>
    <t>Org. Geochem.</t>
  </si>
  <si>
    <t>10.1016/j.orggeochem.2023.104587</t>
  </si>
  <si>
    <t>F3JH5</t>
  </si>
  <si>
    <t>WOS:000981335700001</t>
  </si>
  <si>
    <t>Zheng, KY; Dong, Y; Liang, YT; Liu, YD; Zhang, XR; Zhang, WJ; Wang, ZY; Shao, HB; Sung, YY; Mok, WJ; Wong, LL; McMinn, A; Wang, M</t>
  </si>
  <si>
    <t>Zheng, Kaiyang; Dong, Yue; Liang, Yantao; Liu, Yundan; Zhang, Xinran; Zhang, Wenjing; Wang, Ziyue; Shao, Hongbing; Sung, Yeong Yik; Mok, Wen Jye; Wong, Li Lian; McMinn, Andrew; Wang, Min</t>
  </si>
  <si>
    <t>Genomic diversity and ecological distribution of marine Pseudoalteromonas phages (Jan, 10.1007/s42995-022-00160-z, 2023)</t>
  </si>
  <si>
    <t>MARINE LIFE SCIENCE &amp; TECHNOLOGY</t>
  </si>
  <si>
    <t>Correction</t>
  </si>
  <si>
    <t>[Zheng, Kaiyang; Dong, Yue; Liang, Yantao; Liu, Yundan; Zhang, Xinran; Zhang, Wenjing; Wang, Ziyue; Shao, Hongbing; McMinn, Andrew; Wang, Min] Ocean Univ China, Coll Marine Life Sci, Inst Evolut &amp; Marine Biodivers, Qingdao 266100, Peoples R China; [Zheng, Kaiyang; Dong, Yue; Liang, Yantao; Liu, Yundan; Zhang, Xinran; Zhang, Wenjing; Wang, Ziyue; Shao, Hongbing; McMinn, Andrew; Wang, Min] Ocean Univ China, Frontiers Sci Ctr Deep Ocean Multispheres &amp; Earth, Qingdao 266100, Peoples R China; [Liang, Yantao; Shao, Hongbing; Sung, Yeong Yik; Mok, Wen Jye; Wong, Li Lian; Wang, Min] UMT OUC Joint Ctr Marine Studies, Qingdao 266003, Peoples R China; [Sung, Yeong Yik; Mok, Wen Jye; Wong, Li Lian] Univ Malaysia Terengganu UMT, Inst Marine Biotechnol, Kuala Nerus 21030, Malaysia; [McMinn, Andrew] Univ Tasmania, Inst Marine &amp; Antarctic Studies, Hobart, Australia; [Wang, Min] Ocean Univ China, Haide Coll, Qingdao 266100, Peoples R China; [Wang, Min] Qingdao Univ, Affiliated Hosp, Qingdao 266000, Peoples R China</t>
  </si>
  <si>
    <t>Ocean University of China; Ocean University of China; Universiti Malaysia Terengganu; University of Tasmania; Ocean University of China; Qingdao University</t>
  </si>
  <si>
    <t>Liang, YT; Wang, M (corresponding author), Ocean Univ China, Coll Marine Life Sci, Inst Evolut &amp; Marine Biodivers, Qingdao 266100, Peoples R China.;Liang, YT; Wang, M (corresponding author), Ocean Univ China, Frontiers Sci Ctr Deep Ocean Multispheres &amp; Earth, Qingdao 266100, Peoples R China.;Liang, YT; Wang, M (corresponding author), UMT OUC Joint Ctr Marine Studies, Qingdao 266003, Peoples R China.;Wang, M (corresponding author), Ocean Univ China, Haide Coll, Qingdao 266100, Peoples R China.;Wang, M (corresponding author), Qingdao Univ, Affiliated Hosp, Qingdao 266000, Peoples R China.</t>
  </si>
  <si>
    <t>liangyantao@ouc.edu.cn; mingwang@ouc.edu.cn</t>
  </si>
  <si>
    <t>li, jixiang/JXN-7599-2024; Mok, Wen Jye/AAF-9229-2019; zhang, wenjing/AAE-7146-2019; Wang, Min/AFR-9645-2022; chen, bin/KBQ-8114-2024; JIANG, Peng/KGL-3427-2024; wong, li/ABF-6896-2021; Han, Yang/JVN-5921-2024</t>
  </si>
  <si>
    <t>Mok, Wen Jye/0000-0002-7629-8312; Wang, Min/0000-0002-2357-589X; chen, bin/0000-0002-3398-1314; wong, li/0000-0003-0649-2010; Yeong, Yik Sung/0000-0001-5897-9037</t>
  </si>
  <si>
    <t>2096-6490</t>
  </si>
  <si>
    <t>2662-1746</t>
  </si>
  <si>
    <t>MAR LIFE SCI TECH</t>
  </si>
  <si>
    <t>Mar. Life Sci. Tech.</t>
  </si>
  <si>
    <t>10.1007/s42995-023-00166-1</t>
  </si>
  <si>
    <t>H6ZB7</t>
  </si>
  <si>
    <t>WOS:000965112300001</t>
  </si>
  <si>
    <t>Lannuzel, D; Fourquez, M; de Jong, J; Tison, JL; Delille, B; Schoemann, V</t>
  </si>
  <si>
    <t>Lannuzel, Delphine; Fourquez, Marion; de Jong, Jeroen; Tison, Jean-Louis; Delille, Bruno; Schoemann, Veronique</t>
  </si>
  <si>
    <t>First report on biological iron uptake in the Antarctic sea-ice environment</t>
  </si>
  <si>
    <t>Sea ice; Fe; C ratio; Ice algae; Phytoplankton; Uptake rates</t>
  </si>
  <si>
    <t>SOUTHERN-OCEAN; DISSOLVED IRON; MARINE-PHYTOPLANKTON; ORGANIC-LIGANDS; BIOGENIC IRON; WEDDELL SEA; ROSS SEA; CARBON; TEMPERATURE; FERTILIZATION</t>
  </si>
  <si>
    <t>Melting sea ice is a seasonal source of iron (Fe) to the Southern Ocean (SO), where Fe levels in surface waters are otherwise generally too low to support phytoplankton growth. However, the effectiveness of sea-ice Fe fertilization in stimulating SO primary production is unknown since no data exist on Fe uptake by microorganisms in the sea-ice environment. This study reports a unique dataset on Fe uptake rates, Fe-to-carbon (C) uptake ratio (Fe uptake normalized to C uptake) and Fe:C uptake rate (Fe uptake normalized to biomass) by in situ microbial communities inhabiting sea ice and the underlying seawater. Radioisotopes Fe-55 and C-14 were used in short-term uptake experiments during the 32-day Ice Station POLarstern (ISPOL) time series to evaluate the contributions of small (0.8-10 mu m) and large (&gt; 10 mu m) microbes to Fe uptake. Overall, results show that over 90% of Fe was bound to the outside of the cells. Intracellular Fe (Fe-intra) uptake rates reached up to 68, 194, and 203 pmol Fe L(-1)d(- 1) in under-ice seawater, bottom ice, and top ice, respectively. Inorganic carbon uptake ranged between 0.03 and 3.2 mu mol C L-1 d(-1), with the lowest rate observed in under-ice seawater. Importantly, between the start and end of ISPOL, we observed a 30-fold increase in Fe-intra normalized to carbon biomass in bottom sea ice. This trend was likely due to changes in the microbial community from a dominance of large diatoms at the start of the survey to small diatoms later in the season. As the Antarctic icescape and associated ecosystems are changing, this dataset will help inform the parameterisation of sea-ice biogeochemical and ecological models in ice-covered regions.</t>
  </si>
  <si>
    <t>[Lannuzel, Delphine] Univ Tasmania, Inst Marine &amp; Antarctic Studies, 20 Castray Esplanade, Hobart, Tas 7001, Australia; [Lannuzel, Delphine] Univ Tasmania, Australian Ctr Excellence Antarctic Sci, 20 Castray Esplanade, Hobart, Tas 7001, Australia; [Fourquez, Marion] Univ Toulon &amp; Var, Aix Marseille Univ, CNRS, IRD,MIO,UMR 110, F-13288 Marseille, France; [de Jong, Jeroen; Schoemann, Veronique] Univ Libre Bruxelles, Lab G Time, Brussels, Belgium; [Tison, Jean-Louis] Univ Libre Bruxelles, PROPICE Unit, Lab Glaciol, Brussels, Belgium; [Delille, Bruno] Univ Liege, Freshwater &amp; Ocean Sci Unit Res FOCUS, Unite Oceanog Chim, Liege, Belgium; [Schoemann, Veronique] Univ Libre Bruxelles, Fac Sci, Ecol Aquat Syst, Brussels, Belgium</t>
  </si>
  <si>
    <t>University of Tasmania; University of Tasmania; Centre National de la Recherche Scientifique (CNRS); Institut de Recherche pour le Developpement (IRD); Aix-Marseille Universite; Universite de Toulon; Universite Libre de Bruxelles; Universite Libre de Bruxelles; University of Liege; Universite Libre de Bruxelles</t>
  </si>
  <si>
    <t>Lannuzel, D (corresponding author), Univ Tasmania, Inst Marine &amp; Antarctic Studies, 20 Castray Esplanade, Hobart, Tas 7001, Australia.;Lannuzel, D (corresponding author), Univ Tasmania, Australian Ctr Excellence Antarctic Sci, 20 Castray Esplanade, Hobart, Tas 7001, Australia.</t>
  </si>
  <si>
    <t>delphine.lannuzel@utas.edu.au</t>
  </si>
  <si>
    <t>Lannuzel, Delphine/J-7937-2014; Delille, Bruno/C-3486-2008</t>
  </si>
  <si>
    <t>Fourquez, Marion/0000-0001-5395-4877; Delille, Bruno/0000-0003-0502-8101</t>
  </si>
  <si>
    <t>10.1007/s00300-023-03127-7</t>
  </si>
  <si>
    <t>hybrid, Green Published, Green Submitted</t>
  </si>
  <si>
    <t>WOS:000963367700001</t>
  </si>
  <si>
    <t>Mallet, MD; Humphries, RS; Fiddes, SL; Alexander, SP; Altieri, K; Angot, H; Anilkumar, N; Bartels-Rausch, T; Creamean, J; Dall'Osto, M; Frey, M; Henning, S; Lannuzel, D; Mace, GG; Mahajan, AS; McFarquhar, GM; Meiners, KM; Miljevic, B; Peeken, I; Protat, A; Schmale, J; Steiner, N; Sellegri, K; Simó, R; Thomas, JL; Willis, MD; Winton, VHL; Woodhouse, MT</t>
  </si>
  <si>
    <t>Mallet, Marc D.; Humphries, Ruhi S.; Fiddes, Sonya L.; Alexander, Simon P.; Altieri, Katye; Angot, Helen; Anilkumar, N.; Bartels-Rausch, Thorsten; Creamean, Jessie; Dall'Osto, Manuel; Frey, Markus; Henning, Silvia; Lannuzel, Delphine; Mace, Gerald G.; Mahajan, Anoop S.; McFarquhar, Greg M.; Meiners, Klaus M.; Miljevic, Branka; Peeken, Ilka; Protat, Alain; Schmale, Julia; Steiner, Nadja; Sellegri, Karine; Simo, Rafel; Thomas, Jennie L.; Willis, Megan D.; Winton, V. Holly L.; Woodhouse, Matthew T.</t>
  </si>
  <si>
    <t>Untangling the influence of Antarctic and Southern Ocean life on clouds</t>
  </si>
  <si>
    <t>ELEMENTA-SCIENCE OF THE ANTHROPOCENE</t>
  </si>
  <si>
    <t>Biogeochemistry; Atmosphere; Antarctica</t>
  </si>
  <si>
    <t>DIMETHYL SULFIDE; PARTICLE FORMATION; SULFATE AEROSOL; SEA SPRAY; ICE; DMS; ENVIRONMENTS; SENSITIVITY; OXIDATION; SEAWATER</t>
  </si>
  <si>
    <t>Polar environments are among the fastest changing regions on the planet. It is a crucial time to make significant improvements in our understanding of how ocean and ice biogeochemical processes are linked with the atmosphere. This is especially true over Antarctica and the Southern Ocean where observations are severely limited and the environment is far from anthropogenic influences. In this commentary, we outline major gaps in our knowledge, emerging research priorities, and upcoming opportunities and needs. We then give an overview of the large-scale measurement campaigns planned across Antarctica and the Southern Ocean in the next 5 years that will address the key issues. Until we do this, climate models will likely continue to exhibit biases in the simulated energy balance over this delicate region. Addressing these issues will require an international and interdisciplinary approach which we hope to foster and facilitate with ongoing community activities and collaborations.</t>
  </si>
  <si>
    <t>[Mallet, Marc D.; Humphries, Ruhi S.; Fiddes, Sonya L.; Alexander, Simon P.; Meiners, Klaus M.; Woodhouse, Matthew T.] Univ Tasmania, Inst Marine &amp; Antarctic Studies, Australian Antarctic Program Partnership, Hobart, Australia; [Humphries, Ruhi S.; Sellegri, Karine; Woodhouse, Matthew T.] CSIRO, Climate Sci Ctr, Oceans &amp; Atmosphere, Aspendale, Australia; [Alexander, Simon P.; Meiners, Klaus M.] Australian Antarctic Div, Channel Highway, Kingston, Tas, Australia; [Altieri, Katye] Univ Cape Town, Dept Oceanog, Rondebosch, South Africa; [Angot, Helen; Schmale, Julia] Ecole Polytech Fed Lausanne EPFL Valais Wallis, Extreme Environm Res Lab, Sion, Switzerland; [Angot, Helen; Thomas, Jennie L.] Univ Grenoble Alpes, CNRS, IRD,IGE, Grenoble INP,INRAE, Grenoble, France; [Anilkumar, N.] Govt India, Minist Earth Sci, Natl Ctr Polar &amp; Ocean Res, Vasco Da Gama, Goa, India; [Bartels-Rausch, Thorsten] Paul Scherrer Inst, Lab Environm Chem, Villigen, Switzerland; [Creamean, Jessie] Colorado State Univ, Dept Atmospher Sci, Ft Collins, CO USA; [Dall'Osto, Manuel; Simo, Rafel] CSIC, Consejo Super Invest Cientf CSIC, Barcelona, Spain; [Frey, Markus] British Antarctic Survey, Nat Environm Res Council, Cambridge, England; [Henning, Silvia] Leibniz Inst Tropospher Res, Leipzig, Germany; [Lannuzel, Delphine] Univ Tasmania, Inst Marine &amp; Antarctic Studies, Hobart, Tas, Australia; [Lannuzel, Delphine; Meiners, Klaus M.] Univ Tasmania, Inst Marine &amp; Antarctic Studies, ARC Australian Ctr Excellence Antarctic Sci, Hobart, Tas, Australia; [Lannuzel, Delphine; Mace, Gerald G.] Univ Utah, Dept Atmospher Sci, Salt Lake City, UT USA; [Mahajan, Anoop S.] Minist Earth Sci, Indian Inst Trop Meteorol, Pune, India; [McFarquhar, Greg M.] Univ Oklahoma, Cooperat Inst Mesoscale Meteorol Studies, Norman, OK USA; [Miljevic, Branka] Queensland Univ Technol, Sch Earth &amp; Atmospher Sci, Brisbane, Australia; [Peeken, Ilka] Alfred Wegener Inst, Helmholtz Zentrum Polar &amp; Meeresforsch, Bremerhaven, Germany; [Protat, Alain] Australian Bur Meteorol, Melbourne, Australia; [Steiner, Nadja] Inst Ocean Sci, Fisheries &amp; Oceans Canada, Sidney, BC, Canada; [Sellegri, Karine] Univ Clermont Ferrand, CNRS, LaMP, Aubiere, France; [Willis, Megan D.] Colorado State Univ, Dept Chem, Ft Collins, CO USA; [Winton, V. Holly L.] Victoria Univ Wellington, Antarctic Res Ctr, Wellington, New Zealand</t>
  </si>
  <si>
    <t>University of Tasmania; Commonwealth Scientific &amp; Industrial Research Organisation (CSIRO); Australian Antarctic Division; University of Cape Town; Swiss Federal Institutes of Technology Domain; Ecole Polytechnique Federale de Lausanne; Centre National de la Recherche Scientifique (CNRS); INRAE; Communaute Universite Grenoble Alpes; Institut National Polytechnique de Grenoble; Institut de Recherche pour le Developpement (IRD); Universite Grenoble Alpes (UGA); Ministry of Earth Sciences (MoES) - India; National Centre for Polar and Ocean Research (NCPOR); Swiss Federal Institutes of Technology Domain; Paul Scherrer Institute; Colorado State University; Consejo Superior de Investigaciones Cientificas (CSIC); UK Research &amp; Innovation (UKRI); Natural Environment Research Council (NERC); NERC British Antarctic Survey; Leibniz Institut fur Tropospharenforschung (TROPOS); University of Tasmania; University of Tasmania; Utah System of Higher Education; University of Utah; Ministry of Earth Sciences (MoES) - India; Indian Institute of Tropical Meteorology (IITM); University of Oklahoma System; University of Oklahoma - Norman; Queensland University of Technology (QUT); Helmholtz Association; Alfred Wegener Institute, Helmholtz Centre for Polar &amp; Marine Research; Bureau of Meteorology - Australia; Fisheries &amp; Oceans Canada; Centre National de la Recherche Scientifique (CNRS); Colorado State University; Victoria University Wellington</t>
  </si>
  <si>
    <t>Mallet, MD (corresponding author), Univ Tasmania, Inst Marine &amp; Antarctic Studies, Australian Antarctic Program Partnership, Hobart, Australia.</t>
  </si>
  <si>
    <t>marc.mallet@utas.edu.au</t>
  </si>
  <si>
    <t>Fiddes, Sonya L./HKM-5559-2023; Frey, Markus/G-1756-2012; Henning, Silvia/C-1114-2014; Altieri, Katye/M-5231-2014; Woodhouse, Matthew/E-4808-2013</t>
  </si>
  <si>
    <t>Fiddes, Sonya L./0000-0002-2752-0845; Frey, Markus/0000-0003-0535-0416; Henning, Silvia/0000-0001-9267-7825; Altieri, Katye/0000-0002-6778-4079; Mallet, Marc/0000-0003-2749-8833; Peeken, Ilka/0000-0003-1531-1664; Woodhouse, Matthew/0000-0002-9892-4492; Miljevic, Branka/0000-0003-4408-2047; Alexander, Simon/0000-0001-6823-8857; Simo, Rafel/0000-0003-3276-7663; Winton, Victoria/0000-0001-7112-6768</t>
  </si>
  <si>
    <t>Australian Government as part of the Antarctic Science Collaboration Initiative program, under the Australian Antarctic Program Partnership [ASCI000002]; Swiss National Science Foundation [200021_188478]; Ferring Pharmaceuticals; European Research Council (ERC) under the European Union [771369]; Rutherford Foundation Postdoctoral Fellowship by the Royal Society Te Aparangi [RFT-VUW1801-PD]; Swiss National Science Foundation (SNF) [200021_188478] Funding Source: Swiss National Science Foundation (SNF)</t>
  </si>
  <si>
    <t>Australian Government as part of the Antarctic Science Collaboration Initiative program, under the Australian Antarctic Program Partnership; Swiss National Science Foundation(Swiss National Science Foundation (SNSF)); Ferring Pharmaceuticals(Ferring Pharmaceuticals); European Research Council (ERC) under the European Union(European Research Council (ERC)); Rutherford Foundation Postdoctoral Fellowship by the Royal Society Te Aparangi(Royal Society of New Zealand); Swiss National Science Foundation (SNF)(Swiss National Science Foundation (SNSF))</t>
  </si>
  <si>
    <t>This project received grant funding from the Australian Government as part of the Antarctic Science Collaboration Initiative program, under the Australian Antarctic Program Partnership, ASCI000002. HA received funding from the Swiss National Science Foundation (grant no. 200021_188478). JS holds the Ingvar Kamprad Chair for Extreme Environments Research funded by Ferring Pharmaceuticals. KS received funding from the European Research Council (ERC) under the European Union's Horizon 2020 research and innovation programme (Grant agreement No. 771369) . VHLW was supported by a Rutherford Foundation Postdoctoral Fellowship administered by the Royal Society Te Aparangi (contract: RFT-VUW1801-PD) .</t>
  </si>
  <si>
    <t>UNIV CALIFORNIA PRESS</t>
  </si>
  <si>
    <t>OAKLAND</t>
  </si>
  <si>
    <t>155 GRAND AVE, SUITE 400, OAKLAND, CA 94612-3758 USA</t>
  </si>
  <si>
    <t>2325-1026</t>
  </si>
  <si>
    <t>ELEMENTA-SCI ANTHROP</t>
  </si>
  <si>
    <t>Elementa-Sci. Anthrop.</t>
  </si>
  <si>
    <t>APR 6</t>
  </si>
  <si>
    <t>10.1525/elementa.2022.00130</t>
  </si>
  <si>
    <t>JN8J6</t>
  </si>
  <si>
    <t>WOS:001173935900001</t>
  </si>
  <si>
    <t>Valério, A; Santana, LR; Motta, NG; Passos, LF; Wolke, SI; Mansilla, A; Astorga-España, MS; Becker, EM; de Pereira, CMP; Carreno, NLV</t>
  </si>
  <si>
    <t>Valerio Filho, Alaor; Santana, Luiza Ribeiro; Motta, Naiane Garcia; Passos, Luan Ferreira; Wolke, Silvana Ines; Mansilla, Andres; Soledad Astorga-Espana, Maria; Becker, Emilene Mendes; Pereira de Pereira, Claudio Martin; Villarreal Carreno, Neftali Lenin</t>
  </si>
  <si>
    <t>Extraction of fatty acids and cellulose from the biomass of algae Durvillaea antarctica and Ulva lactuca: An alternative for biorefineries</t>
  </si>
  <si>
    <t>Seaweed; Sub-Antarctic Chilean algae; Ultrafine fiber; Lipids</t>
  </si>
  <si>
    <t>LIPID EXTRACTION; OMEGA-3-FATTY-ACIDS; MACROALGAE; CARBON; NMR</t>
  </si>
  <si>
    <t>Algae have cellular structures, rich in polysaccharides, proteins, lipids, vitamins and minerals. In addition, fatty acids are known for their benefits to human health, such as in treating blood pressure, diabetes, and obesity. These properties determine the algal biomass value as a raw material for different applications. One of the polysaccharides present in algae and is still little explored is cellulose, an important material for numerous technological applications. In this study, Durvillaea antarctica and Ulva lactuca algae were used as raw materials for the production of a cellulosic-based materials combining alkaline treatment, bleaching and freeze-drying. The samples were analyzed by XRD,13C-CP-MAS-NMR, FT-IR, SEM, TEM and TGA techniques. XRD analysis showed that the material obtained presented crystallinity of above 60 %. FT-IR revealed that the methodology was effective in obtaining cellulose. SEM and TEM images exhibited a morphology consisted of cellulose fibers.</t>
  </si>
  <si>
    <t>[Valerio Filho, Alaor; Santana, Luiza Ribeiro; Motta, Naiane Garcia; Soledad Astorga-Espana, Maria; Villarreal Carreno, Neftali Lenin] Univ Fed Pelotas, Technol Dev Ctr, Grad Program Mat Sci &amp; Engn, Rua Gomes Carneiro 1, BR-96010000 Pelotas, RS, Brazil; [Passos, Luan Ferreira; Wolke, Silvana Ines; Becker, Emilene Mendes] Univ Fed Rio Grande do Sul, Inst Chem, Dept Inorgan Chem, Ave Bento Goncalves, BR-91501970 Porto Alegre, RS, Brazil; [Mansilla, Andres] Univ Magallanes, Lab Ecosistemas Marinos Antarticos &amp; Subantart, Punta Arenas, Chile; [Mansilla, Andres] Univ Magallanes, Ctr Int Cabo Hornos CHIC, Punta Arenas, Chile; [Soledad Astorga-Espana, Maria] Univ Magallanes, Lab Biogeoquim Ambiental, Punta Arenas, Chile; [Pereira de Pereira, Claudio Martin] Univ Fed Pelotas, Ctr Chem Pharmaceut &amp; Food Sci, Bioforens Res Grp, BR-96160000 Pelotas, Brazil</t>
  </si>
  <si>
    <t>Universidade Federal de Pelotas; Universidade Federal do Rio Grande do Sul; Universidad de Magallanes; Universidad de Magallanes; Universidad de Magallanes; Universidade Federal de Pelotas</t>
  </si>
  <si>
    <t>Carreno, NLV (corresponding author), Univ Fed Pelotas, Technol Dev Ctr, Grad Program Mat Sci &amp; Engn, Rua Gomes Carneiro 1, BR-96010000 Pelotas, RS, Brazil.</t>
  </si>
  <si>
    <t>neftali@ufpel.edu.br</t>
  </si>
  <si>
    <t>Carreño, Neftali Lenin Villarreal/C-2100-2016; Wolke, Silvana Ines/F-1583-2010</t>
  </si>
  <si>
    <t>Carreño, Neftali Lenin Villarreal/0000-0002-5780-817X; Valerio Filho, Alaor/0000-0002-0368-9857; Wolke, Silvana Ines/0000-0001-7164-7096; Mansilla, Andres/0000-0003-3505-7018</t>
  </si>
  <si>
    <t>Cape Horn International Center project [CHIC- FB210018]</t>
  </si>
  <si>
    <t>Cape Horn International Center project</t>
  </si>
  <si>
    <t>The authors would like to thank the Coordena?a ? o de Aperfei?oa- mento de Pessoal de N?vel Superior-Brasil (CAPES-Finance Code 001/process number Print 88887.310585/2018-0) . The Project ANID/BASAL FB210018, LMA-IQ-UNESP for TEM images. The CNANO-UFRGS for Solid State CP-MAS 13 C NMR and the invaluable technical support, and the LLipBio-UFPel for the FT-IR analysis. This project was also partially funded by the Cape Horn International Center project (CHIC- FB210018) and the Inova Clusters Tecnol ? ogicos Project, Innovat Hub B 3 , from Funda?a ? o de Amparo a ` Pesquisa do Estado do Rio Grande do Sul (FAPERGS-registration number 22/2551-0000840-2) .</t>
  </si>
  <si>
    <t>10.1016/j.algal.2023.103084</t>
  </si>
  <si>
    <t>E5OD9</t>
  </si>
  <si>
    <t>WOS:000976024800001</t>
  </si>
  <si>
    <t>Ebinghaus, R; Barbaro, E; Nash, SB; de Avila, C; Wit, CAD; Dulio, V; Felden, J; Franco, A; Gandrass, J; Grotti, M; Herata, H; Hughes, KA; Jartun, M; Joerss, H; Kallenborn, R; Koschorreck, J; Kuester, A; Lohmann, R; Wang, ZY; MacLeod, M; Pugh, R; Rauert, C; Slobodnik, J; Suehring, R; Vorkamp, K; Xie, ZY</t>
  </si>
  <si>
    <t>Ebinghaus, Ralf; Barbaro, Elena; Nash, Susan Bengtson; de Avila, Cristina; Wit, Cynthia A. de; Dulio, Valeria; Felden, Janine; Franco, Antonio; Gandrass, Juergen; Grotti, Marco; Herata, Heike; Hughes, Kevin A.; Jartun, Morten; Joerss, Hanna; Kallenborn, Roland; Koschorreck, Jan; Kuester, Anette; Lohmann, Rainer; Wang, Zhanyun; MacLeod, Matthew; Pugh, Rebecca; Rauert, Caren; Slobodnik, Jaroslav; Suehring, Roxana; Vorkamp, Katrin; Xie, Zhiyong</t>
  </si>
  <si>
    <t>Berlin statement on legacy and emerging contaminants in polar regions*</t>
  </si>
  <si>
    <t>Polar regions; Contamination; Legacy pollutants; Chemicals of emerging concern (CECs); Arctic; Antarctica</t>
  </si>
  <si>
    <t>ENVIRONMENTAL SPECIMEN BANK; PLANETARY BOUNDARY; CHEMICALS; PRIORITIZATION; COPRODUCTION; ANTARCTICA</t>
  </si>
  <si>
    <t>Polar regions should be given greater consideration with respect to the monitoring, risk assessment, and man-agement of potentially harmful chemicals, consistent with requirements of the precautionary principle. Pro-tecting the vulnerable polar environments requires (i) raising political and public awareness and (ii) restricting and preventing global emissions of harmful chemicals at their sources. The Berlin Statement is the outcome of an international workshop with representatives of the European Commission, the Arctic Council, the Antarctic Treaty Consultative Meeting, the Stockholm Convention on Persistent Organic Pollutants (POPs), environmental specimen banks, and data centers, as well as scientists from various international research institutions. The statement addresses urgent chemical pollution issues in the polar regions and provides recommendations for improving screening, monitoring, risk assessment, research cooperation, and open data sharing to provide environmental policy makers and chemicals management decision-makers with relevant and reliable contami-nant data to better protect the polar environments. The consensus reached at the workshop can be summarized in just two words: Act now! Specifically, Act now! to reduce the presence and impact of anthropogenic chemical pollution in polar re-gions by. center dot Establishing participatory co-development frameworks in a permanent multi-disciplinary platform for Arctic-Antarctic collaborations and establishing exchanges between the Arctic Monitoring and Assessment Program (AMAP) of the Arctic Council and the Antarctic Monitoring and Assessment Program (AnMAP) of the Scientific Committee on Antarctic Research (SCAR) to increase the visibility and exchange of contaminant data and to support the development of harmonized monitoring programs. center dot Integrating environmental specimen banking, innovative screening approaches and archiving systems, to provide opportunities for improved assessment of contaminants to protect polar regions.</t>
  </si>
  <si>
    <t>[Ebinghaus, Ralf; Gandrass, Juergen; Joerss, Hanna; Xie, Zhiyong] Helmholtz Zentrum Hereon, Inst Coastal Environm Chem, Geesthacht, Germany; [Barbaro, Elena] CNR, Inst Polar Sci, Rome, Italy; [Nash, Susan Bengtson] Griffith Univ, Ctr Planetary Hlth &amp; Food Secur, Nathan, Australia; [de Avila, Cristina] European Commiss, Safe &amp; Sustainable Chem, DG Environm, Brussels, Belgium; [Wit, Cynthia A. de; MacLeod, Matthew] Stockholm Univ, Dept Environm Sci, Stockholm, Sweden; [Dulio, Valeria; Slobodnik, Jaroslav] NORMAN Assoc, St Germain En Laye, France; [Felden, Janine] Helmholtz Ctr Polar &amp; Marine Res, Alfred Wegener Inst, PANGAEA, Bremerhaven, Germany; [Franco, Antonio] European Commiss, Joint Res Ctr JRC, Ispra, Italy; [Grotti, Marco] Univ Genoa, Dept Chem &amp; Ind Chem, Genoa, Italy; [Herata, Heike; Koschorreck, Jan; Kuester, Anette; Rauert, Caren] German Environm Agcy UBA, Dessau, Germany; [Hughes, Kevin A.] British Antarctic Survey, Cambridge, England; [Jartun, Morten] NIVA Norwegian Inst Water Res, Oslo, Norway; [Kallenborn, Roland] Norway NMBU, Norwegian Univ Life Sci, Fac Chem Biotechnol &amp; Food Sci KBM, As, Norway; [Lohmann, Rainer] Univ Rhode Isl, Grad Sch Oceanog, Kingston, RI USA; [Wang, Zhanyun] Empa Swiss Fed Labs Mat Sci &amp; Technol, Technol &amp; Soc Lab, CH-9014 St Gallen, Switzerland; [Pugh, Rebecca] Natl Inst Stand &amp; Technol, Gaithersburg, MD USA; [Suehring, Roxana] Toronto Metropolitan Univ, Dept Chem &amp; Biol, 350 Victoria St, Toronto, ON M5B 2K3, Canada; [Vorkamp, Katrin] Aarhus Univ, Dept Environm Sci, Roskilde, Denmark; [Kallenborn, Roland] Univ Arctic Oulo, Oulu, Finland</t>
  </si>
  <si>
    <t>Helmholtz Association; Helmholtz-Zentrum Hereon; Consiglio Nazionale delle Ricerche (CNR); Istituto di Scienze Polari (ISP-CNR); Griffith University; Stockholm University; Helmholtz Association; Alfred Wegener Institute, Helmholtz Centre for Polar &amp; Marine Research; European Commission Joint Research Centre; EC JRC ISPRA Site; University of Genoa; UK Research &amp; Innovation (UKRI); Natural Environment Research Council (NERC); NERC British Antarctic Survey; Norwegian Institute for Water Research (NIVA); Norwegian University of Life Sciences; University of Rhode Island; Swiss Federal Institutes of Technology Domain; Swiss Federal Laboratories for Materials Science &amp; Technology (EMPA); National Institute of Standards &amp; Technology (NIST) - USA; Toronto Metropolitan University; Aarhus University</t>
  </si>
  <si>
    <t>Ebinghaus, R (corresponding author), Helmholtz Zentrum Hereon, Inst Coastal Environm Chem, Geesthacht, Germany.</t>
  </si>
  <si>
    <t>ralf.ebinghaus@hereon.de</t>
  </si>
  <si>
    <t>Hughes, Kevin/JVZ-0793-2024; Lohmann, Rainer/B-1511-2008; Kallenborn, Roland/F-8368-2011; DULIO, Valeria/S-8401-2018; MacLeod, Matthew/D-5919-2013</t>
  </si>
  <si>
    <t>Kallenborn, Roland/0000-0003-1703-2538; MacLeod, Matthew/0000-0003-2562-7339</t>
  </si>
  <si>
    <t>10.1016/j.chemosphere.2023.138530</t>
  </si>
  <si>
    <t>F7TP0</t>
  </si>
  <si>
    <t>Green Published, hybrid, Green Accepted</t>
  </si>
  <si>
    <t>WOS:000984336600001</t>
  </si>
  <si>
    <t>Xia, YW; Gwyther, DE; Galton-Fenzi, B; Cougnon, EA; Fraser, AD; Moore, JC</t>
  </si>
  <si>
    <t>Xia, Yuwei; Gwyther, David E.; Galton-Fenzi, Ben; Cougnon, Eva A.; Fraser, Alexander D.; Moore, John C.</t>
  </si>
  <si>
    <t>Eddy and tidal driven basal melting of the Totten and Moscow University ice shelves</t>
  </si>
  <si>
    <t>ice; ocean interaction; wavelet coherence (WTC); heat transport; physical oceanography; eddy-resolving model</t>
  </si>
  <si>
    <t>EAST ANTARCTICA; CONTINENTAL-SHELF; WAVELET COHERENCE; MASS-LOSS; VARIABILITY; RESOLUTION; DYNAMICS; EXCHANGE; GLACIER; CIRCULATION</t>
  </si>
  <si>
    <t>The mass loss from the neighboring Totten and Moscow University ice shelves is accelerating and may raise global sea levels in coming centuries. Totten Glacier is mostly based on bedrock below sea level, and so is vulnerable to warm water intrusion reducing its ice shelf buttressing. The mechanisms driving the ocean forced sub-ice-shelf melting remains to be further explored. In this study, we simulate oceanic-driven ice shelf melting of the Totten (TIS) and Moscow University ice shelves (MUIS) using a high spatiotemporal resolution model that resolves both eddy and tidal processes. We selected the year 2014 as representative of the period 1992 to 2017 to investigate how basal melting varies on spatial and temporal scales. We apply the wavelet coherence method to investigate the interactions between the two ice shelves in time-frequency space and hence estimate the contributions from tidal (&lt;1.5 days) and eddy (2-35 days) components of the ocean heat transport to the basal melting of each ice shelf. In our simulation, the 2014 mean basal melt rate for TIS is 6.7 m yr(-1) (42 Gt yr(-1)) and 9.7 m yr(-1) (52 Gt yr(-1)) for MUIS. We find high wavelet coherence in the eddy dominated frequency band between the two ice shelves over almost the whole year. The wavelet coherence along five transects across the ice shelves suggests that TIS basal melting is dominated by eddy processes, while MUIS basal melting is dominated by tidal processes. The eddy-dominated basal melt for TIS is probably due to the large and convoluted bathymetric gradients beneath the ice shelf, weakening higher frequency tidal mode transport. This illustrates the key role of accurate bathymetric data plays in simulating on-going and future evolution of these important ice shelves.</t>
  </si>
  <si>
    <t>[Xia, Yuwei; Moore, John C.] Beijing Normal Univ, Coll Global Change &amp; Earth Syst Sci, Beijing, Peoples R China; [Gwyther, David E.] Univ Queensland, Sch Earth &amp; Environm Sci, Brisbane, Qld, Australia; [Galton-Fenzi, Ben] Australian Antarctic Div, Kingston, Tas, Australia; [Galton-Fenzi, Ben] Univ Tasmania, Inst Marine &amp; Antarctic Studies, Australian Antarctic Program Partnership, Hobart, Tas, Australia; [Galton-Fenzi, Ben; Fraser, Alexander D.] Univ Tasmania, Australian Ctr Excellence Antarctic Sci, Hobart, Tas, Australia; [Cougnon, Eva A.] Univ Tasmania, Integrated Marine Observing Syst, Australian Ocean Data Network, Hobart, Tas, Australia; [Moore, John C.] Univ Lapland, Arctic Ctr, Rovaniemi, Finland</t>
  </si>
  <si>
    <t>Beijing Normal University; University of Queensland; Australian Antarctic Division; University of Tasmania; University of Tasmania; University of Tasmania; University of Lapland</t>
  </si>
  <si>
    <t>Xia, YW; Moore, JC (corresponding author), Beijing Normal Univ, Coll Global Change &amp; Earth Syst Sci, Beijing, Peoples R China.;Moore, JC (corresponding author), Univ Lapland, Arctic Ctr, Rovaniemi, Finland.</t>
  </si>
  <si>
    <t>marcella_yw@foxmail.com; john.moore.bnu@gmail.com</t>
  </si>
  <si>
    <t>Xia, Yuwei/HLQ-4476-2023</t>
  </si>
  <si>
    <t>Fraser, Alexander/0000-0003-1924-0015</t>
  </si>
  <si>
    <t>National Key Research and Development Program of China [2021YFB3900105]; Finnish Academy COLD Consortium [322430]; University of Tasmania</t>
  </si>
  <si>
    <t>National Key Research and Development Program of China; Finnish Academy COLD Consortium; University of Tasmania</t>
  </si>
  <si>
    <t>his research has been supported by the National Key Research and Development Program of China (grant no. 2021YFB3900105),and Finnish Academy COLD Consortium (grant no. 322430). YXwas supported by the Chinese Scholarship Consulate during herabroad study at the University of Tasmania</t>
  </si>
  <si>
    <t>10.3389/fmars.2023.1159353</t>
  </si>
  <si>
    <t>E0VX3</t>
  </si>
  <si>
    <t>WOS:000972827800001</t>
  </si>
  <si>
    <t>Bodart, JA; Bingham, RG; Young, DA; MacGregor, JA; Ashmore, DW; Quartini, E; Hein, AS; Vaughan, DG; Blankenship, DD</t>
  </si>
  <si>
    <t>Bodart, Julien A.; Bingham, Robert G.; Young, Duncan A.; MacGregor, Joseph A.; Ashmore, David W.; Quartini, Enrica; Hein, Andrew S.; Vaughan, David G.; Blankenship, Donald D.</t>
  </si>
  <si>
    <t>High mid-Holocene accumulation rates over West Antarctica inferred from apervasive ice-penetrating radar reflector</t>
  </si>
  <si>
    <t>SURFACE MASS-BALANCE; GROUNDING-LINE RETREAT; WEDDELL SEA EMBAYMENT; PINE ISLAND GLACIER; NORTHERN GREENLAND; EAST ANTARCTICA; AIRBORNE-RADAR; DOME-C; SHEET; CORE</t>
  </si>
  <si>
    <t>Understanding the past and future evolution of the Antarctic Ice Sheet is challenged by the availability and quality of observed paleo-boundary conditions. Numerical icesheet models often rely on these paleo-boundary conditions to guide and evaluate their models' predictions of sea-level rise, with varying levels of confidence due to the sparsity of existing data across the ice sheet. A key data source for largescale reconstruction of past ice-sheet processes are internal reflecting horizons (IRHs) detected by radio-echo sounding (RES). When IRHs are isochronal and dated at ice cores, they can be used to determine paleo-accumulation rates and patterns on large spatial scales. Using a spatially extensive IRH over the Pine Island Glacier (PIG), Thwaites Glacier (THW), and the Institute and Moller ice streams (IMIS, covering a total of 610 000 km(2) or 30% of the West Antarctic Ice Sheet (WAIS)), and a local layer approximation model, we infer mid-Holocene accumulation rates over the slow-flowing parts of these catchments for the past similar to 4700 years. By comparing our results with modern climate reanalysis models (1979-2019) and observational syntheses (1651-2010), we estimate that accumulation rates over the AmundsenWeddell-Ross Divide were on average 18% higher during the mid-Holocene than modern rates. However, no significant spatial changes in the accumulation pattern were observed. The higher mid-Holocene accumulation-rate estimates match previous paleo-accumulation estimates from ice-core records and targeted RES surveys over the ice divide, and they also coincide with periods of grounding-line readvance during the Holocene over theWeddell and Ross sea sectors. We find that our spatially extensive, mid-Holocene-to-present accumulation estimates are consistent with a sustained late-Holocene period of higher accumulation rates occurring over millennia reconstructed from the WAIS Divide ice core (WD14), thus indicating that this ice core is spatially representative of the wider West Antarctic region. We conclude that future regional and continental ice-sheet modelling studies should base their climatic forcings on time-varying accumulation rates from the WAIS Divide ice core through the Holocene to generate more realistic predictions of the West Antarctic Ice Sheet's past contribution to sea-level rise.</t>
  </si>
  <si>
    <t>[Bodart, Julien A.; Bingham, Robert G.; Hein, Andrew S.] Univ Edinburgh, Sch Geosci, Edinburgh, Scotland; [Young, Duncan A.; Quartini, Enrica; Blankenship, Donald D.] Univ Texas Austin, Inst Geophys, Austin, TX USA; [MacGregor, Joseph A.] NASA Goddard Space Flight Ctr, Cryospher Sci Lab, Greenbelt, MD USA; [Ashmore, David W.] Univ Liverpool, Sch Environm Sci, Liverpool, England; [Ashmore, David W.] Met Off, Exeter, England; [Quartini, Enrica] Cornell Univ, Dept Astron, Ithaca, NY USA; [Vaughan, David G.] British Antarctic Survey, Cambridge, England</t>
  </si>
  <si>
    <t>University of Edinburgh; University of Texas System; University of Texas Austin; National Aeronautics &amp; Space Administration (NASA); NASA Goddard Space Flight Center; University of Liverpool; Met Office - UK; Cornell University; UK Research &amp; Innovation (UKRI); Natural Environment Research Council (NERC); NERC British Antarctic Survey</t>
  </si>
  <si>
    <t>Bodart, JA (corresponding author), Univ Edinburgh, Sch Geosci, Edinburgh, Scotland.</t>
  </si>
  <si>
    <t>julien.bodart@ed.ac.uk</t>
  </si>
  <si>
    <t>; Young, Duncan/G-6256-2010</t>
  </si>
  <si>
    <t>Ashmore, David/0000-0003-4829-7854; MacGregor, Joseph/0000-0002-5517-2235; Young, Duncan/0000-0002-6866-8176; Bodart, Dr Julien A/0000-0002-8237-0675</t>
  </si>
  <si>
    <t>NERC Doctoral Training Partnership grant [NE/L002558/1]; Scottish Alliance for Geoscience, Environment and Society (SAGES); NSF [CDI-0941678, PLR-1443690, PLR-10437661]; G. Unger Vetlesen Foundation; UTIG</t>
  </si>
  <si>
    <t>NERC Doctoral Training Partnership grant(UK Research &amp; Innovation (UKRI)Natural Environment Research Council (NERC)); Scottish Alliance for Geoscience, Environment and Society (SAGES); NSF(National Science Foundation (NSF)); G. Unger Vetlesen Foundation; UTIG</t>
  </si>
  <si>
    <t>Julien A. Bodart was supported by the NERC Doctoral Training Partnership grant (grant no. NE/L002558/1), hosted in the Edinburgh E3 DTP programme. Julien A. Bodart was also supported by the Scottish Alliance for Geoscience, Environment and Society (SAGES) with funding of a Postdoctoral and Early Career Researcher Exchanges scheme to UTIG. Support for UTIG data analysis was received from NSF (grant nos. CDI-0941678, PLR-1443690, and PLR-10437661) as well as the G. Unger Vetlesen Foundation and the UTIG Gale White and Ewing/-Worzel fellowships. This is the UTIG contribution no. 3955 and ITGC contribution no. 102.</t>
  </si>
  <si>
    <t>10.5194/tc-17-1497-2023</t>
  </si>
  <si>
    <t>C8WU6</t>
  </si>
  <si>
    <t>WOS:000964666600001</t>
  </si>
  <si>
    <t>Berdahl, M; Leguy, G; Lipscomb, WH; Urban, NM; Hoffman, MJ</t>
  </si>
  <si>
    <t>Berdahl, Mira; Leguy, Gunter; Lipscomb, William H.; Urban, Nathan M.; Hoffman, Matthew J.</t>
  </si>
  <si>
    <t>Exploring ice sheet model sensitivity to ocean thermal forcing and basal sliding using the Community Ice Sheet Model (CISM)</t>
  </si>
  <si>
    <t>EARTH SYSTEM MODEL; SEA-LEVEL RISE; PINE ISLAND GLACIER; MELT RATES; ANTARCTICA; SHELF; FUTURE; CLIMATE; VERSION; PROJECTIONS</t>
  </si>
  <si>
    <t>Multi-meter sea level rise (SLR) is thought to be possible within the next few centuries, with most of the uncertainty originating from the Antarctic land ice contribution. One source of uncertainty relates to the ice sheet model initialization. Since ice sheets have a long response time (compared to other Earth system components such as the atmosphere), ice sheet model initialization methods can have significant impacts on how the ice sheet responds to future forcings. To assess this, we generated 25 different ice sheet spinups, using the Community Ice Sheet Model (CISM) at a 4 km resolution. During each spin-up, we varied two key parameters known to impact the sensitivity of the ice sheet to future forcing: one related to the sensitivity of the ice shelf melt rate to ocean thermal forcing (TF) and the other related to the basal friction. The spin-ups all nudge toward observed thickness and enforce a no-advance calving criterion, such that all final spin-up states resemble observations but differ in their melt and friction parameter settings. Each spin-up was then forced with future ocean thermal forcings from 13 different CMIP6 models under the Shared Socioeconomic Pathway (SSP)5-8.5 emissions scenario and modern climatological surface mass balance data. Our results show that the effects of the ice sheet and ocean parameter settings used during the spin-up are capable of impacting multi-century future SLR predictions by as much as 2 m. By the end of this century, the effects of these choices are more modest, but still significant, with differences of up to 0.2m of SLR. We have identified a combined ocean and ice parameter space that leads to widespread mass loss within 500 years (low friction and high melt rate sensitivity). To explore temperature thresholds, we also ran a synthetically forced CISM ensemble that is focused on the Amundsen region only. Given certain ocean and ice parameter choices, Amundsen mass loss can be triggered with thermal forcing anomalies between 1.5 and 2 ffi C relative to the spin-up. Our results emphasize the critical importance of considering ice sheet and ocean parameter choices during spin-up for SLR predictions and suggest the importance of including glacial isostatic adjustment in ice sheet simulations.</t>
  </si>
  <si>
    <t>[Berdahl, Mira] Univ Washington, Dept Earth &amp; Space Sci, Washington, WA 98195 USA; [Leguy, Gunter; Lipscomb, William H.] Natl Ctr Atmospher Res, Climate &amp; Global Dynam Lab, Boulder, CO USA; [Berdahl, Mira; Urban, Nathan M.; Hoffman, Matthew J.] Los Alamos Natl Lab, Fluid Dynam &amp; Solid Mech Grp, Los Alamos, NM 87545 USA; [Urban, Nathan M.] Brookhaven Natl Lab, Comp Sci Initiat, Upton, NY USA</t>
  </si>
  <si>
    <t>University of Washington; National Center Atmospheric Research (NCAR) - USA; United States Department of Energy (DOE); Los Alamos National Laboratory; United States Department of Energy (DOE); Brookhaven National Laboratory</t>
  </si>
  <si>
    <t>Berdahl, M (corresponding author), Univ Washington, Dept Earth &amp; Space Sci, Washington, WA 98195 USA.;Berdahl, M (corresponding author), Los Alamos Natl Lab, Fluid Dynam &amp; Solid Mech Grp, Los Alamos, NM 87545 USA.</t>
  </si>
  <si>
    <t>mberdahl@uw.edu</t>
  </si>
  <si>
    <t>Leguy, Gunter/0000-0002-9963-8076; Lipscomb, William/0000-0002-7100-3730</t>
  </si>
  <si>
    <t>US Department of Energy (DOE) Office of Science (Biological and Environmental Research), Early Career Research program; National Science Foundation (NSF)</t>
  </si>
  <si>
    <t>US Department of Energy (DOE) Office of Science (Biological and Environmental Research), Early Career Research program(United States Department of Energy (DOE)); National Science Foundation (NSF)(National Science Foundation (NSF))</t>
  </si>
  <si>
    <t>We thank Qiang Sun for providing the CMIP6 ocean model output. This work was supported by the US Department of Energy (DOE) Office of Science (Biological and Environmental Research), Early Career Research program, and the National Science Foundation (NSF).</t>
  </si>
  <si>
    <t>10.5194/tc-17-1513-2023</t>
  </si>
  <si>
    <t>C9BB0</t>
  </si>
  <si>
    <t>WOS:000964777100001</t>
  </si>
  <si>
    <t>Lawson, MRM; Hayle, MGB; Shechonge, AH; Nyingi, WD; Ford, AGP; Hoffman, JI; Day, JJ; Turner, GF; Dasmahapatra, KK</t>
  </si>
  <si>
    <t>Lawson, Michael R. M.; Hayle, Michael G. B.; Shechonge, Asilatu H.; Nyingi, Wanja Dorothy; Ford, Antonia G. P.; Hoffman, Joseph I.; Day, Julia J.; Turner, George F.; Dasmahapatra, Kanchon K.</t>
  </si>
  <si>
    <t>Sympatric and allopatric Alcolapia soda lake cichlid species show similar levels of assortative mating</t>
  </si>
  <si>
    <t>FRONTIERS IN ECOLOGY AND EVOLUTION</t>
  </si>
  <si>
    <t>adaptive radiation; speciation; reproductive isolation; hybridization; behavior</t>
  </si>
  <si>
    <t>FEMALE MATE CHOICE; YOUNGER DRYAS EVENT; MAGADI TILAPIA; REPRODUCTIVE ISOLATION; INCIPIENT SPECIATION; EXPLOSIVE SPECIATION; ADAPTIVE RADIATION; MALAWI CICHLIDS; MALE COLORATION; MAGIC TRAITS</t>
  </si>
  <si>
    <t>Characterizing reproductive barriers such as mating preferences within rapid evolutionary radiations is crucial for understanding the early stages of speciation. Cichlid fishes are well-known for their adaptive radiations and capacity for rapid speciation and as such we investigate assortative mating among Alcolapia species; a recent (&lt;10,000 years), small adaptive radiation, endemic to the extreme soda lakes, Magadi (one species) and Natron (three species), in East Africa. In seminatural aquarium conditions, we observed both courtship and mate choice (tested by microsatellite paternity analysis) to be significantly assortative among the three sympatric Natron species in a three-way choice experiment. This was also the case between allopatric species from Natron and Magadi, as found in a two-way choice experiment. However, the proportion of disassortative matings was substantial in both of these experiments, with hybrids comprising 29% of offspring in sympatric species and 11.4% in allopatric species comparisons. Previous work suggests that the Natron/Magadi split might not be much older than the radiation within Natron, so the similar rate of hybridization in the allopatric comparison is surprising and inconsistent with predictions of reinforcement theory, which predicts a faster rate of accumulation of premating isolation in sympatry. The relatively weak assortative mating in sympatry suggests that additional reproductive barriers, such as microhabitat preferences or spatial structuring may contribute to genetic isolation in nature.</t>
  </si>
  <si>
    <t>[Lawson, Michael R. M.; Dasmahapatra, Kanchon K.] Univ York, Dept Biol, Heslington, England; [Hayle, Michael G. B.; Turner, George F.] Bangor Univ, Sch Nat Sci, Bangor, Wales; [Shechonge, Asilatu H.] Tanzania Fisheries Res Inst, Dar Es Salaam, Tanzania; [Nyingi, Wanja Dorothy] Natl Museums Kenya, Nairobi, Kenya; [Ford, Antonia G. P.] Univ Roehampton, Whitelands Coll, Dept Life Sci, London, England; [Hoffman, Joseph I.] Bielefeld Univ, Dept Anim Behav, Bielefeld, Germany; [Hoffman, Joseph I.] British Antarctic Survey, Cambridge, Cambs, England; [Day, Julia J.] UCL, Dept Genet Evolut &amp; Environm, London, England</t>
  </si>
  <si>
    <t>University of York - UK; Bangor University; Roehampton University; University of Bielefeld; UK Research &amp; Innovation (UKRI); Natural Environment Research Council (NERC); NERC British Antarctic Survey; University of London; University College London</t>
  </si>
  <si>
    <t>Lawson, MRM (corresponding author), Univ York, Dept Biol, Heslington, England.</t>
  </si>
  <si>
    <t>mrml500@york.ac.uk</t>
  </si>
  <si>
    <t>Lawson, Michael/JMB-8605-2023; Ford, Antonia G P/A-5885-2015; Hoffman, Joseph/K-7725-2012</t>
  </si>
  <si>
    <t>Ford, Antonia G P/0000-0001-9557-9833; Hoffman, Joseph/0000-0001-5895-8949; Day, Julia/0000-0002-6765-7782</t>
  </si>
  <si>
    <t>2296-701X</t>
  </si>
  <si>
    <t>FRONT ECOL EVOL</t>
  </si>
  <si>
    <t>Front. Ecol. Evol.</t>
  </si>
  <si>
    <t>10.3389/fevo.2023.1150083</t>
  </si>
  <si>
    <t>D8BF9</t>
  </si>
  <si>
    <t>WOS:000970919700001</t>
  </si>
  <si>
    <t>Walsh, J; Reiss, C</t>
  </si>
  <si>
    <t>Walsh, Jennifer; Reiss, Christian</t>
  </si>
  <si>
    <t>Extreme El Nino southern oscillation conditions have contrasting effects on the body condition of five euphausiid species around the northern Antarctic Peninsula during winter</t>
  </si>
  <si>
    <t>ENSO; Southern ocean; Euphausiid; Climate change</t>
  </si>
  <si>
    <t>SEA-ICE EXTENT; THYSANOESSA-MACRURA; LIPID-METABOLISM; BRANSFIELD STRAIT; ELEPHANT ISLAND; ATLANTIC SECTOR; ISOTOPE RATIOS; CLIMATE-CHANGE; SUPERBA DANA; LARVAL KRILL</t>
  </si>
  <si>
    <t>El Nino southern oscillation (ENSO) events drive profound global impacts on marine environments. These events may result in contrasting conditions in the Southern Ocean, with differing effects on euphausiid species because of their diverse life histories, habitats, and feeding ecologies. We conducted oceanographic surveys during winter (2012-2016) around the northern Antarctic Peninsula and examined the dietary carbon sources, trophic position, and body condition of five euphausiid species (Euphausia crystallorophias, E. frigida, E. superba post-larvae and larvae, E. triacantha, and Thysanoessa macrura) in relation to environmental conditions each year. In addition to general patterns among taxa, we focused on how contrasting conditions during an ENSO-neutral year (2014) and an ENSO-positive year (2016) affected the type, quality, and distribution of food resources each year, as well as the body condition of each species. We observed high chlorophyll-a, low salinity, and shallow upper mixed-layer depths in 2014, and low chlorophyll-a, high salinity, and deep upper mixed-layer depths in 2016. Carbon sources varied among years, with most species enriched in delta C-13 when ENSO conditions were dominant. Trophic position and body condition also varied among years, with different responses among species depending on conditions; inter-annual variation in delta N-15 was minimal, while E. triacantha was the only species with notably lower body condition in 2016. We conclude that ENSO conditions around the northern Antarctic Peninsula may result in a more favorable feeding environment for all euphausiid species except E. triacantha, which may be the most negatively impacted by the predicted increase in ENSO conditions.</t>
  </si>
  <si>
    <t>[Walsh, Jennifer; Reiss, Christian] NOAA, Natl Marine Fisheries Serv, Southwest Fisheries Sci Ctr, Antarctic Ecosyst Res Div, La Jolla, CA 92037 USA</t>
  </si>
  <si>
    <t>National Oceanic Atmospheric Admin (NOAA) - USA</t>
  </si>
  <si>
    <t>Walsh, J (corresponding author), NOAA, Natl Marine Fisheries Serv, Southwest Fisheries Sci Ctr, Antarctic Ecosyst Res Div, La Jolla, CA 92037 USA.</t>
  </si>
  <si>
    <t>jen.walsh@noaa.gov</t>
  </si>
  <si>
    <t>Walsh, Jennifer/0000-0003-0481-4899</t>
  </si>
  <si>
    <t>10.1007/s00300-023-03129-5</t>
  </si>
  <si>
    <t>hybrid, Green Submitted, Green Published</t>
  </si>
  <si>
    <t>WOS:000963365800001</t>
  </si>
  <si>
    <t>Batchelor, CL; Christie, FDW; Ottesen, D; Montelli, A; Evans, J; Dowdeswell, EK; Bjarnadóttir, LR; Dowdeswell, JA</t>
  </si>
  <si>
    <t>Batchelor, Christine L.; Christie, Frazer D. W.; Ottesen, Dag; Montelli, Aleksandr; Evans, Jeffrey; Dowdeswell, Evelyn K.; Bjarnadottir, Lilja R.; Dowdeswell, Julian A.</t>
  </si>
  <si>
    <t>Rapid, buoyancy-driven ice-sheet retreat of hundreds of metres per day</t>
  </si>
  <si>
    <t>GROUNDING-LINE RETREAT; SUBMARINE GLACIAL LANDFORMS; PINE ISLAND BAY; SEDIMENTARY PROCESSES; ICEBERG PLOUGHMARKS; LAST DEGLACIATION; HOLOCENE RETREAT; ELEVATION MODEL; MELT RATES; ROSS SEA</t>
  </si>
  <si>
    <t>Rates of ice-sheet grounding-line retreat can be quantified from the spacing of corrugation ridges on deglaciated regions of the seafloor(1,2), providing a long-term context for the approximately 50-year satellite record of ice-sheet change(3-5). However, the few existing examples of these landforms are restricted to small areas of the seafloor, limiting our understanding of future rates of grounding-line retreat and, hence, sea-level rise. Here we use bathymetric data to map more than 7,600 corrugation ridges across 30,000 km(2) of the mid-Norwegian shelf. The spacing of the ridges shows that pulses of rapid grounding-line retreat, at rates ranging from 55 to 610 m day(-1), occurred across low-gradient (+/- 1 degrees) ice-sheet beds during the last deglaciation. These values far exceed all previously reported rates of grounding-line retreat across the satellite(3,4,6,7) and marine-geological(1,2) records. The highest retreat rates were measured across the flattest areas of the former bed, suggesting that near-instantaneous ice-sheet ungrounding and retreat can occur where the grounding line approaches full buoyancy. Hydrostatic principles show that pulses of similarly rapid grounding-line retreat could occur across low-gradient Antarctic ice-sheet beds even under present-day climatic forcing. Ultimately, our results highlight the often-overlooked vulnerability of flat-bedded areas of ice sheets to pulses of extremely rapid, buoyancy-driven retreat.</t>
  </si>
  <si>
    <t>[Batchelor, Christine L.] Newcastle Univ, Sch Geog Polit &amp; Sociol, Newcastle Upon Tyne, England; [Christie, Frazer D. W.; Montelli, Aleksandr; Dowdeswell, Evelyn K.; Dowdeswell, Julian A.] Univ Cambridge, Scott Polar Res Inst, Cambridge, England; [Ottesen, Dag; Bjarnadottir, Lilja R.] Geol Survey Norway, Trondheim, Norway; [Evans, Jeffrey] Loughborough Univ, Sch Social Sci &amp; Humanities, Geog &amp; Environm, Loughborough, England</t>
  </si>
  <si>
    <t>Newcastle University - UK; University of Cambridge; Geological Survey of Norway; Loughborough University</t>
  </si>
  <si>
    <t>Batchelor, CL (corresponding author), Newcastle Univ, Sch Geog Polit &amp; Sociol, Newcastle Upon Tyne, England.</t>
  </si>
  <si>
    <t>christine.batchelor@ncl.ac.uk</t>
  </si>
  <si>
    <t>Batchelor, Christine/JCN-7543-2023</t>
  </si>
  <si>
    <t>Dowdeswell, Julian/0000-0003-1369-9482</t>
  </si>
  <si>
    <t>Humanities and Social Sciences Faculty Research Fund, Newcastle University; Junior Research Fellowship, Peterhouse College, University of Cambridge</t>
  </si>
  <si>
    <t>We thank Kartverket (The Norwegian Mapping Authority; www.kartverket.no) for access to bathymetric data from the mid-Norwegian margin (including data acquired through the MAREANO programme (www.mareano.no), which are licensed under a Creative Commons Attribution 4.0 International (CC BY 4.0) license). We also thank the Geological Survey of Norway (NGU) for financial support and V. Bellec (NGU) for the processing of bathymetric datasets. This work was funded by the Humanities and Social Sciences Faculty Research Fund, Newcastle University (to C.L.B.) and a Junior Research Fellowship, Peterhouse College, University of Cambridge (to A.M.). This document was also produced with the financial assistance (to F.D.W.C. and J.A.D.) of the Prince Albert II of Monaco Foundation.</t>
  </si>
  <si>
    <t>10.1038/s41586-023-05876-1</t>
  </si>
  <si>
    <t>WOS:000990835100006</t>
  </si>
  <si>
    <t>Batchelor, CL; Christie, FDW</t>
  </si>
  <si>
    <t>Batchelor, Christine L.; Christie, Frazer D. W.</t>
  </si>
  <si>
    <t>How rapidly can ice sheets retreat?</t>
  </si>
  <si>
    <t>Climate sciences; Climate change; Environmental sciences</t>
  </si>
  <si>
    <t>GROUNDING-LINE RETREAT; PINE ISLAND; THWAITES</t>
  </si>
  <si>
    <t>Landforms across the mid-Norwegian sea floor reveal that a former ice sheet retreated at up to 600 metres per day at the end of the last ice age. Pulses of similarly rapid retreat could soon be observed across flat-bedded areas of the Antarctic Ice Sheet. Ridges on the sea floor indicate that a former ice sheet retreated at up to 600 metres per day, with implications for contemporary ice loss and sea-level rise.</t>
  </si>
  <si>
    <t>[Batchelor, Christine L.] Newcastle Univ, Newcastle Upon Tyne, England; [Christie, Frazer D. W.] Univ Cambridge, Cambridge, England</t>
  </si>
  <si>
    <t>Newcastle University - UK; University of Cambridge</t>
  </si>
  <si>
    <t>Batchelor, CL (corresponding author), Newcastle Univ, Newcastle Upon Tyne, England.</t>
  </si>
  <si>
    <t>2023 APR 5</t>
  </si>
  <si>
    <t>10.1038/d41586-023-00916-2</t>
  </si>
  <si>
    <t>G7HW1</t>
  </si>
  <si>
    <t>WOS:000990835100008</t>
  </si>
  <si>
    <t>Girones, L; Guida, Y; Oliva, AL; Torres, JPM; Marcovecchio, JE; Vetter, W; Arias, AH</t>
  </si>
  <si>
    <t>Girones, Lautaro; Guida, Yago; Oliva, Ana Laura; Torres, Joao Paulo Machado; Marcovecchio, Jorge Eduardo; Vetter, Walter; Arias, Andres Hugo</t>
  </si>
  <si>
    <t>Short- and medium-chain chlorinated paraffins in fish from an anthropized south-western Atlantic estuary, Bahia Blanca, Argentina</t>
  </si>
  <si>
    <t>Environmental contamination; Chemical additives; Flame retardants; Plasticizers; South America; Bioaccumulation</t>
  </si>
  <si>
    <t>POLYCHLORINATED-BIPHENYLS PCBS; WATER FOOD-WEB; MARINE MAMMALS; ORGANIC-CHEMICALS; TROPHIC TRANSFER; N-ALKANES; E-WASTE; BIOACCUMULATION; PATTERN; CONTAMINATION</t>
  </si>
  <si>
    <t>Chlorinated paraffins (CPs) are synthetic organic compounds of growing environmental and social concern. Short-chain chlorinated paraffins (SCCPs) were listed under the Stockholm Convention on Persistent Organic Pollutants (POPs) in 2017. Further, in 2021, medium-chain chlorinated paraffins (MCCPs) were proposed to be listed as POPs. We investigated SCCP and MCCP amounts and homolog profiles in four wild fish species from Bahia Blanca Estuary, a South Atlantic Ocean coastal habitat in Argentina. SCCPs and MCCPs were detected in 41% and 36% of the samples, respectively. SCCP amounts ranged from &lt;12 to 29 ng g-1 wet weight and &lt;750-5887 ng g-1 lipid weight, whereas MCCP amounts ranged from &lt;7 to 19 ng g-1 wet weight and &lt;440-2848 ng g-1 lipid weight. Amounts were equivalent to those found in fish from the Arctic and Antarctic Oceans and from some North American and Tibetan Plateau lakes. We performed a human health risk assessment and found no direct risks to human health for SCCP or MCCP ingestion, according to present knowledge. Regarding their environmental behavior, no significant differences were observed among SCCP amounts, sam-pling locations, species, sizes, lipid content, and age of the specimens. However, there were significant differ-ences in MCCP amounts across species, which could be attributed to fish size and feeding habits. Homolog profiles in all fish were dominated by the medium-chlorinated (Cl6 and Cl7) CPs and shorter chain length CPs were the most abundant, with C10Cl6 (12.8%) and C11Cl6 (10.1%) being the predominant SCCPs and C14Cl6 (19.2%) and C14Cl7 (12.4%) the predominant MCCPs. To the best of our knowledge, this is the first study on the presence of CPs in the environment in Argentina and the South Atlantic Ocean. CP occurrence in the environ-ment, particularly in the food chain, promotes the need for further research on their occurrence and behavior, and the impact of CPs in marine ecosystems in Argentina.</t>
  </si>
  <si>
    <t>[Guida, Yago; Arias, Andres Hugo] Inst Argentino Oceanog IADO CONICET UNS, Camino Carrindanga Km 7-5, B8000FW, RA-8000 Bahia Blanca, Argentina; [Torres, Joao Paulo Machado; Marcovecchio, Jorge Eduardo] Univ Fed Rio Janeiro, Ctr Ciencias Saude, Inst Biofis Carlos Chagas Filho, Ilha Funda, BR-21941902 Rio De Janeiro, RJ, Brazil; [Marcovecchio, Jorge Eduardo] Univ Fratern Agrupac St Tomas Aquino, Gascon 3145, RA-7600 Mar Del Plata, Argentina; [Marcovecchio, Jorge Eduardo] Univ Tecnol Nacl FRBB, 11 Abril 445, RA-8000 Bahia Blanca, Argentina; [Marcovecchio, Jorge Eduardo] Acad Nacl Ciencias Exactas, Fis &amp; Nat ANCEFN, Ave Alvear 1711, RA-1014 Ciudad Autonoma Buenos Ai, Argentina; [Vetter, Walter] Univ Hohenheim, Inst Food Chem 170b, D-70593 Stuttgart, Germany; [Arias, Andres Hugo] Univ Nacl UNS, Dept Quim, Ave Alem 1253, RA-8000 Bahia Blanca, Argentina</t>
  </si>
  <si>
    <t>University Hohenheim</t>
  </si>
  <si>
    <t>Arias, AH (corresponding author), Inst Argentino Oceanog IADO CONICET UNS, Camino Carrindanga Km 7-5, B8000FW, RA-8000 Bahia Blanca, Argentina.;Arias, AH (corresponding author), Univ Nacl UNS, Dept Quim, Ave Alem 1253, RA-8000 Bahia Blanca, Argentina.</t>
  </si>
  <si>
    <t>aharias@iado-conicet.gov.ar</t>
  </si>
  <si>
    <t>torres, joao/AAI-8390-2021</t>
  </si>
  <si>
    <t>torres, joao/0000-0002-2510-1612; Girones, Lautaro/0000-0002-6329-788X; Arias, Andres Hugo/0000-0003-3322-330X</t>
  </si>
  <si>
    <t>MinCyT-CONICET Pampa Azul Project C17; UNS [PGI 24Q111]</t>
  </si>
  <si>
    <t>MinCyT-CONICET Pampa Azul Project C17; UNS</t>
  </si>
  <si>
    <t>This research was funded by the MinCyT-CONICET Pampa Azul Project C17 and PGI 24Q111 funded by UNS granted to Andres H. Arias. We gratefully acknowledge the staff of the Instituto Argentino de Oce-anografia (IADO) for their outstanding assistance during sampling and sample processing. We thank the Chillado family for shipping the sam-ples to Brazil, as well as the staff of the Instituto de Biofisica Carlos Chagas Filho (Universidade Federal do Rio de Janeiro) for their assistance during the instrumental analysis</t>
  </si>
  <si>
    <t>10.1016/j.chemosphere.2023.138575</t>
  </si>
  <si>
    <t>F8HG3</t>
  </si>
  <si>
    <t>WOS:000984697600001</t>
  </si>
  <si>
    <t>Tapia, MJ; Farrell, EE; Mautino, LR; del Papa, C; Barreda, VD; Palazzesi, L</t>
  </si>
  <si>
    <t>Tapia, Mariano; Farrell, Ezequiel D.; Mautino, Lilia; del Papa, Cecilia; Barreda, Viviana; Palazzesi, Luis</t>
  </si>
  <si>
    <t>A snapshot of mid Eocene landscapes in the southern Central Andes: Spore-pollen records from the Casa Grande Formation (Jujuy, Argentina)</t>
  </si>
  <si>
    <t>CLAY MINERAL ASSEMBLAGES; PALEOECOLOGY; TECTONICS; FUNGI; ALGAE</t>
  </si>
  <si>
    <t>The southern Central Andes-or Puna-now contains specialized plant communities adapted to life in extreme environments. During the middle Eocene (similar to 40 Ma), the Cordillera at these latitudes was barely uplifted and global climates were much warmer than today. No fossil plant remains have been discovered so far from this age in the Puna region to attest to past scenarios. Yet, we assume that the vegetation cover must have been very different from what it looks today. To test this hypothesis, we study a spore-pollen record from the mid Eocene Casa Grande Formation (Jujuy, northwestern Argentina). Although sampling is preliminary, we found similar to 70 morphotypes of spores, pollen grains and other palynomorphs, many of which were produced by taxa with tropical or subtropical modern distributions (e.g., Arecaceae, Ulmaceae Phyllostylon, Malvaceae Bombacoideae). Our reconstructed scenario implies the existence of a vegetated pond surrounded by trees, vines, and palms. We also report the northernmost records of a few unequivocal Gondwanan taxa (e.g., Nothofagus, Microcachrys), about 5,000 km north from their Patagonian-Antarctic hotspot. With few exceptions, the discovered taxa-both Neotropical and Gondwanan-became extinct from the region following the severe effects of the Andean uplift and the climate deterioration during the Neogene. We found no evidence for enhanced aridity nor cool conditions in the southern Central Andes at mid Eocene times. Instead, the overall assemblage represents a frost-free and humid to seasonally-dry ecosystem that prevailed near a lacustrine environment, in agreement with previous paleoenvironmental studies. Our reconstruction adds a further biotic component to the previously reported record of mammals.</t>
  </si>
  <si>
    <t>[Tapia, Mariano; Barreda, Viviana; Palazzesi, Luis] MACN CONICET, Museo Argentino Ciencias Nat, Buenos Aires, Argentina; [Farrell, Ezequiel D.; Mautino, Lilia] CECOAL CONICET, Ctr Ecol Aplicada Litoral, Corrientes, Argentina; [del Papa, Cecilia] CICTERRA CONICET, Ctr Invest Ciencias Tierra, Cordoba, Argentina</t>
  </si>
  <si>
    <t>Consejo Nacional de Investigaciones Cientificas y Tecnicas (CONICET); Museo Argentino de Ciencias Naturales Bernardino Rivadavia (MACN); Consejo Nacional de Investigaciones Cientificas y Tecnicas (CONICET); Consejo Nacional de Investigaciones Cientificas y Tecnicas (CONICET); National University of Cordoba</t>
  </si>
  <si>
    <t>Palazzesi, L (corresponding author), MACN CONICET, Museo Argentino Ciencias Nat, Buenos Aires, Argentina.</t>
  </si>
  <si>
    <t>lpalazzesi@macn.gov.ar</t>
  </si>
  <si>
    <t>Palazzesi, Luis/0000-0001-8026-4679</t>
  </si>
  <si>
    <t>APR 5</t>
  </si>
  <si>
    <t>e0277389</t>
  </si>
  <si>
    <t>10.1371/journal.pone.0277389</t>
  </si>
  <si>
    <t>D3TO7</t>
  </si>
  <si>
    <t>WOS:000967987200058</t>
  </si>
  <si>
    <t>Lopes, U; Babonneau, N; Fierens, R; Revillon, S; Raisson, F; Miramontes, E; Rabineau, M; Aslanian, D; Moulin, M</t>
  </si>
  <si>
    <t>Lopes, U.; Babonneau, N.; Fierens, R.; Revillon, S.; Raisson, F.; Miramontes, E.; Rabineau, M.; Aslanian, D.; Moulin, M.</t>
  </si>
  <si>
    <t>Foraminiferal sandy contourite of the Limpopo Corridor (Mozambique margin): Facies characterization and paleoceanographic record</t>
  </si>
  <si>
    <t>MARINE GEOLOGY</t>
  </si>
  <si>
    <t>Bottom current; Contourite; Foraminiferal sand; Paleoceanography; Mozambique Channel; Indian Ocean; Quaternary</t>
  </si>
  <si>
    <t>ATLANTIC DEEP-WATER; BOTTOM CURRENTS; GRAIN-SIZE; CONTINENTAL-MARGIN; CRUSTAL STRUCTURE; CHANNEL; CIRCULATION; SEDIMENTATION; DRIFTS; VARIABILITY</t>
  </si>
  <si>
    <t>Contourites encompass a wide variety of sedimentary facies. Some of them show common facies with others deep-water deposits, such as turbidites and hemipelagites. Sedimentological characterization at macro- and microscales is valuable to discriminate those close facies but the distinction is not always clear. Contourites are increasingly used in paleoceanographic and paleoclimatic reconstructions. Improving their characterization is therefore essential to their interpretations. This study aims at characterizing a foraminiferal sandy contourite facies from a sediment core collected on top of a contourite drift under the influence of the Antarctic Intermediate Water/North Atlantic Deep-Water interface located in the Limpopo Corridor (Mozambique margin, Indian Ocean) at 2000 m depth. This work is based on a detailed analysis of the sedimentary record using physical properties (gamma density and magnetic susceptibility) as well as laser grain size and X-Ray Fluorescence core scanning data. Our results show that: (1) the foraminiferal sand is vertically continuous and homogenous over 633 kyr with an average sedimentation rate of 0.26 cm.kyr(-1); (2) this contourite facies results from sedimentation with low terrigenous inputs under stable hydrodynamic conditions over time, with relatively strong bottom currents for this water depth (similar to 16 cm.s(-1)); (3) during glacial stages, sedimentation rates are lower and bottom current speed is higher than during interglacial stages. We also propose the concept of Contourite Graphical Chart which summaries the theoretical distribution of contourite endmembers from cross-plot of sorting versus grain-size median D-50 and their related sedimentary processes. This study highlights the relevance of condensed foraminiferal sandy contourites as long time-scale paleoceanographic archives and provides new insights for studies related to paleoclimatology and paleoecology.</t>
  </si>
  <si>
    <t>[Lopes, U.; Babonneau, N.; Fierens, R.; Revillon, S.; Rabineau, M.; Aslanian, D.; Moulin, M.] Univ Brest, Geoocean, CNRS,UMR6538, Ifremer, F-29280 Plouzane, France; [Revillon, S.] SEDISOR, Pl N Copern, F-29280 Plouzane, France; [Raisson, F.] CSTJF, TotalEnergies, Ave Larribau, F-64000 Pau, France; [Miramontes, E.] Univ Bremen, MARUM Ctr Marine Environm Sci, D-28359 Bremen, Germany; [Miramontes, E.] Univ Bremen, Fac Geosci, D-28359 Bremen, Germany</t>
  </si>
  <si>
    <t>Ifremer; Centre National de la Recherche Scientifique (CNRS); CNRS - National Institute for Earth Sciences &amp; Astronomy (INSU); Universite de Bretagne Occidentale; Total SA; Centre Scientifique et Technique Jean Feger (CSTJF); University of Bremen; University of Bremen</t>
  </si>
  <si>
    <t>Lopes, U (corresponding author), Univ Brest, Geoocean, CNRS,UMR6538, Ifremer, F-29280 Plouzane, France.</t>
  </si>
  <si>
    <t>lopes-ugo@hotmail.fr</t>
  </si>
  <si>
    <t>Moulin, Matthias/X-6281-2018; Aslanian, Daniel/JWA-0851-2024; Moulin, Maryline/D-5242-2016</t>
  </si>
  <si>
    <t>Aslanian, Daniel/0000-0002-9394-606X; Moulin, Maryline/0000-0002-5685-2451</t>
  </si>
  <si>
    <t>0025-3227</t>
  </si>
  <si>
    <t>1872-6151</t>
  </si>
  <si>
    <t>MAR GEOL</t>
  </si>
  <si>
    <t>Mar. Geol.</t>
  </si>
  <si>
    <t>10.1016/j.margeo.2023.107031</t>
  </si>
  <si>
    <t>Geosciences, Multidisciplinary; Oceanography</t>
  </si>
  <si>
    <t>Geology; Oceanography</t>
  </si>
  <si>
    <t>F5BU2</t>
  </si>
  <si>
    <t>WOS:000982506900001</t>
  </si>
  <si>
    <t>Higashino, F; Kawakami, T; Sakata, S; Hirata, T</t>
  </si>
  <si>
    <t>Higashino, Fumiko; Kawakami, Tetsuo; Sakata, Shuhei; Hirata, Takafumi</t>
  </si>
  <si>
    <t>Multiple timings of garnet-forming high-grade metamorphism in the Neoproterozoic continental collision zone revealed by petrochronology in the Ser Rondane Mountains, East Antarctica</t>
  </si>
  <si>
    <t>Rare earth element; Zircon; Garnet; Distribution coefficient; Continental collision zone</t>
  </si>
  <si>
    <t>DRONNING MAUD LAND; RARE-EARTH-ELEMENTS; SHRIMP U-PB; SOR RONDANE; TRACE-ELEMENT; BASEMENT PROVINCES; AFRICAN OROGEN; RICH FLUID; ZIRCON; EVENTS</t>
  </si>
  <si>
    <t>The Ser Rondane Mountains (SRM), East Antarctica is located in a key area of Gondwana formation where the East African-Antarctic Orogen and the Kuunga Orogen cross. Timing of peak metamorphism has been considered at ca. 650-600 Ma in the SRM, on which previous tectonic models were built. In this study, timing of garnet-forming metamorphisms is determined using in situ U-Pb dating of zircon and petrochronological approach utilizing distribution coefficient of rare earth elements (DREE) between zir-con and garnet and REE patterns of zircon. As a result, we obtained several different periods of garnet-forming metamorphism at &gt;= 600 Ma and &lt;= 580 Ma both from the NE-and SW-terranes. This is the first report of multiple timings of garnet formation detected within single samples from the SRM. The latest garnet formation in each sample is probably caused by regional metamorphism, because the garnets accompany pressure shadows and are wrapped by the penetrative foliation defined mainly by the arrangement of biotite. Therefore, multiple timings of garnet formation during a single metamorphism or polymetamorphism are both likely. In the former case, the SRM may be affected by a single long-lived regional metamorphism. This implies that the regional metamorphism belongs only to the East African-Antarctic Orogeny or that the East African Orogeny continuously transformed into the Kuunga Orogeny in the deep crust. In the latter case, the former regional metamorphism corresponds to the East African(-Antarctic) Orogeny, whereas the latest metamorphism may correspond to the final stage of East African-Antarctic Orogeny or the Kuunga Orogeny. Any temperature drops during these two garnet-forming timings support the polymetamorphism, which needs to be cleared in the future works. (c) 2023 International Association for Gondwana Research. Published by Elsevier B.V. All rights reserved.</t>
  </si>
  <si>
    <t>[Higashino, Fumiko; Kawakami, Tetsuo; Sakata, Shuhei; Hirata, Takafumi] Kyoto Univ, Grad Sch Sci, Dept Geol &amp; Mineral, Kitashirakawa-Oiwake cho, Sakyo ku, Kyoto 6068502, Japan; [Sakata, Shuhei] Univ Tokyo, Earth Res Inst, 1-1-1 Yayoi, Bunkyo ku, Tokyo 1130032, Japan; [Hirata, Takafumi] Univ Tokyo, Geochem Res Ctr, 7-3-1 Hongo, Bunkyo ku, Tokyo 1130022, Japan</t>
  </si>
  <si>
    <t>Kyoto University; University of Tokyo; University of Tokyo</t>
  </si>
  <si>
    <t>Higashino, F (corresponding author), Kyoto Univ, Grad Sch Sci, Dept Geol &amp; Mineral, Kitashirakawa-Oiwake cho, Sakyo ku, Kyoto 6068502, Japan.</t>
  </si>
  <si>
    <t>higashino.fumiko.2m@kyoto-u.ac.jp</t>
  </si>
  <si>
    <t>Higashino, Fumiko/AAR-3425-2021; Kawakami, Tetsuo/AAQ-3357-2021</t>
  </si>
  <si>
    <t>Higashino, Fumiko/0000-0002-9367-4455; Kawakami, Tetsuo/0000-0002-5921-5562</t>
  </si>
  <si>
    <t>JSPS KAKENHI [JP13J00715, JP16J01136, JP23740391, JP26400513, JP19H01991, JP22244067, JP21109004]</t>
  </si>
  <si>
    <t>JSPS KAKENHI(Ministry of Education, Culture, Sports, Science and Technology, Japan (MEXT)Japan Society for the Promotion of ScienceGrants-in-Aid for Scientific Research (KAKENHI))</t>
  </si>
  <si>
    <t>We would like to thank Prof. M. Satish-Kumar and an anonymous reviewer for constructive reviews and Prof. Richard Palin for editorial efforts. This research is a part of the science program of JARE. This study was financially supported by JSPS KAKENHI Grant Numbers JP13J00715 and JP16J01136 to F. Higashino, JSPS KAKENHI Grant Numbers JP23740391, JP26400513 and JP19H01991 to T. Kawakami, and JSPS KAKENHI Grant Numbers JP22244067 and JP21109004 to T. Hirajima.</t>
  </si>
  <si>
    <t>10.1016/j.gr.2023.03.014</t>
  </si>
  <si>
    <t>F4GG4</t>
  </si>
  <si>
    <t>WOS:000981941300001</t>
  </si>
  <si>
    <t>Adams, MB; Maynard, B; Rigby, M; Wynne, JW; Taylor, RS</t>
  </si>
  <si>
    <t>Adams, Mark B.; Maynard, Ben T.; Rigby, Megan; Wynne, James W.; Taylor, Richard S.</t>
  </si>
  <si>
    <t>Reciprocal hybrids of Atlantic salmon (Salmo salar) x brown trout (S. trutta) confirm a heterotic response to experimentally induced amoebic gill disease (AGD)</t>
  </si>
  <si>
    <t>Neoparamoeba perurans; Paramoeba; Disease resistance; Heterosis; Interspecies hybrid</t>
  </si>
  <si>
    <t>BLUE CATFISH; INTERSPECIFIC HYBRIDS; SEQUENTIAL PATHOLOGY; ICTALURUS-PUNCTATUS; SEAWATER TOLERANCE; GENETIC-VARIATION; CHANNEL CATFISH; SEA LICE; L.; RESISTANCE</t>
  </si>
  <si>
    <t>Amoebic gill disease (AGD) affects global marine aquaculture production of Atlantic salmon, requiring costly reiterative treatment and negatively impacting fish performance and welfare. Although there has been gradual and ongoing progress in genetic selection to improve host resistance to the causative agent (Neoparamoeba perurans) there has been little focus on the response of interspecific hybrids to AGD challenge. Previous research has demonstrated that Atlantic salmon x brown trout hybrids had reduced requirement for freshwater bathing (based on gross gill signs) during chronic natural AGD exposure, yet there has been no histological or molecular evidence confirming differential host response or parasite abundance. In this study we exposed Atlantic salmon (SS), brown trout (TT) and their reciprocal interspecific hybrids (TS and ST) to a single laboratory challenge (similar to 700 amoebae.l(-1) for 18 days) and compared the resultant infection and disease signs characteristic of AGD. Gill score was significantly higher in SS than in TT and hybrids. Copy number quantification of amoebae on gills was higher in salmon than in hybrids or trout but did not differ between hybrids and trout. Gill histopathology confirmed both an increased amoebae abundance and higher expression of host tissue reaction in SS with significantly higher percentages of lesions harboring hyperplastic lesions. Mid-parent and best-parent heterosis of resistance to N. perurans and host response (gill lesions) was confirmed but did not differ between hybrid crosses. Although limited to a single laboratory infection event, our results support previously reported observations (from natural infection/reinfection) of reduced AGD signs in trout and interspecies hybrids. We conclude that interspecies hybrids have potential to improve our understanding of salmonid resistance to amoebic branchitis and support future gene-based research toward fish disease management.</t>
  </si>
  <si>
    <t>[Adams, Mark B.] Univ Tasmania, Inst Marine &amp; Antarctic Studies, Launceston, Tas 7250, Australia; [Maynard, Ben T.; Rigby, Megan; Wynne, James W.; Taylor, Richard S.] CSIRO Agr &amp; Food, Hobart, Tas 7000, Australia</t>
  </si>
  <si>
    <t>Taylor, RS (corresponding author), CSIRO Agr &amp; Food, Hobart, Tas 7000, Australia.</t>
  </si>
  <si>
    <t>richard.taylor@csiro.au</t>
  </si>
  <si>
    <t>Wynne, James W/H-7957-2013; Taylor, Richard S./T-7996-2019</t>
  </si>
  <si>
    <t>Wynne, James W/0000-0001-6846-757X; Taylor, Richard S./0000-0003-0312-7317</t>
  </si>
  <si>
    <t>Fisheries Research and Development Corporation, Australia (FRDC project) [2011/070, 2011/071]; Tasmanian Salmonid Growers Association (TSGA)</t>
  </si>
  <si>
    <t>Fisheries Research and Development Corporation, Australia (FRDC project); Tasmanian Salmonid Growers Association (TSGA)</t>
  </si>
  <si>
    <t>This work was funded by the Fisheries Research and Development Corporation, Australia (FRDC project numbers 2011/070 and 2011/071) and the Tasmanian Salmonid Growers Association (TSGA) .</t>
  </si>
  <si>
    <t>10.1016/j.aquaculture.2023.739535</t>
  </si>
  <si>
    <t>E7OF1</t>
  </si>
  <si>
    <t>WOS:000977386800001</t>
  </si>
  <si>
    <t>Elvines, DM; MacLeod, CK; Ross, DJ; Hopkins, GA; White, CA</t>
  </si>
  <si>
    <t>Elvines, Deanna M.; MacLeod, Catriona K.; Ross, Donald. J.; Hopkins, Grant A.; White, Camille A.</t>
  </si>
  <si>
    <t>Fate and effects of fish farm organic waste in marine systems: Advances in understanding using biochemical approaches with implications for environmental management</t>
  </si>
  <si>
    <t>REVIEWS IN AQUACULTURE</t>
  </si>
  <si>
    <t>ecological effect; finfish aquaculture; fish waste markers; impact monitoring; salmon farming</t>
  </si>
  <si>
    <t>MULTI-TROPHIC AQUACULTURE; SALMON SALMO-SALAR; MUSSELS-MYTILUS-EDULIS; STABLE-ISOTOPE; GADUS-MORHUA; COASTAL FISH; SEA-URCHIN; BROUGHTON ARCHIPELAGO; MONITORING PROGRAM; BENTHIC ENRICHMENT</t>
  </si>
  <si>
    <t>Particulate waste from open-cage fish farms in marine systems can cause organic enrichment of seabed habitats and enter the food web through consumption by wild organisms, with potential for broader ecosystem changes. Effects on biogeochemistry and benthic ecology are reasonably well understood in inshore, sheltered and soft sediment systems. However, food web effects and interactions with epifauna and larger consumers is less well understood, as is the fate of these discharges in more dynamic coastal areas with complex hydrodynamic regimes. Expected expansion of the aquaculture industry globally includes farming new areas that are more environmentally dynamic and biodiverse, with potentially sensitive habitats. Therefore, the aim of this review was to examine how biochemical tools can assist in identifying and managing impacts. Biochemical tools such as bulk stable isotopes and fatty acids can reliably trace the fate of fish waste in the environment and the food web, and have advanced our understanding of waste dispersal, as well as providing greater insights into biological interactions with fish wastes. This includes elucidating trophic subsidies to wild organisms, candidate species for co-culture and waste assimilation mechanisms in native communities. Ultimately, biochemical tools can support improved environmental management, by helping to identify the zone of influence for spatial planning, providing additional 'forensic' evidence for farm-related change, and by identifying potential risks to high-value species and habitats. In this way, they can inform targeted research to link fish waste inputs meaningfully to potential ecosystem changes to better understand the consequences to support sustainable industry expansion.</t>
  </si>
  <si>
    <t>[Elvines, Deanna M.; Hopkins, Grant A.] Cawthron Inst, Hlth Oceans Grp, 98 Halifax St East, Nelson 7010, New Zealand; [MacLeod, Catriona K.; Ross, Donald. J.; White, Camille A.] Univ Tasmania, Inst Marine &amp; Antarctic Studies, Hobart, Tas, Australia</t>
  </si>
  <si>
    <t>Cawthron Institute; University of Tasmania</t>
  </si>
  <si>
    <t>Elvines, DM (corresponding author), Cawthron Inst, Hlth Oceans Grp, 98 Halifax St East, Nelson 7010, New Zealand.</t>
  </si>
  <si>
    <t>deanna.elvines@cawthron.org.nz</t>
  </si>
  <si>
    <t>Macleod, Catriona/J-7176-2014</t>
  </si>
  <si>
    <t>Macleod, Catriona/0000-0002-0539-6361; Elvines, Deanna/0000-0002-8401-3671</t>
  </si>
  <si>
    <t>1753-5123</t>
  </si>
  <si>
    <t>1753-5131</t>
  </si>
  <si>
    <t>REV AQUACULT</t>
  </si>
  <si>
    <t>Rev. Aquac.</t>
  </si>
  <si>
    <t>10.1111/raq.12821</t>
  </si>
  <si>
    <t>CO9W1</t>
  </si>
  <si>
    <t>WOS:000963190800001</t>
  </si>
  <si>
    <t>Tomikawa, Y; Kohma, M; Takeda, M; Sato, K</t>
  </si>
  <si>
    <t>Tomikawa, Yoshihiro; Kohma, Masashi; Takeda, Masanori; Sato, Kaoru</t>
  </si>
  <si>
    <t>Water Vapor in the Upper Troposphere above Syowa Station in the Antarctic: Its Variations and Causes</t>
  </si>
  <si>
    <t>SOLA</t>
  </si>
  <si>
    <t>TROPOPAUSE INVERSION LAYER; PERFORMANCE; TRANSPORT</t>
  </si>
  <si>
    <t>An intensive balloon-borne observation was performed at Syowa Station in the Antarctic (69.0 degrees S, 39.6 degrees E) in July 2016 using Cryogenic Frostpoint Hygrometers (CFH) and Electrochemical Concentration Cell (ECC) ozonesondes. High water vapor concentration was observed in the upper troposphere in two out of five observations. Trajectory analysis and atmospheric reanalysis data showed that moist air was transported into the upper troposphere due to the upwelling in front of a trough. While only isentropic transport was dominant in one case, both the isentropic transport and diabatic heating contributed to the upward transport in the other case. In another case where the air parcels came over the Antarctic continent, the water vapor concentration in the upper troposphere was lower than in the other cases. These results suggest that transport of air parcels with different origins by synoptic-scale disturbances controls water vapor concentration in the Antarctic upper troposphere.</t>
  </si>
  <si>
    <t>[Tomikawa, Yoshihiro] Natl Inst Polar Res, Tachikawa, Japan; [Tomikawa, Yoshihiro] SOKENDAI, Grad Inst Adv Studies, Polar Sci Program, Tachikawa, Japan; [Tomikawa, Yoshihiro] Res Org Informat &amp; Syst, Polar Environm Data Sci Ctr, Tachikawa, Japan; [Kohma, Masashi; Sato, Kaoru] Univ Tokyo, Tokyo, Japan; [Takeda, Masanori] Tohoku Univ, Sendai, Japan; [Tomikawa, Yoshihiro] Natl Inst Polar Res, 10-3 Midoricho, Tachikawa, Tokyo 1908518, Japan; [Takeda, Masanori] Natl Agr &amp; Food Res Org, Tsukuba, Japan</t>
  </si>
  <si>
    <t>Research Organization of Information &amp; Systems (ROIS); National Institute of Polar Research (NIPR) - Japan; Research Organization of Information &amp; Systems (ROIS); University of Tokyo; Tohoku University; Research Organization of Information &amp; Systems (ROIS); National Institute of Polar Research (NIPR) - Japan; National Agriculture &amp; Food Research Organization - Japan</t>
  </si>
  <si>
    <t>Tomikawa, Y (corresponding author), Natl Inst Polar Res, 10-3 Midoricho, Tachikawa, Tokyo 1908518, Japan.</t>
  </si>
  <si>
    <t>tomikawa@nipr.ac.jp</t>
  </si>
  <si>
    <t>Kohma, Masashi/C-8055-2015; Tomikawa, Yoshihiro/D-5304-2012</t>
  </si>
  <si>
    <t>Tomikawa, Yoshihiro/0000-0002-5652-3017</t>
  </si>
  <si>
    <t>National Institute of Polar Research under MEXT; JSPS KAKENHI [26800245, 17H04578]</t>
  </si>
  <si>
    <t>National Institute of Polar Research under MEXT; JSPS KAKENHI(Ministry of Education, Culture, Sports, Science and Technology, Japan (MEXT)Japan Society for the Promotion of ScienceGrants-in-Aid for Scientific Research (KAKENHI))</t>
  </si>
  <si>
    <t>The CFH and ozonesonde observations at Syowa Station were conducted by the 57 th Japanese Antarctic Research Expedition (JARE57) . It was supported by National Institute of Polar Research under MEXT. The CFH/ozonesonde data are available from the corresponding author on reasonable request. The ERA-Interim reanalysis data were provided by the European Centre for Medium-range Weather Forecasts and are available at https://apps.ecmwf.int/datasets/data/interim-full-daily/levtype=pl/ (accessed on 1 February 2023) . The Global Precipitation Measurement IMERG V06B data were provided by the NASA Goddard Space Flight Center and are available at https://gpm.nasa.gov/data (accessed on 1 February 2023) . The NIPR trajectory model is available at http:// www.firp-nitram.nipr.ac.jp/en/ (accessed on 1 February 2023) . This work was supported by JSPS KAKENHI Grant Number 26800245 and 17H04578. Figures were drawn using Dennou Club Library (DCL) .</t>
  </si>
  <si>
    <t>METEOROLOGICAL SOC JAPAN</t>
  </si>
  <si>
    <t>TOKYO</t>
  </si>
  <si>
    <t>C/O JAPAN METEOROLOGICAL AGENCY 1-3-4 OTE-MACHI, CHIYODA-KU, TOKYO, 100-0004, JAPAN</t>
  </si>
  <si>
    <t>1349-6476</t>
  </si>
  <si>
    <t>APR 4</t>
  </si>
  <si>
    <t>10.2151/sola.2023-012</t>
  </si>
  <si>
    <t>U7OC9</t>
  </si>
  <si>
    <t>WOS:001086653100001</t>
  </si>
  <si>
    <t>Samanta, S; Cloete, R; Dey, SP; Barraqueta, JLM; Loock, JC; Meynecke, JO; de Bie, J; Vichi, M; Roychoudhury, AN</t>
  </si>
  <si>
    <t>Samanta, Saumik; Cloete, Ryan; Dey, Subhra Prakash; Barraqueta, Jan-Lukas Menzel; Loock, Jean C.; Meynecke, Jan-Olaf; de Bie, Jasper; Vichi, Marcello; Roychoudhury, Alakendra N.</t>
  </si>
  <si>
    <t>Exchange of Pb from Indian to Atlantic Ocean is driven by Agulhas current and atmospheric Pb input from South Africa</t>
  </si>
  <si>
    <t>TRACE-METALS; ANTHROPOGENIC LEAD; DISSOLVED PB; WATER MASSES; VARIABILITY; CIRCULATION; TRANSPORT; ISOTOPES; LEAKAGE; ENVIRONMENT</t>
  </si>
  <si>
    <t>Using a spatiotemporal dataset of dissolved lead (dPb) from the subtropical oceans surrounding South Africa, this study quantifies the exchange of dPb between the Indian and Atlantic Oceans. Despite the absence of a major Pb source within the South Atlantic sector and the complete phase-out of leaded petroleum in Southern Africa, the ecologically important southeast Cape Basin shows an elevated surface dPb concentration (21-30 pmol kg(-1)). We estimated up to 90% of the measured dPb in surface waters of the Cape Basin was delivered from the Indian Ocean via the Agulhas Current (AC). Eddy dynamics and leakage at Agulhas retroflection result in an increased Pb flux from winter to summer, while a long-term (2008-2019) temporal change in dPb in the AC-derived water of Cape Basin was contemporaneous to a change in atmospheric Pb emissions from South Africa. The South African-origin atmospheric Pb, however, contributes first to the Agulhas waters in the West Indian Ocean, which is then transported to the South Atlantic, thereby regulating the dPb inventory of the Cape Basin. This indirect mechanism of Pb transfer emphasizes the importance of regulating Pb emissions from Southern Africa to protect rich fishing grounds associated with the Benguela marine ecosystem.</t>
  </si>
  <si>
    <t>[Samanta, Saumik; Cloete, Ryan; Barraqueta, Jan-Lukas Menzel; Loock, Jean C.; Roychoudhury, Alakendra N.] Stellenbosch Univ, Ctr Trace Met &amp; Expt Biogeochem TracEx, Dept Earth Sci, ZA-7600 Stellenbosch, South Africa; [Dey, Subhra Prakash; Vichi, Marcello] Univ Cape Town, Dept Oceanog, ZA-7701 Rondebosch, South Africa; [Dey, Subhra Prakash] CSIR Natl Inst Oceanog, Phys Oceanog Div, Panaji 403004, Goa, India; [Meynecke, Jan-Olaf; de Bie, Jasper] Griffith Univ, Coastal &amp; Marine Res Ctr, Gold Coast, Qld, Australia</t>
  </si>
  <si>
    <t>Stellenbosch University; University of Cape Town; Council of Scientific &amp; Industrial Research (CSIR) - India; CSIR - National Institute of Oceanography (NIO); Griffith University; Griffith University - Gold Coast Campus</t>
  </si>
  <si>
    <t>Samanta, S; Roychoudhury, AN (corresponding author), Stellenbosch Univ, Ctr Trace Met &amp; Expt Biogeochem TracEx, Dept Earth Sci, ZA-7600 Stellenbosch, South Africa.</t>
  </si>
  <si>
    <t>saumiksamanta@gmail.com; roy@sun.ac.za</t>
  </si>
  <si>
    <t>Samanta, Saumik/GYQ-8988-2022; Vichi, Marcello/B-8719-2008</t>
  </si>
  <si>
    <t>SAMANTA, SAUMIK/0000-0002-6901-0747; Vichi, Marcello/0000-0002-0686-9634; de Bie, Jasper/0000-0002-8371-4089</t>
  </si>
  <si>
    <t>National Research Foundation (NRF) of South Africa [110715, 105826]; Subcommittee B; Deputy Vice-Rector, Research, Stellenbosch University; 'Whales and Climate Change' research program</t>
  </si>
  <si>
    <t>National Research Foundation (NRF) of South Africa(National Research Foundation - South Africa); Subcommittee B; Deputy Vice-Rector, Research, Stellenbosch University; 'Whales and Climate Change' research program</t>
  </si>
  <si>
    <t>This research was supported by SANAP and CPRR Research grants (UID# 110715 and 105826) to AR from National Research Foundation (NRF) of South Africa. SS was funded by Subcommittee B and the Deputy Vice-Rector, Research, Stellenbosch University, and the 'Whales and Climate Change' research program. RC acknowledges support from the NRF Innovation Ph.D. scholarship. We thank the chief scientists of the following research programs (South African National Antarctic Expedition, SANAE 54; and Southern Ocean Seasonal Expedition, SCALE), and the captain and crew of the SA Agulhas II. We acknowledge the sampling team. Discussion with Pierrick Penven helped to develop the science. We thank editor and three anonymous reviewers for their constructive comments.</t>
  </si>
  <si>
    <t>10.1038/s41598-023-32613-5</t>
  </si>
  <si>
    <t>F7KB9</t>
  </si>
  <si>
    <t>WOS:000984084100073</t>
  </si>
  <si>
    <t>Castiglione, GM; Hauser, FE; Van Nynatten, A; Chang, BSW</t>
  </si>
  <si>
    <t>Castiglione, Gianni M.; Hauser, Frances E.; Van Nynatten, Alexander; Chang, Belinda S. W.</t>
  </si>
  <si>
    <t>Adaptation of Antarctic Icefish Vision to Extreme Environments</t>
  </si>
  <si>
    <t>MOLECULAR BIOLOGY AND EVOLUTION</t>
  </si>
  <si>
    <t>vision; icefish; rhodopsin</t>
  </si>
  <si>
    <t>METABOLIC COLD ADAPTATION; CONE VISUAL PIGMENTS; DIM-LIGHT; FUNCTIONAL DIVERGENCE; DARK-ADAPTATION; NOTOTHENIOID FISH; CRYSTAL-STRUCTURE; LIPID-COMPOSITION; RHODOPSIN; EVOLUTION</t>
  </si>
  <si>
    <t>Extreme environments, such as Antarctic habitats, present major challenges for many biological processes. Antarctic icefishes (Crynotothenioidea) represent a compelling system to investigate the molecular basis of adaptation to cold temperatures. Here, we explore how the sub-zero habitats of Antarctic icefishes have impacted rhodopsin (RH1) function, the temperature-sensitive dim-light visual pigment found in rod photoreceptors. Using likelihood models and ancestral reconstruction, we find that accelerated evolutionary rates in icefish RH1 underlie unique amino acid mutations absent from other deep-dwelling fishes, introduced before (S160A) and during (V259M) the onset of modern polar conditions. Functional assays reveal that these mutations red-shift rhodopsin spectral absorbance, consistent with spectral irradiance under sea ice. These mutations also lower the activation energy associated with retinal release of the light-activated RH1, and accelerate its return to the dark state, likely compensating for a cold-induced decrease in kinetic rates. These are adaptations in key properties of rhodopsin that mediate rod sensitivity and visual performance in the cold dark seas of the Antarctic.</t>
  </si>
  <si>
    <t>[Castiglione, Gianni M.; Hauser, Frances E.; Chang, Belinda S. W.] Univ Toronto, Dept Ecol &amp; Evolutionary Biol, Toronto, ON, Canada; [Castiglione, Gianni M.; Van Nynatten, Alexander; Chang, Belinda S. W.] Univ Toronto, Dept Cell &amp; Syst Biol, Toronto, ON, Canada; [Castiglione, Gianni M.] Vanderbilt Univ, Dept Biol Sci, Nashville, TN 37235 USA; [Castiglione, Gianni M.] Vanderbilt Univ, Med Ctr, Dept Ophthalmol &amp; Visual Sci, Nashville, TN 37235 USA; [Castiglione, Gianni M.] Vanderbilt Univ, Evolutionary Studies, Nashville, TN 37235 USA; [Hauser, Frances E.; Van Nynatten, Alexander] Univ Toronto Scarborough, Dept Biol Sci, Toronto, ON, Canada; [Castiglione, Gianni M.] Vanderbilt Univ, Dept Biol Sci, Nashville, TN 37235 USA</t>
  </si>
  <si>
    <t>University of Toronto; University of Toronto; Vanderbilt University; Vanderbilt University; Vanderbilt University; University of Toronto; University Toronto Scarborough; Vanderbilt University</t>
  </si>
  <si>
    <t>Castiglione, GM; Chang, BSW (corresponding author), Univ Toronto, Dept Ecol &amp; Evolutionary Biol, Toronto, ON, Canada.;Castiglione, GM; Chang, BSW (corresponding author), Univ Toronto, Dept Cell &amp; Syst Biol, Toronto, ON, Canada.;Castiglione, GM (corresponding author), Vanderbilt Univ, Dept Biol Sci, Nashville, TN 37235 USA.;Castiglione, GM (corresponding author), Vanderbilt Univ, Med Ctr, Dept Ophthalmol &amp; Visual Sci, Nashville, TN 37235 USA.;Castiglione, GM (corresponding author), Vanderbilt Univ, Evolutionary Studies, Nashville, TN 37235 USA.;Castiglione, GM (corresponding author), Vanderbilt Univ, Dept Biol Sci, Nashville, TN 37235 USA.</t>
  </si>
  <si>
    <t>gianni.castiglione@vanderbilt.edu; belinda.chang@utoronto.ca</t>
  </si>
  <si>
    <t>Van Nynatten, Alex/KHW-5919-2024</t>
  </si>
  <si>
    <t>Hauser, Frances/0000-0001-9694-7300; Castiglione, Gianni/0000-0002-0768-4236</t>
  </si>
  <si>
    <t>National Sciences and Engineering Research Council (NSERC); NSERC; Univeristy of Toronto Scarborough postdoctoral fellowship; Vision Science Research Program Scholarships; National Sciences and Engineering Research Council (NSERC); NSERC; Univeristy of Toronto Scarborough postdoctoral fellowship; Vision Science Research Program Scholarships; National Sciences and Engineering Research Council (NSERC); NSERC; Univeristy of Toronto Scarborough postdoctoral fellowship; Vision Science Research Program Scholarships</t>
  </si>
  <si>
    <t>National Sciences and Engineering Research Council (NSERC)(Natural Sciences and Engineering Research Council of Canada (NSERC)); NSERC(Natural Sciences and Engineering Research Council of Canada (NSERC)); Univeristy of Toronto Scarborough postdoctoral fellowship; Vision Science Research Program Scholarships; National Sciences and Engineering Research Council (NSERC)(Natural Sciences and Engineering Research Council of Canada (NSERC)); NSERC(Natural Sciences and Engineering Research Council of Canada (NSERC)); Univeristy of Toronto Scarborough postdoctoral fellowship; Vision Science Research Program Scholarships; National Sciences and Engineering Research Council (NSERC)(Natural Sciences and Engineering Research Council of Canada (NSERC)); NSERC(Natural Sciences and Engineering Research Council of Canada (NSERC)); Univeristy of Toronto Scarborough postdoctoral fellowship; Vision Science Research Program Scholarships</t>
  </si>
  <si>
    <t>This work was supported by a National Sciences and Engineering Research Council (NSERC) Discovery grant (BSWC), an NSERC postdoctoral fellowship (F.E.H.), a Univeristy of Toronto Scarborough postdoctoral fellowship (F.E.H.), and Vision Science Research Program Scholarships (G.M.C., F.E.H., A.V.N.). The 11-cis-retinal was generously provided by Rosalie Crouch (Medical University of South Carolina). The authors thank Sophia Chimenti for assistance formatting data, and Fangyu Ren for fish illustrations. G.M.C., F.E.H., and B.S.W.C. conceived of the study; G.M.C. collected data; G.M.C., F.E.H., and A.V.N. analyzed the data, and all authors wrote the paper.</t>
  </si>
  <si>
    <t>0737-4038</t>
  </si>
  <si>
    <t>1537-1719</t>
  </si>
  <si>
    <t>MOL BIOL EVOL</t>
  </si>
  <si>
    <t>Mol. Biol. Evol.</t>
  </si>
  <si>
    <t>msad030</t>
  </si>
  <si>
    <t>10.1093/molbev/msad030</t>
  </si>
  <si>
    <t>Biochemistry &amp; Molecular Biology; Evolutionary Biology; Genetics &amp; Heredity</t>
  </si>
  <si>
    <t>D8CI5</t>
  </si>
  <si>
    <t>WOS:000970948300007</t>
  </si>
  <si>
    <t>McGrath, C</t>
  </si>
  <si>
    <t>McGrath, Casey</t>
  </si>
  <si>
    <t>Looking through the Ice: Cold-Adapted Vision in Antarctic Icefish</t>
  </si>
  <si>
    <t>mcgrath.casey@gmail.com</t>
  </si>
  <si>
    <t>McGrath, Casey/0000-0002-9204-083X</t>
  </si>
  <si>
    <t>msad058</t>
  </si>
  <si>
    <t>10.1093/molbev/msad058</t>
  </si>
  <si>
    <t>WOS:000970948300003</t>
  </si>
  <si>
    <t>Pasqualetti, CB; Carvalho, MAM; Mansilla, A; Avila, M; Colepicolo, P; Yokoya, NS</t>
  </si>
  <si>
    <t>Pasqualetti, Cesar B. B.; Carvalho, Maria Angela M.; Mansilla, Andres; Avila, Marcela; Colepicolo, Pio; Yokoya, Nair S. S.</t>
  </si>
  <si>
    <t>Variations on primary metabolites of the carrageenan-producing red algae Sarcopeltis skottsbergii from Chile and Sarcopeltis antarctica from Antarctic Peninsula</t>
  </si>
  <si>
    <t>abiotic factors; carbohydrates; floridean starch; life history phases; pigments; proteins</t>
  </si>
  <si>
    <t>PALMARIA-DECIPIENS PALMARIALES; KING-GEORGE ISLAND; GIGARTINA-SKOTTSBERGII; CHONDRUS-CRISPUS; MAGELLAN REGION; RHODOPHYTA; MACROALGAE; GAMETOPHYTES; SYSTEMATICS; TETRASPOROPHYTES</t>
  </si>
  <si>
    <t>Several studies reported that gametophytes and tetrasporophytes of Gigartinaceae produce different carrageenan types, as observed in Sarcopeltis species although they have isomorphic haploid and diploid phases. Cystocarpic and non-fertile plants of Sarcopeltis (ex Gigartina) skottsbergii produced kappa-carrageenans, while tetrasporophytes produced lambda-carrageenans, and yields were higher in cystocarpic and sterile specimens than in tetrasporophytes. However, comparison on the other primary metabolites among different life history phases still needed to be investigated. Then, we tested the hypothesis if the variation on primary metabolites (pigments, proteins and carbohydrates) are related to the life history phases of Sarcopeltis antarctica and Sarcopeltis skottsbergii, and/or are influenced by abiotic factors. Primary metabolites of S. antarctica varied according to the life-history phases: non-fertile specimens presented higher phycobiliprotein concentrations, tetrasporophytes presented higher chlorophyll a concentrations, and cystocarpic specimens presented higher concentrations of proteins, polysaccharides and floridean starch. However, primary metabolites of S. skottsbergii varied in response to some abiotic factors (nutrients, temperature and salinity), since principal component analysis evidenced two groups; one was related by the higher nitrate and phosphate concentrations, and the other was related to the higher temperatures and lower salinities. Concentrations of floridean starch, low molecular weight carbohydrates, and polysaccharides are higher in S. antarctica than in S. skottsbergii, which could be related to the protective role of these compounds against salinity variation and low temperatures faced in the Antarctic extreme environments.</t>
  </si>
  <si>
    <t>[Pasqualetti, Cesar B. B.; Carvalho, Maria Angela M.; Yokoya, Nair S. S.] Environm Res Inst, Biodivers Conservat Ctr, Sao Paulo, Brazil; [Mansilla, Andres] Univ Magallanes, Biodivers &amp; Ecol Inst, Lab Antarctic &amp; Subantarct Marine Ecosyst, Punta Arenas, Chile; [Avila, Marcela] Univ Arturo Prat, Inst Sci &amp; Technol, Puerto Montt, Chile; [Colepicolo, Pio] Univ Sao Paulo, Inst Chem, Dept Biochem, Sao Paulo, Brazil</t>
  </si>
  <si>
    <t>Universidad de Magallanes; Universidad Arturo Prat; Universidade de Sao Paulo</t>
  </si>
  <si>
    <t>Yokoya, NS (corresponding author), Environm Res Inst, Biodivers Conservat Ctr, Sao Paulo, Brazil.</t>
  </si>
  <si>
    <t>nyokoya@hotmail.com</t>
  </si>
  <si>
    <t>Mansilla, Andres/0000-0003-3505-7018</t>
  </si>
  <si>
    <t>Conselho Nacional de Desenvolvimento Cientifico e Tecnologico (CNPq/PROANTAR) [407588/2013-2]; Fundacao de Amparo a Pesquisa do Estado de Sao Paulo (FAPESP) [2016/03062-5]; CNPq [310672/2016-3]</t>
  </si>
  <si>
    <t>Conselho Nacional de Desenvolvimento Cientifico e Tecnologico (CNPq/PROANTAR)(Conselho Nacional de Desenvolvimento Cientifico e Tecnologico (CNPQ)Fundacao de Apoio a Pesquisa do Distrito Federal (FAPDF)); Fundacao de Amparo a Pesquisa do Estado de Sao Paulo (FAPESP)(Fundacao de Amparo a Pesquisa do Estado de Sao Paulo (FAPESP)); CNPq(Conselho Nacional de Desenvolvimento Cientifico e Tecnologico (CNPQ))</t>
  </si>
  <si>
    <t>This work was supported by the Conselho Nacional de Desenvolvimento Cientifico e Tecnologico (CNPq/PROANTAR no 407588/2013-2). CP and NY thank grants from Fundacao de Amparo a Pesquisa do Estado de Sao Paulo (FAPESP no 2016/03062-5) and CNPq (no 310672/2016-3), respectively.</t>
  </si>
  <si>
    <t>10.3389/fmars.2023.1151332</t>
  </si>
  <si>
    <t>D7VU7</t>
  </si>
  <si>
    <t>WOS:000970776800001</t>
  </si>
  <si>
    <t>Fan, SS; Zhang, XY; Zeng, GX; Cheng, X</t>
  </si>
  <si>
    <t>Fan, Shuangshuang; Zhang, Xinyu; Zeng, Guangxian; Cheng, Xiao</t>
  </si>
  <si>
    <t>Underwater ice adaptive mapping and reconstruction using autonomous underwater vehicles</t>
  </si>
  <si>
    <t>underwater ice topography; adaptive mapping; field reconstruction; sparse approximation; autonomous underwater vehicle</t>
  </si>
  <si>
    <t>SEA-ICE; APPROXIMATION; TRACK; AUVS; MAP</t>
  </si>
  <si>
    <t>The undersides of floating ice shelves and sea ice in the Antarctic and Arctic are among the least accessible environments on Earth. The interactions between ice shelves, sea ice, and the ocean are of considerable scientific interest. In order to fully understand the complex picture of sea ice, and not just its surface, it is quite necessary to map the underside to comprehend the full context of its growth and decay patterns. Autonomous Underwater Vehicles (AUVs) are rapidly becoming the desired platform of choice for mapping the underside of sea ice to provide high-resolution 3D views of sea ice topography. To increase the efficiency and accuracy of AUV sampling behaviors is significant for the under-ice observation mission given its limited endurance. In this paper, we present a low-cost underwater ice mapping framework for small-sized AUVs using adaptive sampling and map reconstruction methods. A small-sized AUV is cost-effective and convenient for operation in polar regions; however, due to its limited loading capacity and energy, it is more applicable for the vehicle to carry single-beam sonar for ice bottom mapping but not multi-beam. Thus, the essential issue in this application is how to obtain the key information of ice topography and how to reconstruct the map of ice draft (namely underwater ice thickness) with AUV sparse mapping swathes. To address this, we propose a graphics-based adaptive mapping method to densify the measuring of ice bottom surface with 'noticeable' variations; moreover, we also present a sparse approximation method for ice draft map reconstruction using the sparse mapping swathes from a single-beam sonar. Our efforts are to introduce an effective and efficient approach for underwater ice mapping using low-cost small-sized AUVs. Our proposed adaptive mapping and reconstruction methods are validated in the under-ice scenario created using the field data.</t>
  </si>
  <si>
    <t>[Fan, Shuangshuang; Zhang, Xinyu; Zeng, Guangxian] Sun Yat Sen Univ, Sch Marine Sci, Zhuhai, Peoples R China; [Cheng, Xiao] Sun Yat Sen Univ, Sch Geospatial Engn &amp; Sci, Zhuhai, Peoples R China; [Fan, Shuangshuang; Zhang, Xinyu; Zeng, Guangxian; Cheng, Xiao] Southern Marine Sci &amp; Engn Guangdong Lab Zhuhai, Zhuhai, Peoples R China</t>
  </si>
  <si>
    <t>Sun Yat Sen University; Sun Yat Sen University; Southern Marine Science &amp; Engineering Guangdong Laboratory; Southern Marine Science &amp; Engineering Guangdong Laboratory (Zhuhai)</t>
  </si>
  <si>
    <t>Cheng, X (corresponding author), Sun Yat Sen Univ, Sch Geospatial Engn &amp; Sci, Zhuhai, Peoples R China.;Cheng, X (corresponding author), Southern Marine Sci &amp; Engn Guangdong Lab Zhuhai, Zhuhai, Peoples R China.</t>
  </si>
  <si>
    <t>National Natural Science Foundation of China [52001338]; Strategic Priority Research Program of the Chinese Academy of Sciences [XDA22000000]; Innovation Group Project of Southern Marine Science and Engineering Guangdong Laboratory (Zhuhai) [SML311021012]</t>
  </si>
  <si>
    <t>National Natural Science Foundation of China(National Natural Science Foundation of China (NSFC)); Strategic Priority Research Program of the Chinese Academy of Sciences(Chinese Academy of Sciences); Innovation Group Project of Southern Marine Science and Engineering Guangdong Laboratory (Zhuhai)</t>
  </si>
  <si>
    <t>This work is supported by the National Natural Science Foundation of China (Grant No. 52001338), the Strategic Priority Research Program of the Chinese Academy of Sciences (Grant No. XDA22000000), and the Innovation Group Project of Southern Marine Science and Engineering Guangdong Laboratory (Zhuhai) (Grant No. SML311021012).</t>
  </si>
  <si>
    <t>10.3389/fmars.2023.1124752</t>
  </si>
  <si>
    <t>D8CC7</t>
  </si>
  <si>
    <t>WOS:000970942500001</t>
  </si>
  <si>
    <t>Zhai, C; Liang, YT; Yu, H; Ji, Y; Chen, XC; Wang, M; McMinn, A</t>
  </si>
  <si>
    <t>Zhai, Chuan; Liang, Yantao; Yu, Hao; Ji, Yan; Chen, Xuechao; Wang, Min; McMinn, Andrew</t>
  </si>
  <si>
    <t>Ocean acidification alters the benthic biofilm communities in intertidal soft sediments</t>
  </si>
  <si>
    <t>ocean acidification; biofilms; microphytobenthos; bacteria; intertidal; sediments</t>
  </si>
  <si>
    <t>LARVAL SETTLEMENT; ORGANIC-MATTER; CARBON-DIOXIDE; CO2 GRADIENT; MARINE; MICROPHYTOBENTHOS; DIVERSITY; IMPACTS; SEA; PHOTOSYNTHESIS</t>
  </si>
  <si>
    <t>Microphytobenthos (MPB) and bacterial biofilms play crucial roles in primary and secondary production, nutrient cycling and invertebrate settlement in coastal ecosystems, yet little is known of the effects of ocean acidification (OA) on these communities in intertidal soft sediments. To fill in this gap, a 28-day CO2 enhancement experiment was conducted for the benthic biofilms in soft intertidal sediments (muds and sands) from Qingdao, China. This experiment included three CO2 treatments: 400 ppm CO2 (control), 700 ppm CO2 and 1000 ppm CO2 (IPCC predicted value in 2100), which were established in a three-level CO2 incubator that can adjust the CO2 concentration in the overlying air. The effects of OA on benthic biofilms were assessed in the following three aspects: MPB biomass, biofilm community structure and microbial biogeochemical cycling (e.g., C-cycle, N-cycle and S-cycle). This study found that the 700 ppm CO2 treatment did not significantly affect the benthic biofilms in intertidal soft sediments, but the 1000 ppm CO2 treatment significantly altered the biofilm community composition and potentially their role in microbial biogeochemical cyc\ling in sediments (especially in sandy sediments). For the bacterial community in biofilms, the 1000 ppm CO2 enhancement increased the relative abundance of Alteromonadales and Bacillales but decreased the relative abundance of Rhodobacterales and Flavobacteriales. For microbial biogeochemical cycling, the 1000 ppm CO2 treatment enhanced the potential of chemoheterotrophic activity, nitrate reduction and sulfur respiration in sediments, likely resulting in a more stressful environment (hypoxic and enriched H2S) for most benthic organisms. Even though incubations in this study were only 28 days long and thus couldn't fully accommodate the range of longer-term adaptions, it still suggests that benthic biofilms in intertidal sandy sediments are likely to change significantly near the end of the century if anthropogenic CO2 emissions unmitigated, with profound implications on local ecosystems and biogeochemical cycling.</t>
  </si>
  <si>
    <t>[Zhai, Chuan; McMinn, Andrew] Univ Tasmania, Inst Marine &amp; Antarctic Studies, Hobart, Tas, Australia; [Liang, Yantao; Yu, Hao; Ji, Yan; Chen, Xuechao; Wang, Min; McMinn, Andrew] Ocean Univ China, Inst Evolut &amp; Marine Biodivers, Coll Marine Life Sci, Frontiers Sci Ctr Deep Ocean Multispheres &amp; Earth, Qingdao, Peoples R China; [Liang, Yantao; Yu, Hao; Ji, Yan; Chen, Xuechao; Wang, Min; McMinn, Andrew] Ocean Univ China, Key Lab Polar Oceanog &amp; Global Ocean Change, Qingdao, Peoples R China; [Liang, Yantao; Wang, Min] Univ Malaysia Terengannu UMT, Ocean Univ China OUC, Joint Ctr Marine Studies, Qingdao, Peoples R China; [Wang, Min] Ocean Univ China, Haide Coll, Qingdao, Peoples R China; [Wang, Min] Qingdao Univ, Affiliated Hosp, Qingdao, Peoples R China</t>
  </si>
  <si>
    <t>University of Tasmania; Ocean University of China; Ocean University of China; Ocean University of China; Qingdao University</t>
  </si>
  <si>
    <t>McMinn, A (corresponding author), Univ Tasmania, Inst Marine &amp; Antarctic Studies, Hobart, Tas, Australia.;Liang, YT; Wang, M; McMinn, A (corresponding author), Ocean Univ China, Inst Evolut &amp; Marine Biodivers, Coll Marine Life Sci, Frontiers Sci Ctr Deep Ocean Multispheres &amp; Earth, Qingdao, Peoples R China.;Liang, YT; Wang, M; McMinn, A (corresponding author), Ocean Univ China, Key Lab Polar Oceanog &amp; Global Ocean Change, Qingdao, Peoples R China.;Liang, YT; Wang, M (corresponding author), Univ Malaysia Terengannu UMT, Ocean Univ China OUC, Joint Ctr Marine Studies, Qingdao, Peoples R China.;Wang, M (corresponding author), Ocean Univ China, Haide Coll, Qingdao, Peoples R China.;Wang, M (corresponding author), Qingdao Univ, Affiliated Hosp, Qingdao, Peoples R China.</t>
  </si>
  <si>
    <t>liangyantao@ouc.edu.cn; mingwang@ouc.edu.cn; andrew.mcminn@utas.edu.au</t>
  </si>
  <si>
    <t>Wang, Min/AFR-9645-2022; Zhai, Chuan/IUN-7539-2023</t>
  </si>
  <si>
    <t>Wang, Min/0000-0002-2357-589X; Zhai, Chuan/0000-0001-6068-393X</t>
  </si>
  <si>
    <t>10.3389/fmars.2023.1117826</t>
  </si>
  <si>
    <t>D5UJ3</t>
  </si>
  <si>
    <t>WOS:000969379100001</t>
  </si>
  <si>
    <t>Cámara, PEAS; Carvalho-Silva, M; Valente, DV; Henriques, DK; De Amorim, ET; Fava, WS; Kruijer, H; Stech, M</t>
  </si>
  <si>
    <t>Camara, Paulo E. A. S.; Carvalho-Silva, Micheline; Valente, Daiane Valente; Henriques, Diego Knop; De Amorim, Eduardo Toledo; Fava, Wellington Santos; Kruijer, Hans (J. D. ); Stech, Michael</t>
  </si>
  <si>
    <t>Revisiting the bipolarity of Roaldia revoluta (Mitt.) PEAS Camara &amp; Carv.-Silva (Bryophyta, Pylaisiaceae)</t>
  </si>
  <si>
    <t>Antarctica; Arctic; genetic diversity; haplotype; Hypnum revolutum; Pylaisiaceae</t>
  </si>
  <si>
    <t>DICRANUM DICRANACEAE; GENETIC-VARIATION; DISTANCE; MOSSES; BRYOPSIDA</t>
  </si>
  <si>
    <t>The occurrence of species in both polar regions (bipolarity) is a common phenomenon in the Antarctic flora. Considering the high morphological variation in polar regions due to extreme conditions, the use of molecular tools is indispensable for testing whether Arctic and Antarctic populations indeed belong to the same species. However, few phylogeographic studies of bipolar bryophytes have been conducted so far, especially when comparing molecular and morphological variation. Here, we assess the bipolarity and intraspecific variation of Roaldia revoluta, a strictly bipolar species of pleurocarpous mosses. Phylogenetic analyses based on ITS sequences clearly resolve R. revoluta as monophyletic and confirm its bipolar distribution pattern. Low intraspecific molecular variation in the markers ITS/26S and rpl16 was observed, and most specimens from both polar regions belong to a single haplotype, making it difficult to infer the origin and dispersal routes between both polar regions of R. revoluta. Morphometric analysis furthermore suggests that there are no significant morphological differences among populations from both polar regions and that morphological variation is mainly influenced by local environmental conditions. Our data do not unequivocally support the recent separation of the former intraspecific taxon Hypnum revolutum var. dolomiticum at the species level as Roaldia dolomitica.</t>
  </si>
  <si>
    <t>[Camara, Paulo E. A. S.; Carvalho-Silva, Micheline; Henriques, Diego Knop] Univ Brasilia, Bot Dept, Brasilia, Brazil; [Valente, Daiane Valente] Inst Fed Educ Ciencia &amp; Tecnol Farroupilha, Campus Sao Vicente Do Sul,Rua 20 Setembro 2616, BR-97420000 Sao Vicente Do Sul, RS, Brazil; [De Amorim, Eduardo Toledo] Ctr Nacl Conservacao Flora Jardim Bot Rio De Jane, Rio De Janeiro, Brazil; [Fava, Wellington Santos] Univ Fed Mato Grosso do Sul, Inst Biosci, Lab Ecol &amp; Evolutionary Biol, BR-79070900 Campo Grande, MS, Brazil; [Kruijer, Hans (J. D. ); Stech, Michael] Nat Biodivers Ctr, POB 9517, NL-2300 RA Leiden, Netherlands; [Kruijer, Hans (J. D. ); Stech, Michael] Leiden Univ, Leiden, Netherlands</t>
  </si>
  <si>
    <t>Universidade de Brasilia; Instituto Federal Farroupilha; Universidade Federal de Mato Grosso do Sul; Naturalis Biodiversity Center; Leiden University - Excl LUMC; Leiden University</t>
  </si>
  <si>
    <t>Cámara, PEAS (corresponding author), Univ Brasilia, Bot Dept, Brasilia, Brazil.</t>
  </si>
  <si>
    <t>Camara, Paulo/GPP-2054-2022; Fava, Wellington Santos/M-5769-2014</t>
  </si>
  <si>
    <t>Camara, Paulo/0000-0002-3944-996X; Silva, Micheline/0000-0002-2389-3804; Valente, Daiane/0000-0002-7817-1032; Henriques, Diego Knop/0000-0003-2839-8877; Amorim, Eduardo/0000-0003-4253-1339; Stech, Michael/0000-0001-9804-0120; Kruijer, Hans/0000-0002-6768-5230; Fava, Wellington Santos/0000-0002-3608-0503</t>
  </si>
  <si>
    <t>Brazilian Antarctic Program (PROANTAR); CNPq; MCTI; Dutch Research Council NWO [ALW-NAP/08-01]; Netherlands Scientific Expedition Edgeoya Spitsbergen (SEES); European Union [262693]; ARCFAC V [ARCFAC-026129-2008-31, ARCFAC-026129-2009-123]</t>
  </si>
  <si>
    <t>Brazilian Antarctic Program (PROANTAR); CNPq(Conselho Nacional de Desenvolvimento Cientifico e Tecnologico (CNPQ)); MCTI; Dutch Research Council NWO(Netherlands Organization for Scientific Research (NWO)); Netherlands Scientific Expedition Edgeoya Spitsbergen (SEES); European Union(European Union (EU)); ARCFAC V</t>
  </si>
  <si>
    <t>We thank the Brazilian Antarctic Program (PROANTAR), CNPq and MCTI for providing funds and scholarships. For Arctic research (contributing specimens to the Brazil-funded bipolar bryophyte project), HK and MS received funding from the Dutch Research Council NWO (grant ALW-NAP/08-01 and the Netherlands Scientific Expedition Edgeoya Spitsbergen (SEES) 2015), as well as European Union programs FP7/2007-2013, under grant agreement no. 262693 (INTERACT), and ARCFAC V (grants ARCFAC-026129-2008-31, ARCFAC-026129-2009-123), which is gratefully acknowledged.</t>
  </si>
  <si>
    <t>PII S0954102023000044</t>
  </si>
  <si>
    <t>10.1017/S0954102023000044</t>
  </si>
  <si>
    <t>WOS:000962974400001</t>
  </si>
  <si>
    <t>Hou, SN; Lamprou, F; Hoem, FS; Hadju, MRN; Sangiorgi, F; Peterse, F; Bijl, PK</t>
  </si>
  <si>
    <t>Hou, Suning; Lamprou, Foteini; Hoem, Frida S.; Hadju, Mohammad Rizky Nanda; Sangiorgi, Francesca; Peterse, Francien; Bijl, Peter K.</t>
  </si>
  <si>
    <t>Lipid-biomarker-based sea surface temperature record offshore Tasmania over the last 23 million years</t>
  </si>
  <si>
    <t>ISOPRENOID TETRAETHER LIPIDS; ANTARCTIC ICE-SHEET; SOUTHERN-OCEAN; ORGANIC-MATTER; WATER-COLUMN; PARTICULATE MATTER; GDGT DISTRIBUTIONS; MEMBRANE-LIPIDS; EARLY EOCENE; WILKES LAND</t>
  </si>
  <si>
    <t>The Neogene (23.04-2.58 Ma) is characterised by progressive buildup of ice volume and climate cooling in the Antarctic and the Northern Hemisphere. Heat and moisture delivery to Antarctica is, to a large extent, regulated by the strength of meridional temperature gradients. However, the evolution of the Southern Ocean frontal systems remains scarcely studied in the Neogene. Here, we present the first long-term continuous sea surface temperature (SST) record of the subtropical front area in the Southern Ocean at Ocean Drilling Program (ODP) Site 1168 off western Tasmania. This site is, at present, located near the subtropical front (STF), as it was during the Neogene, despite a 10ffi northward tectonic drift of Tasmania. We analysed glycerol dialkyl glycerol tetraethers (GDGTs - on 433 samples) and alkenones (on 163 samples) and reconstructed the paleotemperature evolution using TEX86 and Uk0 37 as two independent quantitative proxies. Both proxies indicate that Site 1168 experienced a temperate similar to 25 ffiC during the early Miocene (23-17 Ma), reaching similar to 29 ffiC during the mid-Miocene climatic optimum. The stepwise similar to 10 ffiC cooling (20-10 ffi C) in the mid-to-late Miocene (12.5-5.0 Ma) is larger than that observed in records from lower and higher latitudes. From the Pliocene to modern (5.3-0 Ma), STF SST first plateaus at similar to 15 ffiC (3 Ma), then decreases to similar to 6 ffiC (1.3 Ma), and eventually increases to the modern levels around similar to 16 ffi C (0 Ma), with a higher variability of 5ffi compared to the Miocene. Our results imply that the latitudinal temperature gradient between the Pacific Equator and the STF during late Miocene cooling increased from 4 to 14 ffi C. Meanwhile, the SST gradient between the STF and the Antarctic margin decreased due to amplified STF cooling compared to the Antarctic margin. This implies a narrowing SST gradient in the Neogene, with contraction of warm SSTs and northward expansion of subpolar conditions.</t>
  </si>
  <si>
    <t>[Hou, Suning; Lamprou, Foteini; Hoem, Frida S.; Hadju, Mohammad Rizky Nanda; Sangiorgi, Francesca; Peterse, Francien; Bijl, Peter K.] Univ Utrecht, Dept Earth Sci, NL-3584CB Utrecht, Netherlands</t>
  </si>
  <si>
    <t>Hou, SN (corresponding author), Univ Utrecht, Dept Earth Sci, NL-3584CB Utrecht, Netherlands.</t>
  </si>
  <si>
    <t>s.hou@uu.nl</t>
  </si>
  <si>
    <t>Peterse, Francien/AAY-1473-2021</t>
  </si>
  <si>
    <t>Peterse, Francien/0000-0001-8781-2826; Bijl, Peter/0000-0002-1710-4012; Sangiorgi, Francesca/0000-0003-4233-6154; Hou, Suning/0000-0002-8902-6367; Hoem, Frida/0000-0002-8834-6799</t>
  </si>
  <si>
    <t>European Research Council, H2020 European Research Council (OceaNice) [802835]; European Research Council (ERC) [802835] Funding Source: European Research Council (ERC)</t>
  </si>
  <si>
    <t>European Research Council, H2020 European Research Council (OceaNice); European Research Council (ERC)(European Research Council (ERC)Spanish Government)</t>
  </si>
  <si>
    <t>This research has been supported by the European Research Council, H2020 European Research Council (OceaNice (grant no. 802835)).</t>
  </si>
  <si>
    <t>10.5194/cp-19-787-2023</t>
  </si>
  <si>
    <t>C7OK5</t>
  </si>
  <si>
    <t>WOS:000963766200001</t>
  </si>
  <si>
    <t>Kida, M; Merder, J; Fujitake, N; Tanabe, Y; Hayashi, K; Kudoh, S; Dittmar, T</t>
  </si>
  <si>
    <t>Kida, Morimaru; Merder, Julian; Fujitake, Nobuhide; Tanabe, Yukiko; Hayashi, Kentaro; Kudoh, Sakae; Dittmar, Thorsten</t>
  </si>
  <si>
    <t>Determinants of Microbial-Derived Dissolved Organic Matter Diversity in Antarctic Lakes</t>
  </si>
  <si>
    <t>ENVIRONMENTAL SCIENCE &amp; TECHNOLOGY</t>
  </si>
  <si>
    <t>carbon cycling; DOM; fresh waters; mass spectrometry; nuclear magnetic resonance spectroscopy; photodegradation</t>
  </si>
  <si>
    <t>SCALE; SPECTROSCOPY; ASSEMBLAGES; SUBSTANCES; CARBON; LIMIT</t>
  </si>
  <si>
    <t>Identifying drivers of the molecular composition of dissolved organic matter (DOM) is essential to understand the global carbon cycle, but an unambiguous interpretation of observed patterns is challenging due to the presence of confounding factors that affect the DOM composition. Here, we show, by combining ultrahigh-resolution mass spectrometry and nuclear magnetic resonance spectroscopy, that the DOM molecular composition varies considerably among 43 lakes in East Antarctica that are isolated from terrestrial inputs and human influence. The DOM composition in these lakes is primarily driven by differences in the degree of photodegradation, sulfurization, and pH. Remarkable molecular beta-diversity of DOM was found that rivals the dissimilarity between DOM of rivers and the deep ocean, which was driven by environmental dissimilarity rather than the spatial distance. Our results emphasize that the extensive molecular diversity of DOM can arise even in one of the most pristine and organic matter source-limited environments on Earth, but at the same time the DOM composition is predictable by environmental variables and the lakes' ecological history.</t>
  </si>
  <si>
    <t>[Merder, Julian] Carnegie Inst Sci, Dept Global Ecol, Stanford, CA 94305 USA; [Merder, Julian; Kudoh, Sakae] Res Org Informat &amp; Syst, Natl Inst Polar Res, Tachikawa, Tokyo 1908518, Japan; [Tanabe, Yukiko] Grad Univ Adv Studies, Dept Polar Sci, SOKENDAI, Tachikawa, Tokyo 1908518, Japan; [Hayashi, Kentaro] NARO, Inst Agroenvironm Sci, Tsukuba, Ibaraki 3058604, Japan; [Hayashi, Kentaro] Res Inst Humanity &amp; Nat, 457-4 Motoyama,Kita, Kyoto 6038047, Japan; [Kida, Morimaru; Dittmar, Thorsten] Carl von Ossietzky Univ Oldenburg, Inst Chem &amp; Biol Marine Environm ICBM, Res Grp Marine Geochem, ICBM MPI Bridging Grp, D-26129 Oldenburg, Germany; [Kida, Morimaru; Fujitake, Nobuhide] Kobe Univ, Grad Sch Agr Sci, Soil Sci Lab, Kobe, Hyogo 6578501, Japan; [Dittmar, Thorsten] Carl von Ossietzky Univ Oldenburg, Helmholtz Inst Funct Marine Biodivers HIFMB, D-26129 Oldenburg, Germany</t>
  </si>
  <si>
    <t>Carnegie Institution for Science; Research Organization of Information &amp; Systems (ROIS); National Institute of Polar Research (NIPR) - Japan; Graduate University for Advanced Studies - Japan; National Agriculture &amp; Food Research Organization - Japan; Research Institute for Humanity &amp; Nature (RIHN); Carl von Ossietzky Universitat Oldenburg; Kobe University; Carl von Ossietzky Universitat Oldenburg</t>
  </si>
  <si>
    <t>Kida, M; Dittmar, T (corresponding author), Carl von Ossietzky Univ Oldenburg, Inst Chem &amp; Biol Marine Environm ICBM, Res Grp Marine Geochem, ICBM MPI Bridging Grp, D-26129 Oldenburg, Germany.;Kida, M; Fujitake, N (corresponding author), Kobe Univ, Grad Sch Agr Sci, Soil Sci Lab, Kobe, Hyogo 6578501, Japan.;Dittmar, T (corresponding author), Carl von Ossietzky Univ Oldenburg, Helmholtz Inst Funct Marine Biodivers HIFMB, D-26129 Oldenburg, Germany.</t>
  </si>
  <si>
    <t>morimaru.kida@people.kobe-u.ac.jp; fujitake@kobe-u.ac.jp; thorsten.dittmar@uni-oldenburg.de</t>
  </si>
  <si>
    <t>Dittmar, Thorsten/L-7796-2013</t>
  </si>
  <si>
    <t>Dittmar, Thorsten/0000-0002-3462-0107; Merder, Julian/0000-0002-5958-7016; Kida, Morimaru/0000-0002-9908-2012</t>
  </si>
  <si>
    <t>JSPS KAKENHI [16H05885, 201960090]</t>
  </si>
  <si>
    <t>Funding This study was financially supported by JSPS KAKENHI 16H05885 and Grant-in-Aid for JSPS Overseas Research Fellow (201960090) .</t>
  </si>
  <si>
    <t>0013-936X</t>
  </si>
  <si>
    <t>1520-5851</t>
  </si>
  <si>
    <t>ENVIRON SCI TECHNOL</t>
  </si>
  <si>
    <t>Environ. Sci. Technol.</t>
  </si>
  <si>
    <t>10.1021/acs.est.3c00249</t>
  </si>
  <si>
    <t>D1VR6</t>
  </si>
  <si>
    <t>WOS:000966671700001</t>
  </si>
  <si>
    <t>Mondragón-Neri, GA; Gómez-Gutiérrez, J; García-Fernández, F; Gendron, D; Busquets-Vass, G; Robinson, CJ</t>
  </si>
  <si>
    <t>Mondragon-Neri, Gabriel A.; Gomez-Gutierrez, Jaime; Garcia-Fernandez, Franklin; Gendron, Diane; Busquets-Vass, Geraldine; Robinson, Carlos J.</t>
  </si>
  <si>
    <t>Ontogenetic social behavior and seasonal abundance of the subtropical krill Nyctiphanes simplex in northwestern Mexican waters</t>
  </si>
  <si>
    <t>JOURNAL OF PLANKTON RESEARCH</t>
  </si>
  <si>
    <t>euphausiids; behavior; aggregation; swarm; school; shoal; gulf of California; Mexico</t>
  </si>
  <si>
    <t>GULF-OF-CALIFORNIA; EARLY LARVAL DEVELOPMENT; DAYTIME SURFACE SWARMS; BACTERIAL ASSEMBLAGE INTERACTION; CILIATE PSEUDOCOLLINIA-BRINTONI; WHALES BALAENOPTERA-PHYSALUS; DAILY VERTICAL MIGRATION; BAJA-CALIFORNIA; COMMUNITY STRUCTURE; ANTARCTIC KRILL</t>
  </si>
  <si>
    <t>Nyctiphanes simplex (Euphausiidae) is the key prey for numerous pelagic predators because it is the most abundant of the 12 krill species present in the Gulf of California, forming dense and complex ontogenetic social interactions throughout its life cycle. We describe the diverse social behaviors of N. simplex and estimate its seasonal abundance in the Gulf of California accounting on average 74% of the krill assemblage. N. simplex exhibited complex and dynamic social repertoires of intraspecific behavioral interactions as early as Calyptopis 1 to adult phase, showing all possible ranges of social behavior known for pelagic invertebrates (aggregations, swarms, schools, shoals). We conclude that N. simplex displays different degrees of social behavior that concentrate abundance throughout their life cycle in epibenthic, pelagic and near surface habitats being highly adaptive behavior for feeding and reproduction. However, social interactions also pose a negative effect, facilitating parasite and disease transmission among conspecifics and facilitate predation for diverse visual predators adapted to find and prey on N. simplex aggregations and swarms. We report the most complete integrated evidence of social behavior and dataset of abundance data of any krill species in tropical and subtropical regions that have remained overlooked using traditional zooplankton net sampling methods.</t>
  </si>
  <si>
    <t>[Mondragon-Neri, Gabriel A.] Univ Autonoma Baja California Sur, Dept Ciencias Marinas &amp; Costeras, La Paz 23080, Baja California, Mexico; [Gomez-Gutierrez, Jaime; Garcia-Fernandez, Franklin; Gendron, Diane] Inst Politecn Nacl, Ctr Interdisciplinario Ciencias Marinas, Ave Ipn S-N, La Paz 23096, Baja California, Mexico; [Busquets-Vass, Geraldine] Ctr Invest Cient &amp; Educ Super Ensenada, Unidad La Paz, Lab Macroecol Marina, La Paz 23050, Baja California, Mexico; [Busquets-Vass, Geraldine] Univ New Mexico, Biol Dept, Albuquerque, NM USA; [Robinson, Carlos J.] Univ Nacl Autonoma Mexico, Inst Deciencias Mar &amp; Limnol, Mexico City 04510, Mexico</t>
  </si>
  <si>
    <t>Universidad Autonoma de Baja California; Instituto Politecnico Nacional - Mexico; CICESE - Centro de Investigacion Cientifica y de Educacion Superior de Ensenada; University of New Mexico; Universidad Nacional Autonoma de Mexico</t>
  </si>
  <si>
    <t>Gómez-Gutiérrez, J (corresponding author), Inst Politecn Nacl, Ctr Interdisciplinario Ciencias Marinas, Ave Ipn S-N, La Paz 23096, Baja California, Mexico.</t>
  </si>
  <si>
    <t>jgomezgu@gmail.com; biolfranklin@gmail.com; dgendron@ipn.mx; geraldine.busquets@gmail.com; robmen@unam.mx</t>
  </si>
  <si>
    <t>; Gomez-Gutierrez, Jaime/Q-8647-2018</t>
  </si>
  <si>
    <t>Busquets-Vass, Geraldine/0000-0003-2867-7614; Gomez-Gutierrez, Jaime/0000-0003-2516-897X</t>
  </si>
  <si>
    <t>Instituto Politecnico Nacional (IPN, multiple SIP) [SIP 2017014, 20180084]; PROCER funds from CONANP; Rufford Small Grant for Nature Conservation; Centro Interdisciplinario de Ciencias Marinas projects: Proyectos individuales SIP-IPN [20110012, 20120948, CONACYT-FOSEMARNAT 2004-01-144, CONACYT-SAGARPA 2005-717]; CONACYT [2012-01-15786, CB-2016-01-284201]; Instituto de Ciencias del Mar y Limnologia, Universidad Nacional Autonoma de Mexico [IN200610-3, IN210622, IN202319, IN20066610-3, IN218106-3]</t>
  </si>
  <si>
    <t>Instituto Politecnico Nacional (IPN, multiple SIP); PROCER funds from CONANP; Rufford Small Grant for Nature Conservation; Centro Interdisciplinario de Ciencias Marinas projects: Proyectos individuales SIP-IPN; CONACYT(Consejo Nacional de Ciencia y Tecnologia (CONACyT)); Instituto de Ciencias del Mar y Limnologia, Universidad Nacional Autonoma de Mexico(Universidad Nacional Autonoma de Mexico)</t>
  </si>
  <si>
    <t>This research was funded by the Instituto Politecnico Nacional (IPN, multiple SIP research projects carried out between 1996 and 2016, and SIP 2017014, 20180084), PROCER funds from CONANP, Rufford Small Grant for Nature Conservation 2013. Centro Interdisciplinario de Ciencias Marinas projects: Proyectos individuales SIP-IPN 20110012, 20120948; Proyectos Multidisciplinarios SIP-IPN 2013-2016, CONACYT-FOSEMARNAT 2004-01-144, CONACYT-SAGARPA 2005-717, CONACYT 2012-01-15786, CB-2016-01-284201 and Instituto de Ciencias del Mar y Limnologia, Universidad Nacional Autonoma de Mexico that supported three BAMA cruises during 2004 and 15 CAPEGOLCA oceanographic cruises carried out between 2005 and 2019 onboard the R/V El Puma (PAPIIT-UNAM IN200610-3, IN210622, IN202319, IN20066610-3, IN218106-3).</t>
  </si>
  <si>
    <t>0142-7873</t>
  </si>
  <si>
    <t>1464-3774</t>
  </si>
  <si>
    <t>J PLANKTON RES</t>
  </si>
  <si>
    <t>J. Plankton Res.</t>
  </si>
  <si>
    <t>JUN 3</t>
  </si>
  <si>
    <t>10.1093/plankt/fbad008</t>
  </si>
  <si>
    <t>I3GO9</t>
  </si>
  <si>
    <t>WOS:000962907800001</t>
  </si>
  <si>
    <t>Rieke, O; Arthun, M; Dörr, JS</t>
  </si>
  <si>
    <t>Rieke, Ole; Arthun, Marius; Dorr, Jakob Simon</t>
  </si>
  <si>
    <t>Rapid sea ice changes in the future Barents Sea</t>
  </si>
  <si>
    <t>EARTH SYSTEM MODEL; INTERNAL VARIABILITY; HEAT-TRANSPORT; ARCTIC-OCEAN</t>
  </si>
  <si>
    <t>Observed and future winter Arctic sea ice loss is strongest in the Barents Sea.However, the anthropogenic signal of the sea ice decline is superimposed by pronounced internal variability that represents a large source of uncertainty in future climate projections.A notable manifestation of internal variability is rapid ice change events (RICEs) that greatly exceed the anthropogenic trend.These RICEs are associated with large displacements of the sea ice edge which could potentially have both local and remote impacts on the climate system.In this study we present the first investigation of the frequency and drivers of RICEs in the future Barents Sea, using multi-member ensemble simulations from CMIP5 and CMIP6.A majority of RICEs are triggered by trends in ocean heat transport or surface heat fluxes.Ice loss events are associated with increasing trends in ocean heat transport and decreasing trends in surface heat loss.RICEs are a common feature of the future Barents Sea until the region becomes close to ice-free.As their evolution over time is closely tied to the average sea ice conditions, rapid ice changes in the Barents Sea may serve as a precursor for future changes in adjacent seas.</t>
  </si>
  <si>
    <t>[Rieke, Ole; Arthun, Marius; Dorr, Jakob Simon] Univ Bergen, Geophys Inst, Bergen, Norway; [Arthun, Marius; Dorr, Jakob Simon] Bjerknes Ctr Climate Res, Bergen, Norway; [Rieke, Ole] Univ Tasmania, Inst Marine &amp; Antarctic Studies, Hobart, Tas, Australia</t>
  </si>
  <si>
    <t>University of Bergen; Bjerknes Centre for Climate Research; University of Tasmania</t>
  </si>
  <si>
    <t>Arthun, M (corresponding author), Univ Bergen, Geophys Inst, Bergen, Norway.;Arthun, M (corresponding author), Bjerknes Ctr Climate Res, Bergen, Norway.</t>
  </si>
  <si>
    <t>marius.arthun@uib.no</t>
  </si>
  <si>
    <t>Dörr, Jakob/JDM-2765-2023</t>
  </si>
  <si>
    <t>Dörr, Jakob/0000-0002-1920-9301; Rieke, Ole/0000-0002-5854-6220</t>
  </si>
  <si>
    <t>10.5194/tc-17-1445-2023</t>
  </si>
  <si>
    <t>C5DE9</t>
  </si>
  <si>
    <t>WOS:000962110500001</t>
  </si>
  <si>
    <t>Mossbrucker, ME; Acuña-Marrero, D; Cundy, ME; Fierro-Arcos, D; Suárez-Moncada, JM; Rastoin-Laplaine, E; Salinas-de-León, P</t>
  </si>
  <si>
    <t>Mossbrucker, Magdalena E.; Acuna-Marrero, David; Cundy, Megan E.; Fierro-Arcos, Denisse; Suarez-Moncada, Jenifer M.; Rastoin-Laplaine, Etienne; Salinas-de-Leon, Pelayo</t>
  </si>
  <si>
    <t>First records of two rays and three bony fishes for the Galapagos Islands</t>
  </si>
  <si>
    <t>JOURNAL OF THE MARINE BIOLOGICAL ASSOCIATION OF THE UNITED KINGDOM</t>
  </si>
  <si>
    <t>El Nino Southern Oscillation; Marine Protected Area; oceanic islands; BRUVS; DOVS; Tropical Eastern Pacific</t>
  </si>
  <si>
    <t>PACIFIC</t>
  </si>
  <si>
    <t>The Galapagos Islands lie within the oceanic ecoregion of the Tropical Eastern Pacific, which has a unique fish assemblage composition due to the influence of several ocean currents and El Nino Southern Oscillation (ENSO) events. In the El Nino phase of these events, water temperature changes facilitate the movement of fish species between oceanic ecoregions, as well as across the Eastern Pacific Barrier. Here, we present five new fish records for the Galapagos Marine Reserve based on underwater imagery. These include two rays (Mobula thurstoni and Myliobatis longirostris) and three bony fishes (Lobotes pacifica, Lutjanus colorado and Sphyraena stellata). Of these, the first species is proposed as potentially resident to the Galapagos, and the latter four as vagrant species in the Galapagos until further sightings can conclusively determine their status. The effects of ENSO, the use of underwater video technology, and the importance of up-to-date and accurate species listings to understand the impact of the climate crisis are discussed.</t>
  </si>
  <si>
    <t>[Mossbrucker, Magdalena E.; Acuna-Marrero, David; Cundy, Megan E.; Fierro-Arcos, Denisse; Rastoin-Laplaine, Etienne; Salinas-de-Leon, Pelayo] Charles Darwin Fdn, Charles Darwin Res Stn, Ave Charles Darwin S-N, Puerto Ayora, Galapagos, Ecuador; [Fierro-Arcos, Denisse] Univ Tasmania, Inst Marine &amp; Antarctic Studies, Hobart, Australia; [Suarez-Moncada, Jenifer M.] Galapagos Natl Pk Directorate, Ave Charles Darwin S-N, Puerto Ayora, Galapagos, Ecuador; [Rastoin-Laplaine, Etienne] Curtin Univ, Sch Mol andLife Sci, Bentley, WA 6102, Australia; [Salinas-de-Leon, Pelayo] Nova Southeastern Univ, Save Our Seas Fdn Shark Res Ctr, 8000 North Ocean Dr, Dania, FL 33004 USA; [Salinas-de-Leon, Pelayo] Nova Southeastern Univ, Guy Harvey Res Inst, 8000 North Ocean Dr, Dania, FL 33004 USA</t>
  </si>
  <si>
    <t>University of Tasmania; Curtin University; Nova Southeastern University; Nova Southeastern University</t>
  </si>
  <si>
    <t>Mossbrucker, ME (corresponding author), Charles Darwin Fdn, Charles Darwin Res Stn, Ave Charles Darwin S-N, Puerto Ayora, Galapagos, Ecuador.</t>
  </si>
  <si>
    <t>me.mossbrucker@hotmail.com</t>
  </si>
  <si>
    <t>Salinas-de-Leon, Pelayo/0000-0001-9155-8373; Fierro Arcos, Denisse/0000-0002-5039-6272; Mossbrucker, Magdalena/0000-0002-5250-8901</t>
  </si>
  <si>
    <t>Save Our Seas Foundation; Lindblad-National Geographic Fund; Helmsley Charitable Trust; Gordon and Betty Moore Foundation; Mark and Rachel Rohr Foundation; Darwin and Wolf Conservation Fund</t>
  </si>
  <si>
    <t>Save Our Seas Foundation; Lindblad-National Geographic Fund; Helmsley Charitable Trust; Gordon and Betty Moore Foundation(Gordon and Betty Moore Foundation); Mark and Rachel Rohr Foundation; Darwin and Wolf Conservation Fund</t>
  </si>
  <si>
    <t>The Save Our Seas Foundation, the Lindblad-National Geographic Fund, the Helmsley Charitable Trust, the Gordon and Betty Moore Foundation, the Mark and Rachel Rohr Foundation and the Darwin and Wolf Conservation Fund provided funding for this study.</t>
  </si>
  <si>
    <t>0025-3154</t>
  </si>
  <si>
    <t>1469-7769</t>
  </si>
  <si>
    <t>J MAR BIOL ASSOC UK</t>
  </si>
  <si>
    <t>J. Mar. Biol. Assoc. U.K.</t>
  </si>
  <si>
    <t>e28</t>
  </si>
  <si>
    <t>10.1017/S0025315423000176</t>
  </si>
  <si>
    <t>C6EJ6</t>
  </si>
  <si>
    <t>WOS:000962823800001</t>
  </si>
  <si>
    <t>Yamamoto, N; Amakasu, K; Abe, K; Matsukura, R; Imaizumi, T; Matsuura, T; Murase, H</t>
  </si>
  <si>
    <t>Yamamoto, Natsuki; Amakasu, Kazuo; Abe, Koki; Matsukura, Ryuichi; Imaizumi, Tomohito; Matsuura, Tomohiko; Murase, Hiroto</t>
  </si>
  <si>
    <t>Volume backscattering spectra measurements of Antarctic krill using a broadband echosounder</t>
  </si>
  <si>
    <t>FISHERIES SCIENCE</t>
  </si>
  <si>
    <t>Orientation angles; Signal-to-noise ratio; Spectral shapes; Stochastic distorted-wave Born approximation; Target strength spectra</t>
  </si>
  <si>
    <t>TARGET STRENGTH MEASUREMENTS; EUPHAUSIA-SUPERBA; ACOUSTIC-SCATTERING; MIDWATER TRAWL; AUSTRAL SUMMER; SOUND; MODEL; ZOOPLANKTON; FREQUENCY; ABUNDANCE</t>
  </si>
  <si>
    <t>For the acoustic inference of lengths and orientation angles of Antarctic krill (krill), reliable theoretical acoustic scattering models and parameters are necessary. To measure the volume backscattering (SV) spectra, and to clarify if the spectral shapes of target strength (TS) predicted by the stochastic distorted-wave Born approximation-based deformed cylinder model (SDWBA-DCM) are in agreement with those of the measured SV, we conducted simultaneous sampling with a broadband echosounder and a rectangular midwater trawl targeting 9 aggregations in the eastern Indian sector of the Antarctic in the 2018/19 austral summer. The SV spectra were measured at 50-85 kHz and 95-255 kHz. Using the SDWBA-DCM and the length frequency distribution obtained from the trawl samples, the length-averaged TS spectra were predicted. Both spectra were normalized by SV and TS values at 120 kHz, respectively, and the relative frequency responses were compared. The spectral shapes were in reasonable agreement in the case of the aggregations dominated by krill smaller than 35 mm. On the other hand, in the case of the krill larger than 35 mm, the spectral shapes were not in agreement. The possible causes of the discrepancy included the orientation angle distribution and the shape of krill.</t>
  </si>
  <si>
    <t>[Yamamoto, Natsuki; Amakasu, Kazuo; Murase, Hiroto] Tokyo Univ Marine Sci &amp; Technol, 4-5-7 Konan,Minato Ku, Tokyo 1088477, Japan; [Abe, Koki] Japan Fisheries Res &amp; Educ Agcy, Fisheries Resources Res Inst, 2-12-4 Fukuura,Kanazawa Ku, Yokohama, Kanagawa 2368648, Japan; [Matsukura, Ryuichi] Japan Fisheries Res &amp; Educ Agcy, Fisheries Resources Res Inst, 1-5939-22 Suido Cho,Chuou Ku, Niigata, Niigata 9518121, Japan; [Imaizumi, Tomohito; Matsuura, Tomohiko] Japan Fisheries Res &amp; Educ Agcy, Fisheries Technol Inst, 7620-7 Hasaki, Kamisu, Ibaraki 3140408, Japan</t>
  </si>
  <si>
    <t>Tokyo University of Marine Science &amp; Technology; Japan Fisheries Research &amp; Education Agency (FRA); Japan Fisheries Research &amp; Education Agency (FRA); Japan Fisheries Research &amp; Education Agency (FRA)</t>
  </si>
  <si>
    <t>Amakasu, K (corresponding author), Tokyo Univ Marine Sci &amp; Technol, 4-5-7 Konan,Minato Ku, Tokyo 1088477, Japan.</t>
  </si>
  <si>
    <t>tumst.n.yamamoto@gmail.com; amakasu@kaiyodai.ac.jp</t>
  </si>
  <si>
    <t>ABE, Koki/IXN-1647-2023; AMAKASU, Kazuo/O-1857-2014</t>
  </si>
  <si>
    <t>Institute of Cetacean Research; Japan Fisheries Research and Education Agency; Fisheries Agency of Japan</t>
  </si>
  <si>
    <t>We are deeply grateful to the officers, crew, and researchers onboard the R/V Kaiyo-Maru for their assistance with the sampling. The survey was supported by the Institute of Cetacean Research, the Japan Fisheries Research and Education Agency, and the Fisheries Agency of Japan.</t>
  </si>
  <si>
    <t>SPRINGER JAPAN KK</t>
  </si>
  <si>
    <t>SHIROYAMA TRUST TOWER 5F, 4-3-1 TORANOMON, MINATO-KU, TOKYO, 105-6005, JAPAN</t>
  </si>
  <si>
    <t>0919-9268</t>
  </si>
  <si>
    <t>1444-2906</t>
  </si>
  <si>
    <t>FISHERIES SCI</t>
  </si>
  <si>
    <t>Fish. Sci.</t>
  </si>
  <si>
    <t>10.1007/s12562-023-01678-6</t>
  </si>
  <si>
    <t>E6JP2</t>
  </si>
  <si>
    <t>WOS:000964385300001</t>
  </si>
  <si>
    <t>Bailey, ST; Jones, CS; Abernathey, RP; Gordon, AL; Yuan, XJ</t>
  </si>
  <si>
    <t>Bailey, Shanice T. T.; Jones, C. Spencer; Abernathey, Ryan P. P.; Gordon, Arnold L. L.; Yuan, Xiaojun</t>
  </si>
  <si>
    <t>Water mass transformation variability in the Weddell Sea in ocean reanalyses</t>
  </si>
  <si>
    <t>OCEAN SCIENCE</t>
  </si>
  <si>
    <t>ANTARCTIC BOTTOM WATER; SOUTHERN-OCEAN; OVERTURNING CIRCULATION; GLOBAL HEAT; LEVEL RISE; DEEP; EXPORT; STATE; ICE; TEMPERATURE</t>
  </si>
  <si>
    <t>This study investigates the variability of water mass transformation (WMT) within the Weddell Gyre (WG). The WG serves as a pivotal site for the Meridional Overturning Circulation (MOC) and ocean ventilation because it is the primary origin of the largest volume of water mass in the global ocean: Antarctic Bottom Water (AABW). Recent mooring data suggest substantial seasonal and interannual variability of AABW properties exiting the WG, and studies have linked the variability to the large-scale climate forcings affecting wind stress in the WG region. However, the specific thermodynamic mechanisms that link variability in surface forcings to variability in water mass transformations and AABW export remain unclear. This study explores how current state-of-the-art data-assimilating ocean reanalyses can help fill the gaps in our understanding of the thermodynamic drivers of AABW variability in the WG via WMT volume budgets derived from Walin's classic WMT framework. The three ocean reanalyses used are the following: Estimating the Circulation and Climate of the Ocean state estimate (ECCOv4), Southern Ocean State Estimate (SOSE) and Simple Ocean Data Assimilation (SODA). From the model outputs, we diagnose a closed form of the water mass budget for AABW that explicitly accounts for transport across the WG boundary, surface forcing, interior mixing and numerical mixing. We examine the annual mean climatology of the WMT budget terms, the seasonal climatology and finally the interannual variability. Our finding suggests that the relatively coarse resolution of these models did not realistically capture AABW formation, export and variability. In ECCO and SOSE, we see strong interannual variability in AABW volume budget. In SOSE, we find an accelerating loss of AABW during 2005-2010, driven largely by interior mixing and changes in surface salt fluxes. ECCO shows a similar trend during a 4-year time period starting in late 2007 but also reveals such trends to be part of interannual variability over a much longer time period. Overall, ECCO provides the most useful time series for understanding the processes and mechanisms that drive WMT and export variability in the WG. SODA, in contrast, displays unphysically large variability in AABW volume, which we attribute to its data assimilation scheme. We also examine correlations between the WMT budgets and large-scale climate indices, including El Nino-Southern Oscillation (ENSO) and Southern Annular Mode (SAM), and find no strong relationships.</t>
  </si>
  <si>
    <t>[Bailey, Shanice T. T.; Abernathey, Ryan P. P.; Gordon, Arnold L. L.] Columbia Univ, Lamont Doherty Earth Observ, Dept Earth &amp; Environm Sci, Room 106,Geosci Bldg,POB 1000, Palisades, NY 10964 USA; [Jones, C. Spencer] Texas A&amp;M Univ, Dept Oceanog, Eller O&amp;M Bldg, College Stn, TX 77843 USA; [Yuan, Xiaojun] Lamont Doherty Earth Observ, POB 1000,61 Route 9W, Palisades, NY 10964 USA</t>
  </si>
  <si>
    <t>Columbia University; Texas A&amp;M University System; Texas A&amp;M University College Station; Columbia University</t>
  </si>
  <si>
    <t>Bailey, ST (corresponding author), Columbia Univ, Lamont Doherty Earth Observ, Dept Earth &amp; Environm Sci, Room 106,Geosci Bldg,POB 1000, Palisades, NY 10964 USA.</t>
  </si>
  <si>
    <t>stb2145@columbia.edu</t>
  </si>
  <si>
    <t>Yuan, Xiaojun/AAI-7770-2020; Gordon, Arnold L./H-1049-2011</t>
  </si>
  <si>
    <t>Abernathey, Ryan/0000-0001-5999-4917; Yuan, Xiaojun/0000-0002-6530-1619; Gordon, Arnold L./0000-0001-6480-6095; Bailey, Shanice/0000-0002-8176-9465</t>
  </si>
  <si>
    <t>National Science Foundation [OCE 1553593]</t>
  </si>
  <si>
    <t>National Science Foundation(National Science Foundation (NSF))</t>
  </si>
  <si>
    <t>This research has been supported by the National Science Foundation (grant no. OCE 1553593)</t>
  </si>
  <si>
    <t>1812-0784</t>
  </si>
  <si>
    <t>1812-0792</t>
  </si>
  <si>
    <t>OCEAN SCI</t>
  </si>
  <si>
    <t>Ocean Sci.</t>
  </si>
  <si>
    <t>10.5194/os-19-381-2023</t>
  </si>
  <si>
    <t>Meteorology &amp; Atmospheric Sciences; Oceanography</t>
  </si>
  <si>
    <t>C8HP9</t>
  </si>
  <si>
    <t>WOS:000964267600001</t>
  </si>
  <si>
    <t>Wolovick, M; Moore, J; Keefer, B</t>
  </si>
  <si>
    <t>Wolovick, Michael; Moore, John; Keefer, Bowie</t>
  </si>
  <si>
    <t>The potential for stabilizing Amundsen Sea glaciers via underwater curtains</t>
  </si>
  <si>
    <t>PNAS NEXUS</t>
  </si>
  <si>
    <t>ANTARCTIC ICE-SHEET; PINE ISLAND; LEVEL RISE; THWAITES; RETREAT; OCEAN; SHELF; WATER; FLOW</t>
  </si>
  <si>
    <t>Rapid sea level rise due to an ice sheet collapse has the potential to be extremely damaging the coastal communities and infrastructure. Blocking deep warm water with thin flexible buoyant underwater curtains may reduce melting of buttressing ice shelves and thereby slow the rate of sea level rise. Here, we use new multibeam bathymetric datasets, combined with a cost-benefit model, to evaluate potential curtain routes in the Amundsen Sea. We organize potential curtain routes along a difficulty ladder representing an implementation pathway that might be followed as technological capabilities improve. The first curtain blocks a single narrow (5 km) submarine choke point that represents the primary warm water inflow route towards western Thwaites Glacier, the most vulnerable part of the most vulnerable glacier in Antarctica. Later curtains cross larger and deeper swaths of seabed, thus increasing their cost, while also protecting more of the ice sheet, increasing their benefit. In our simple cost-benefit analysis, all of the curtain routes achieve their peak value at target blocking depths between 500 and 550 m. The favorable cost-benefit ratios of these curtain routes, along with the trans-generational and societal equity of preserving the ice sheets near their present state, argue for increased research into buoyant curtains as a means of ice sheet preservation, including high-resolution fluid-structural and oceanographic modeling of deep water flow over and through the curtains, and coupled ice-ocean modeling of the dynamic response of the ice sheet.</t>
  </si>
  <si>
    <t>[Wolovick, Michael; Moore, John] Beijing Normal Univ, Coll Global Change &amp; Earth Syst Sci, 19 Xinjiekouwai St, Beijing 100875, Peoples R China; [Wolovick, Michael] Alfred Wegener Inst Helmholtz, Zent Polar &amp; Meeresforsch, Glaciol Sect, Bremerhaven, Germany; [Moore, John] Univ Lapland, Arctic Ctr, Pohjoisranta 4, Rovaniemi 96200, Finland; [Keefer, Bowie] Univ British Columbia, Adjunct Clean Energy Res Ctr, 2329 West Mall, Vancouver, BC V6T 1Z4, Canada</t>
  </si>
  <si>
    <t>Beijing Normal University; Helmholtz Association; Alfred Wegener Institute, Helmholtz Centre for Polar &amp; Marine Research; University of Lapland; University of British Columbia</t>
  </si>
  <si>
    <t>Moore, J (corresponding author), Beijing Normal Univ, Coll Global Change &amp; Earth Syst Sci, 19 Xinjiekouwai St, Beijing 100875, Peoples R China.;Moore, J (corresponding author), Univ Lapland, Arctic Ctr, Pohjoisranta 4, Rovaniemi 96200, Finland.</t>
  </si>
  <si>
    <t>john.moore.bnu@gmail.com</t>
  </si>
  <si>
    <t>Academy COLD consortium [322430]</t>
  </si>
  <si>
    <t>Academy COLD consortium</t>
  </si>
  <si>
    <t>Funding came from Academy COLD consortium grant 322430.</t>
  </si>
  <si>
    <t>2752-6542</t>
  </si>
  <si>
    <t>PNAS Nexus</t>
  </si>
  <si>
    <t>APR 3</t>
  </si>
  <si>
    <t>10.1093/pnasnexus/pgad103</t>
  </si>
  <si>
    <t>Multidisciplinary Sciences; Social Sciences, Interdisciplinary</t>
  </si>
  <si>
    <t>Science &amp; Technology - Other Topics; Social Sciences - Other Topics</t>
  </si>
  <si>
    <t>P8XD6</t>
  </si>
  <si>
    <t>WOS:001053440200006</t>
  </si>
  <si>
    <t>Spinelli, GR; Ronderos, MM; Ayala, MM; Diaz, F</t>
  </si>
  <si>
    <t>Spinelli, Gustavo R.; Ronderos, Maria M.; Ayala, Mahia M.; Diaz, Florentina</t>
  </si>
  <si>
    <t>Catalog of the biting midges of Argentina (Diptera: Ceratopogonidae)</t>
  </si>
  <si>
    <t>catalog; aquatic; biting fly; distribution; Museum; georeferences</t>
  </si>
  <si>
    <t>NEOTROPICAL SPECIES DIPTERA; PACHYHELEA-PACHYMERA WILLISTON; CULICOIDES LATREILLE DIPTERA; PATAGONIAN PREDACEOUS MIDGES; TRIBE SPHAEROMIINI DIPTERA; SUB-ANTARCTIC ARGENTINA; GENUS DASYHELEA KIEFFER; MACFIE DIPTERA; IMMATURE STAGES; FORCIPOMYIA FORCIPOMYIA</t>
  </si>
  <si>
    <t>Three hundred and fiftysix species of ceratopogonids in 35 genera are listed for Argentina, with most species in Forcipomyia Meigen (67 species) Culicoides Latreille (51 species), Stilobezzia Kieffer (40 species) and Dasyhelea Kieffer (37 species). For each listed species, the following information is included: sex and/or life stage described in the original description, type locality, type status and sex, depository of type material, distribution, georeferenced localities for Argentina (provinces are underlined) and main references that include the original description and those that specify locations in the country. Specific epithets of synonyms are accompanied by type locality, type status and sex, and location of type material. New localities from Argentina for 102 species are provided, and the following 16 species are newly recorded from the country: Forcipomyia (Caloforcipomyia) glauca Macfie, Forcipomyia (C.) hatoensis Utmar &amp; Wirth, F. (Euprojoannisia) bromeliae Saunders, F. (E.) quasiingrami Macfie, F. (Forcipomyia) zonogaster Ingram &amp; Macfie, F. (F.) catarinensis Marino &amp; Spinelli, F. (Lasiohelea) cornuta Saunders, F. (Metaforcipomyia) osaensis Spinelli, Marino &amp; Borkent, F. (Phytohelea) bromelicola (Lutz), F. (Trichohelea) goniognatha Wirth &amp; Messersmith, F. (T.) leptognatha Wirth &amp; Messersmith, Brachypogon (Brachypogon) woodruffi Spinelli &amp; Grogan, Physohelea turgidipes Ingram &amp; Macfie, Bezzia gibbera (Coquillett), Bezzia schmitzorum Dippolito &amp; Spinelli and Palpomyia versicolor Macfie. Leptoconops brasiliensis (Lutz) and Clastrieromyia dycei Spinelli &amp; Grogan are excluded from the Argentinean fauna.</t>
  </si>
  <si>
    <t>[Spinelli, Gustavo R.] Museo La Plata, Div Entomol, Paseo Bosque s-n, RA-1900 La Plata, Argentina; [Spinelli, Gustavo R.] Univ Nacl La Plata, Inst Limnol Dr Raul A Ringuelet, Consejo Nacl Invest Cient &amp; Tecn Argentina, Blvd 120 &amp; 62 s-n, RA-1900 La Plata, Buenos Aires, Argentina; [Ronderos, Maria M.; Ayala, Mahia M.; Diaz, Florentina] Univ Nacl La Plata, Ctr Estudios Parasitol &amp; Vectores, Consejo Nacl Invest Cient &amp; Tecn Argentina, Blvd 120 &amp; 62 s-n, RA-1900 La Plata, Buenos Aires, Argentina</t>
  </si>
  <si>
    <t>National University of La Plata; Museo La Plata; National University of La Plata; Consejo Nacional de Investigaciones Cientificas y Tecnicas (CONICET); National University of La Plata</t>
  </si>
  <si>
    <t>Spinelli, GR (corresponding author), Museo La Plata, Div Entomol, Paseo Bosque s-n, RA-1900 La Plata, Argentina.</t>
  </si>
  <si>
    <t>Ronderos, Maria/0000-0001-8322-1471; Ayala, Mahia/0000-0001-6334-2962; Diaz, Florentina/0000-0002-5991-6756</t>
  </si>
  <si>
    <t>10.11646/zootaxa.5261.1.1</t>
  </si>
  <si>
    <t>D7OU4</t>
  </si>
  <si>
    <t>WOS:000970592200001</t>
  </si>
  <si>
    <t>Tebbett, SB; Bennett, S; Bellwood, DR</t>
  </si>
  <si>
    <t>Tebbett, Sterling B.; Bennett, Scott; Bellwood, David R.</t>
  </si>
  <si>
    <t>A functional perspective on the meaning of the term 'herbivore': patterns versus processes in coral reef fishes</t>
  </si>
  <si>
    <t>CORAL REEFS</t>
  </si>
  <si>
    <t>Algal turf; Ecosystem function; Epilithic algal matrix; Macroalgae; Parrotfish; Surgeonfish</t>
  </si>
  <si>
    <t>GREAT-BARRIER-REEF; EPILITHIC ALGAL COMMUNITY; SPATIAL-PATTERNS; PHASE-SHIFTS; MACROALGAL HERBIVORY; NUTRITIONAL ECOLOGY; GRAZING INTENSITY; TROPHIC STATUS; MARINE; TURF</t>
  </si>
  <si>
    <t>Herbivorous fishes are a key functional group in coral reef ecosystems and have been the focus of a vast body of research. While substantial progress has been made in research, challenges persist, especially in respect to quantifying patterns versus processes. Despite this challenge being recognised over 40 years ago. To help clarify such challenges, and work towards solutions, in this perspective we explore how the definition of 'herbivorous reef fishes' precludes an easy translation between patterns of herbivore abundance and the process of herbivory. Indeed, if herbivorous fishes are defined as, a fish in which the diet is predominantly based on plant material, then this encompasses a diverse suite of fishes which all remove primary producers to varying extents and have markedly different impacts on reef functioning. Given this situation, we explore how our approaches to directly quantifying herbivory on reefs have progressed. We highlight how lessons learnt from macroalgal assays could be applied to the direct quantification of herbivory from algal turfs in the epilithic algal matrix (EAM); a community of primary producers that are invariably difficult to work with and quantify. Nevertheless, given the abundance of turfs on coral reefs, and their relative importance in herbivore dynamics, widespread process-based assessment of EAM herbivory represents an avenue for expanding future research. Recognising the difficulty of translating patterns in herbivore abundance to the process of herbivory, and an enhanced focus on EAM herbivory, will be necessary to comprehensively quantify the process of herbivory on Anthropocene coral reefs.</t>
  </si>
  <si>
    <t>[Tebbett, Sterling B.; Bellwood, David R.] James Cook Univ, Coll Sci &amp; Engn, Res Hub Coral Reef Ecosyst Funct, Townsville, Qld 4811, Australia; [Bennett, Scott] Univ Tasmania, Inst Marine &amp; Antarctic Studies, Hobart, Tas, Australia</t>
  </si>
  <si>
    <t>James Cook University; University of Tasmania</t>
  </si>
  <si>
    <t>Tebbett, SB (corresponding author), James Cook Univ, Coll Sci &amp; Engn, Res Hub Coral Reef Ecosyst Funct, Townsville, Qld 4811, Australia.</t>
  </si>
  <si>
    <t>sterling.tebbett@my.jcu.edu.au</t>
  </si>
  <si>
    <t>Tebbett, Sterling B./J-9420-2019; Bennett, Scott/A-8747-2016</t>
  </si>
  <si>
    <t>Tebbett, Sterling B./0000-0002-9372-7617; Bennett, Scott/0000-0003-2969-7430</t>
  </si>
  <si>
    <t>0722-4028</t>
  </si>
  <si>
    <t>1432-0975</t>
  </si>
  <si>
    <t>Coral Reefs</t>
  </si>
  <si>
    <t>2023 APR 3</t>
  </si>
  <si>
    <t>10.1007/s00338-023-02378-4</t>
  </si>
  <si>
    <t>C7PX6</t>
  </si>
  <si>
    <t>WOS:000963806000003</t>
  </si>
  <si>
    <t>Chen, YW; Zhu, GP</t>
  </si>
  <si>
    <t>Chen, Yuwen; Zhu, Guoping</t>
  </si>
  <si>
    <t>Using machine learning to alleviate the allometric effect in otolith shape-based species discrimination: the role of a triplet loss function</t>
  </si>
  <si>
    <t>allometric effect; antarctic; neural network; otolith shape; wavelet transform</t>
  </si>
  <si>
    <t>APTENODYTES-PATAGONICUS; MYCTOPHID FISHES; SAGITTAL OTOLITH; FEEDING ECOLOGY; IDENTIFICATION; GROWTH; DIET; CLASSIFICATION; DESCRIPTORS; REGRESSION</t>
  </si>
  <si>
    <t>Species identification by fish otoliths is an effective and appropriate approach. However, the allometric growth of otoliths can cause discrimination confusion, particularly in juvenile otolith classification. In the Southern Ocean, Chionodraco rastrospinosus,Krefftichthys anderssoni,Electrona carlsbergi, andPleuragramma antarcticum are frequently caught together in krill fishery as bycatch species. Furthermore, the otolith shape of these four species is relatively similar in juvenile fish, making the identification of fish species difficult. In this study, we tried and evaluated many commonly used machine learning techniques to solve this problem. Eventually, by introducing a triplet loss function (function used to reduce intraspecific variation and increase inter-specific variation), the discrimination confusion caused by the allometric growth of otoliths was reduced. The classification results show that the neural network model with the triplet loss function achieves the best classification accuracy of 96%. The proposed method can help improve otolith classification performance, especially under the context of limited sampling effort, which is of great importance for trophic ecology and the study of fish life history.</t>
  </si>
  <si>
    <t>[Chen, Yuwen; Zhu, Guoping] Shanghai Ocean Univ, Coll Marine Sci, Shanghai 201306, Peoples R China; [Chen, Yuwen; Zhu, Guoping] Shanghai Ocean Univ, Ctr Polar Res, Shanghai 201306, Peoples R China; [Zhu, Guoping] Minist Educ, Key Lab Sustainable Exploitat Ocean Fisheries Reso, Polar Marine Ecosyst Grp, Shanghai 201306, Peoples R China; [Zhu, Guoping] Natl Engn Res Ctr Ocean Fisheries, Shanghai 201306, Peoples R China</t>
  </si>
  <si>
    <t>Zhu, GP (corresponding author), Shanghai Ocean Univ, Coll Marine Sci, Shanghai 201306, Peoples R China.;Zhu, GP (corresponding author), Shanghai Ocean Univ, Ctr Polar Res, Shanghai 201306, Peoples R China.;Zhu, GP (corresponding author), Minist Educ, Key Lab Sustainable Exploitat Ocean Fisheries Reso, Polar Marine Ecosyst Grp, Shanghai 201306, Peoples R China.;Zhu, GP (corresponding author), Natl Engn Res Ctr Ocean Fisheries, Shanghai 201306, Peoples R China.</t>
  </si>
  <si>
    <t>ZHU, Guo-ping/D-1002-2010</t>
  </si>
  <si>
    <t>Promote scientific research co-operation and high-level talent training projects; Latin America of Chinese Scholarship Council [2021-109]; National Science Foundation of China [2018YFC1406801]; National Key R&amp;D Program of China [41776185]</t>
  </si>
  <si>
    <t>Promote scientific research co-operation and high-level talent training projects; Latin America of Chinese Scholarship Council; National Science Foundation of China(National Natural Science Foundation of China (NSFC)); National Key R&amp;D Program of China</t>
  </si>
  <si>
    <t>Funding was provided by the Promote scientific research co-operation and high-level talent training projects with Canada, Australia, New Zealand, and Latin America of Chinese Scholarship Council (grant number 2021-109 to GPZ), the National Science Foundation of China (grant no. 41776185 to GPZ), and the National Key R&amp;D Program of China (grant no. 2018YFC1406801 to GPZ).</t>
  </si>
  <si>
    <t>JUN 29</t>
  </si>
  <si>
    <t>10.1093/icesjms/fsad052</t>
  </si>
  <si>
    <t>K0EH2</t>
  </si>
  <si>
    <t>WOS:000962564400001</t>
  </si>
  <si>
    <t>Connor, AA; Webster, DR</t>
  </si>
  <si>
    <t>Connor, A. A.; Webster, D. R.</t>
  </si>
  <si>
    <t>Hydrodynamics of the fast-start caridoid escape response in Antarctic krill, Euphausia superba</t>
  </si>
  <si>
    <t>ANAEROBIC ENERGY-METABOLISM; TAIL-FLIP; VORTEX FORMATION; BEHAVIOR; CRUSTACEA; DYNAMICS; CRAYFISH; SHRIMP; SIZE; DISTURBANCES</t>
  </si>
  <si>
    <t>Krill are shrimp-like crustaceans with a high degree of mobility and variety of documented swimming behaviors. The caridoid escape response, a fast-start mechanism unique to crustaceans, occurs when the animal performs a series of rapid abdominal flexions and tail flipping that results in powerful backward strokes. The current results quantify the animal kinematics and three-dimensional flow field around a free-swimming Euphausia superba as it performs the caridoid escape maneuver. The specimen performs a single abdominal flexion-tail flip combination that leads to an acceleration over a 42 ms interval allowing it to reach a maximum speed of 57.0 cm/s (17.3 body lengths/s). The krill's tail flipping during the abdominal closure is a significant contributor to the thrust generation during the maneuver. The krill sheds a complex chain of vortex rings in its wake due to the viscous flow effects while the organism accelerates. The vortex ring structure reveals a strong suction flow in the wake, which suggests that the pressure distribution and form drag play a role in the force balance for this maneuver. Antarctic krill typically swim in a low to intermediate Reynolds number (Re) regime where viscous forces are significant, but as shown by this analysis, its high maneuverability allows it to quickly change its body angle and swimming speed.</t>
  </si>
  <si>
    <t>[Connor, A. A.; Webster, D. R.] Georgia Inst Technol, Sch Civil &amp; Environm Engn, Atlanta, GA 30332 USA; [Connor, A. A.] Georgia Inst Technol, George W Woodruff Sch Mech Engn, Atlanta, GA 30332 USA</t>
  </si>
  <si>
    <t>University System of Georgia; Georgia Institute of Technology; University System of Georgia; Georgia Institute of Technology</t>
  </si>
  <si>
    <t>Webster, DR (corresponding author), Georgia Inst Technol, Sch Civil &amp; Environm Engn, Atlanta, GA 30332 USA.</t>
  </si>
  <si>
    <t>dwebster@ce.gatech.edu</t>
  </si>
  <si>
    <t>Webster, Donald/0000-0002-3397-9222</t>
  </si>
  <si>
    <t>National Science Foundation [CTS-1706007]; Department of Defense SMART Fellowship</t>
  </si>
  <si>
    <t>National Science Foundation(National Science Foundation (NSF)); Department of Defense SMART Fellowship(United States Department of Defense)</t>
  </si>
  <si>
    <t>AcknowledgementsFunding was provided by National Science Foundation grant CTS-1706007 and a Department of Defense SMART Fellowship. Special thanks to Deepak Adhikari for collecting the raw images at Palmer Station, Antarctica. Thanks also to Devesh Ranjan for helpful advice during the project.</t>
  </si>
  <si>
    <t>APR 2</t>
  </si>
  <si>
    <t>10.1038/s41598-023-31676-8</t>
  </si>
  <si>
    <t>C5OM5</t>
  </si>
  <si>
    <t>WOS:000962406600003</t>
  </si>
  <si>
    <t>Xu, M; Wan, XY; Zhang, XY; Yu, HT</t>
  </si>
  <si>
    <t>Xu, Ming; Wan, Xiaoyun; Zhang, Xiangyu; Yu, Hangtao</t>
  </si>
  <si>
    <t>Difference analysis of ice sheet mass balance retrieved from various Gravity Recovery and Climate Experiment time-variable gravity field models: a case study in Antarctica and Greenland</t>
  </si>
  <si>
    <t>JOURNAL OF APPLIED REMOTE SENSING</t>
  </si>
  <si>
    <t>Gravity Recovery and Climate Experiment; monthly time-variable model; difference analysis; Antarctica; Greenland</t>
  </si>
  <si>
    <t>GRACE; DECADES</t>
  </si>
  <si>
    <t>To analyze the differences in the inversion of Gravity Recovery and Climate Experiment (GRACE) time-variable gravity field models, our study compares the results of ice sheet mass changes from six versions of GRACE monthly gravity field solutions, including the Center for Space Research (CSR) RL06, Jet Propulsion Laboratory (JPL) RL06, German Research Centre for Geoscience (GFZ) RL06, WHU-GPD01s, Tongji-Grace 2018, and HUST-Grace 2020 models, in Antarctica and Greenland. We analyzed the differences of ice sheet mass predicted rates in the temporal, spatial, and spectral domains. In the temporal domain, these differences have a systematic bias among various models and increase over time, especially after 2011. In the spatial domain, the Antarctic ice sheet mass loss rate of WHU-GPD01s is the most consistent with CSR, and the results of GFZ are significantly different than other models (&amp; SIM;15 Gt / year). The Greenland ice sheet mass loss rates of various models are consistent. In the spectral domain, the JPL and CSR models are in great accordance. The differences between the CSR model and the HUST-Grace2020, WHU-GPD01s, and Tongji-Grace2018 models are mainly distributed in the degrees of 20 to 30, 10 to 45, and 25 to 55, respectively. Moreover, the HUST-Grace2020 and CSR models have the smallest spatial discrepancy except for polar regions, and the strip errors for the trend rate of the global equivalent water height are small, which is suitable for research in the mid and low latitudes.</t>
  </si>
  <si>
    <t>[Xu, Ming; Zhang, Xiangyu; Yu, Hangtao] China Geol Survey, Minist Nat Resources, Key Lab Marine Mineral Resources, Guangzhou Marine Geol Survey, Guangzhou, Peoples R China; [Xu, Ming] Natl Engn Res Ctr Gas Hydrate Explorat &amp; Dev, Guangzhou, Peoples R China; [Wan, Xiaoyun] China Univ Geosci Beijing, Sch Land Sci &amp; Technol, Beijing, Peoples R China</t>
  </si>
  <si>
    <t>Ministry of Natural Resources of the People's Republic of China; China Geological Survey; Guangzhou Marine Geological Survey; China University of Geosciences</t>
  </si>
  <si>
    <t>Wan, XY (corresponding author), China Univ Geosci Beijing, Sch Land Sci &amp; Technol, Beijing, Peoples R China.</t>
  </si>
  <si>
    <t>xum1227@foxmail.com; wanxy@cugb.edu.cn; zhang5821421@163.com; 1277150132@qq.com</t>
  </si>
  <si>
    <t>Wan, Xiaoyun/HDM-4960-2022</t>
  </si>
  <si>
    <t>Yu, Hangtao/0000-0003-3216-6614</t>
  </si>
  <si>
    <t>Fundamental Research Funds for the Central Universities [2-9-2022-701]; China Geological Survey [DD20230649]</t>
  </si>
  <si>
    <t>Fundamental Research Funds for the Central Universities(Fundamental Research Funds for the Central Universities); China Geological Survey(China Geological Survey)</t>
  </si>
  <si>
    <t>We would like to thank the CSR, GFZ, and JPL processing centers, Huazhong University of Science and Technology, Tongji University, and Wuhan University for providing the GRACE monthly solutions. The authors declare no conflicts of interest. This study was funded by the China Geological Survey (Grant No.~DD20230649) and the Fundamental Research Funds for the Central Universities (Grant No.~2-9-2022-701).</t>
  </si>
  <si>
    <t>SPIE-SOC PHOTO-OPTICAL INSTRUMENTATION ENGINEERS</t>
  </si>
  <si>
    <t>BELLINGHAM</t>
  </si>
  <si>
    <t>1000 20TH ST, PO BOX 10, BELLINGHAM, WA 98225 USA</t>
  </si>
  <si>
    <t>1931-3195</t>
  </si>
  <si>
    <t>J APPL REMOTE SENS</t>
  </si>
  <si>
    <t>J. Appl. Remote Sens.</t>
  </si>
  <si>
    <t>APR 1</t>
  </si>
  <si>
    <t>10.1117/1.JRS.17.028501</t>
  </si>
  <si>
    <t>Environmental Sciences; Remote Sensing; Imaging Science &amp; Photographic Technology</t>
  </si>
  <si>
    <t>Environmental Sciences &amp; Ecology; Remote Sensing; Imaging Science &amp; Photographic Technology</t>
  </si>
  <si>
    <t>R2LR1</t>
  </si>
  <si>
    <t>WOS:001062717600044</t>
  </si>
  <si>
    <t>Soler, R; Bustamante, G; Cruz-Alonso, V; Lenzner, B; Essl, F</t>
  </si>
  <si>
    <t>Soler, Rosina; Bustamante, Gimena; Cruz-Alonso, Veronica; Lenzner, Bernd; Essl, Franz</t>
  </si>
  <si>
    <t>Herbivores regulate native-alien plants dynamics in sub-Antarctic beech (Nothofagus antarctica) forests of Tierra del Fuego, Argentina</t>
  </si>
  <si>
    <t>APPLIED VEGETATION SCIENCE</t>
  </si>
  <si>
    <t>biological invasions; forest management; grazing; habitat invasibility; livestock; plant abundance; species richness</t>
  </si>
  <si>
    <t>GUANACOS LAMA-GUANICOE; NORTHERN PATAGONIA; CANOPY STRUCTURE; VASCULAR PLANTS; DIVERSITY; LIVESTOCK; REGENERATION; PUMILIO; CATTLE; DIET</t>
  </si>
  <si>
    <t>Questions: What is the role of native and domestic herbivores in native-alien vegetation changes in sub-Antarctic forests? Does herbivory suppression increase native while reducing alien species diversity?Location: Central-eastern Tierra del Fuego Island, Argentina.Methods: In four sites, we set up three different treatments: excluded grazing by livestock (cattle), by livestock and native (guanaco) herbivores, and grazed control plots in Nothofagus antarctica forests. We then monitored the dynamics of understorey native and alien plants (species richness, abundance) of dicots, monocots, and ferns over 6 years. Generalized Linear Mixed Models were used to determine the effects of herbivore exclusion and time on species richness and abundance. In addition, we calculated the abundance rate of change to quantify temporal dynamics.Results: Overall species richness did not change in the exclusion plots, but native and alien abundances were affected by herbivory and time since exclusion. The abundance of native monocots changed after herbivore exclusion, increasing its dominance significantly inside exclusion plots. However, the cessation of herbivory did not reduce alien species in general. Only alien dicots significantly declined in the livestock exclusion treatment. Further, we found that the two dominant alien grass species (Holcus lanatus and Poa pratensis) respond differently to grazing exclusion, and their response was modulated by forest basal area.Conclusions: Our results indicate that cattle and guanaco grazing had variable effects on native and alien plants, and that herbivore exclusion has a substantially positive effect on native grasses. However, the magnitude of temporal changes was more significant for vegetation richness and abundance than the effect of exclusion treatments. Herbivore exclusions can initiate a rapid recovery of compositional attributes of native vegetation in N. antarctica forests grazed by livestock.</t>
  </si>
  <si>
    <t>[Soler, Rosina; Bustamante, Gimena] Natl Sci &amp; Technol Res Council, Austral Ctr Sci Res CADIC, Houssay 200, RA-9410 Ushuaia, Tierra Del Fueg, Argentina; [Cruz-Alonso, Veronica] Harvard Univ, Grad Sch Design, 48 Quincy St, Cambridge, MA 02138 USA; [Lenzner, Bernd; Essl, Franz] Univ Vienna, Dept Bot &amp; Biodivers Res, BioInvas Global Change, Macroecol Grp, Rennweg 14, A-1030 Vienna, Austria; [Soler, Rosina] Consejo Nacl Ciencia &amp; Tecnol CONICET 10, Ctr Austral Invest Cient CADIC, Houssay 200, RA-9410 Ushuaia, Tierra Del Fueg, Argentina</t>
  </si>
  <si>
    <t>Harvard University; University of Vienna</t>
  </si>
  <si>
    <t>Soler, R (corresponding author), Consejo Nacl Ciencia &amp; Tecnol CONICET 10, Ctr Austral Invest Cient CADIC, Houssay 200, RA-9410 Ushuaia, Tierra Del Fueg, Argentina.</t>
  </si>
  <si>
    <t>rosina.soler@conicet.gov.ar</t>
  </si>
  <si>
    <t>Cruz, Veronica/AAA-9465-2021; Essl, Franz/ABE-7064-2020; Lenzner, Bernd/AAS-9140-2020</t>
  </si>
  <si>
    <t>Cruz, Veronica/0000-0002-0642-036X; Essl, Franz/0000-0001-8253-2112; Bustamante, Gimena/0000-0003-3541-3342; Lenzner, Bernd/0000-0002-2616-3479; Soler, Rosina/0000-0002-5799-1672</t>
  </si>
  <si>
    <t>Bundesministerium fuer Bildung, Wissenschaft und Forschung; Agencia Nacional de Promocion Cientifica y Tecnologica; Comision Nacional de Investigacion Cientifica y Tecnologica</t>
  </si>
  <si>
    <t>Bundesministerium fuer Bildung, Wissenschaft und Forschung(Federal Ministry of Education &amp; Research (BMBF)); Agencia Nacional de Promocion Cientifica y Tecnologica(ANPCyTSpanish Government); Comision Nacional de Investigacion Cientifica y Tecnologica</t>
  </si>
  <si>
    <t>Agencia Nacional de Promocion Cientifica y Tecnologica; Bundesministerium fuer Bildung, Wissenschaft und Forschung; Comision Nacional de Investigacion Cientifica y Tecnologica</t>
  </si>
  <si>
    <t>1402-2001</t>
  </si>
  <si>
    <t>1654-109X</t>
  </si>
  <si>
    <t>APPL VEG SCI</t>
  </si>
  <si>
    <t>Appl. Veg. Sci.</t>
  </si>
  <si>
    <t>e12721</t>
  </si>
  <si>
    <t>10.1111/avsc.12721</t>
  </si>
  <si>
    <t>Plant Sciences; Ecology; Forestry</t>
  </si>
  <si>
    <t>Plant Sciences; Environmental Sciences &amp; Ecology; Forestry</t>
  </si>
  <si>
    <t>D5KS0</t>
  </si>
  <si>
    <t>WOS:000969126500001</t>
  </si>
  <si>
    <t>Shen, W; Qiao, SQ; Sun, RT; He, ZT; Wu, B; Jin, LA; Chen, L; Yin, ZX; Ge, CD; Shi, XF; Sheng, J</t>
  </si>
  <si>
    <t>Shen, Wei; Qiao, Shuqing; Sun, Rongtao; He, Zhoutian; Wu, Bin; Jin, Lina; Chen, Liang; Yin, Zhengxin; Ge, Chendong; Shi, Xuefa; Sheng, Jie</t>
  </si>
  <si>
    <t>Distribution pattern of planktonic and benthic foraminifera in surface sediments near the equatorial western Indian Ocean and its indications of paleo-environment and productivity</t>
  </si>
  <si>
    <t>JOURNAL OF ASIAN EARTH SCIENCES</t>
  </si>
  <si>
    <t>Foraminifera; Indian Ocean; Productivity; Antarctic Bottom Water</t>
  </si>
  <si>
    <t>OXYGEN-MINIMUM ZONE; TOTAL ORGANIC-CARBON; ARABIAN SEA; BENTHONIC FORAMINIFERA; CIRCULATION CHANGES; CARLSBERG RIDGE; EVOLUTION; BENGAL; OLIGOCENE; MARGIN</t>
  </si>
  <si>
    <t>The numerous foraminifera in sediments near the equatorial western Indian Ocean act as historiographers that record abundant information about the marine environment. However, few studies have focused on the foraminiferal distribution in surface sediments within this area and the associated environmental and productivity implications. In this study, planktonic and benthic foraminifera were obtained from 28 surface sediments. The planktonic foraminifera were found to be mainly warm-water species; their distribution was mainly influenced by depth-controlled dissolution rate of carbonate, temperature, and salinity. Combined vertical distribution of foraminifera, fragment rate, resistant species rate, and Goborotalia menardii fragmentation index, the carbonate lysocline depth of the equatorial western Indian Ocean is similar to 3900 m. The benthic foraminifera were mostly oxygen-rich and oligotrophic species. Their distribution and organic carbon, the oxygen content, and the water mass related. Four assemblages were identified: Assemblage 1, Cibicidoides wuellerstorfi, Oridorsalis umbonatus [indicative of Antarctic Bottom Water (AABW)]; Assemblage 2, Pullenia bulloides, Oridorsalis umbonatus (indicative of an oxygen-rich environment with intermediate to low productivity); Assemblage 3, Epistominella exigua, Turrilina cf. brevispira (indicating a pulsed organic matter input and seasonal fluctuations in productivity); Assemblage 4, Globocassidulina subglobosa, Astrononion novozealandicum (suggestive of a low-productivity environment). The overall productivity is low near the equatorial western Indian Ocean. The foraminifera species, TOC, and biogenic barium data show that the western side of the Central Indian Ridge is relatively more productive than the eastern region. These results can be used as a basis for reconstructing the distribution of paleoAABW and productivity within the Indian Ocean.</t>
  </si>
  <si>
    <t>[Shen, Wei; Ge, Chendong] Nanjing Univ, Sch Geog &amp; Oceanog Sci, Minist Educ, Key Lab Coast &amp; Isl Dev, Nanjing 210023, Peoples R China; [Shen, Wei; Qiao, Shuqing; He, Zhoutian; Wu, Bin; Jin, Lina; Shi, Xuefa; Sheng, Jie] Minist Nat Resources, Inst Oceanog 1, Key Lab Marine Geol &amp; Metallogeny, Qingdao 266061, Peoples R China; [Qiao, Shuqing; He, Zhoutian; Wu, Bin; Jin, Lina; Shi, Xuefa; Sheng, Jie] Pilot Natl Lab Marine Sci &amp; Technol Qingdao, Lab Marine Geol, Qingdao 266061, Peoples R China; [Sun, Rongtao] Shandong Univ Technol, Sch Resources &amp; Environm Engn, Zibo 255000, Peoples R China; [Chen, Liang; Yin, Zhengxin] State Ocean Adm, South China Sea Marine Survey &amp; Technol Ctr, Guangzhou 510300, Peoples R China</t>
  </si>
  <si>
    <t>Nanjing University; First Institute of Oceanography, Ministry of Natural Resources; Ministry of Natural Resources of the People's Republic of China; Laoshan Laboratory; Shandong University of Technology</t>
  </si>
  <si>
    <t>Ge, CD (corresponding author), Nanjing Univ, Sch Geog &amp; Oceanog Sci, Minist Educ, Key Lab Coast &amp; Isl Dev, Nanjing 210023, Peoples R China.;Qiao, SQ (corresponding author), Minist Nat Resources, Inst Oceanog 1, Key Lab Marine Geol &amp; Metallogeny, Qingdao 266061, Peoples R China.;Qiao, SQ (corresponding author), Pilot Natl Lab Marine Sci &amp; Technol Qingdao, Lab Marine Geol, Qingdao 266061, Peoples R China.</t>
  </si>
  <si>
    <t>qiaoshuqing@fio.org.cn; gcd@nju.edu.cn</t>
  </si>
  <si>
    <t>National Programme on Global Change and Air-Sea Interaction [GASI-04-HYDZ-02, GASI-01-WINDCJ02]; Marine Ecological Classification and Regionalization Programme of MNR; Taishan Scholar Program of Shandong [tspd 20181216]</t>
  </si>
  <si>
    <t>National Programme on Global Change and Air-Sea Interaction; Marine Ecological Classification and Regionalization Programme of MNR; Taishan Scholar Program of Shandong</t>
  </si>
  <si>
    <t>This research was funded by the National Programme on Global Change and Air-Sea Interaction (GASI-04-HYDZ-02, GASI-01-WINDCJ02), Marine Ecological Classification and Regionalization Programme of MNR, and the Taishan Scholar Program of Shandong (tspd 20181216).</t>
  </si>
  <si>
    <t>1367-9120</t>
  </si>
  <si>
    <t>1878-5786</t>
  </si>
  <si>
    <t>J ASIAN EARTH SCI</t>
  </si>
  <si>
    <t>J. Asian Earth Sci.</t>
  </si>
  <si>
    <t>10.1016/j.jseaes.2023.105635</t>
  </si>
  <si>
    <t>Q9VK6</t>
  </si>
  <si>
    <t>WOS:001060919700001</t>
  </si>
  <si>
    <t>Cano-Sánchez, E; López-González, PJ</t>
  </si>
  <si>
    <t>Cano-Sanchez, Esperanza; Lopez-Gonzalez, Pablo J.</t>
  </si>
  <si>
    <t>New findings and two new species of the genus Colossendeis Jarzynsky, 1870 (Pycnogonida, Colossendeidae), with a morphometric analysis for species from the Southern Ocean</t>
  </si>
  <si>
    <t>MARINE BIODIVERSITY</t>
  </si>
  <si>
    <t>Antarctica; Pycnogonids; Sea spider; Sub-Antarctica; Taxonomy</t>
  </si>
  <si>
    <t>MEGALONYX HOEK; ARTHROPODA; ANTARCTICA</t>
  </si>
  <si>
    <t>In this paper, specimens belonging to the pycnogonid genus Colossendeis Jarzynsky, 1870 collected during the Antarctic Polarstern XXIII/8 cruise (November 23, 2006, to January 30, 2007) were studied. In this collection, the following thirteen species have been identified, two of them being proposed as new species: Colossendeis frigida Hodgson, 1907, C. megalonyx Hoek, 1881, C. wilsoni Calman, 1915, C. engirmatica Turpaeva, 1974, C. arundorostris Fry &amp; Hedgpeth, 1969, C. scotti Calman, 1915, C. lilliei Calman, 1915, C. drakei Calman, 1915, C. glacialis Hodgson, 1907, C. australis Hodgson, 1907, C. tortipalpis Gordon, 1932, C. pseudofrigida sp. nov., and C. bamberi sp. nov. All species are diagnosed and their taxonomic status discussed. C. frigida, C. engirmatica, and C. arundorostris extend their known depth range. C. arundorostris has been found for the first time outside the Ross Sea. The finding of C. engirmatica represents the first record after its original description. The new species are described, illustrated, and compared with their closest congeners. Finally, we carried out a cluster analysis (Bray-Curtis similarity index) based on a data-matrix of 49 Antarctic and Sub-Antarctic Colossendeis species and 26 morpho-logical characters.</t>
  </si>
  <si>
    <t>[Cano-Sanchez, Esperanza; Lopez-Gonzalez, Pablo J.] Univ Seville, Fac Biol, Dept Zool, Biodivers &amp; Ecol Acuat, Reina Mercedes 6, Seville 41012, Spain</t>
  </si>
  <si>
    <t>University of Sevilla</t>
  </si>
  <si>
    <t>Cano-Sánchez, E (corresponding author), Univ Seville, Fac Biol, Dept Zool, Biodivers &amp; Ecol Acuat, Reina Mercedes 6, Seville 41012, Spain.</t>
  </si>
  <si>
    <t>ecano@us.es</t>
  </si>
  <si>
    <t>Cano Sanchez, Esperanza/0000-0002-8097-1872; Lopez Gonzalez, Pablo Jose/0000-0002-7348-6270</t>
  </si>
  <si>
    <t>[ANT XIII/8-CLIMANT]</t>
  </si>
  <si>
    <t>AcknowledgementsThe authors would thank the officers and crew and many colleagues for their help on board during the Polarstern ANT XXIII/8 cruises. We take this opportunity to extend our thanks to the cruise leader and steering committee of the cruise, especially Julian Gutt and Enrique Isla (ANT XIII/8-CLIMANT), who kindly facilitated the work on board and allowed us to collaborate in this Antarctic programme. Mr. Tony Krupa is thanked for reviewing the English version. Finally, the authors thank the two anonymous reviewers and the editorial office of Marine Biodiversity for all the constructive comments and suggestions that helped to improve the quality of an early version of the manuscript.</t>
  </si>
  <si>
    <t>1867-1616</t>
  </si>
  <si>
    <t>1867-1624</t>
  </si>
  <si>
    <t>MAR BIODIVERS</t>
  </si>
  <si>
    <t>Mar. Biodivers.</t>
  </si>
  <si>
    <t>10.1007/s12526-022-01328-7</t>
  </si>
  <si>
    <t>Biodiversity Conservation; Marine &amp; Freshwater Biology</t>
  </si>
  <si>
    <t>Biodiversity &amp; Conservation; Marine &amp; Freshwater Biology</t>
  </si>
  <si>
    <t>K0PR1</t>
  </si>
  <si>
    <t>WOS:001013559000002</t>
  </si>
  <si>
    <t>Wang, JX; Shang, XQ; Ma, Q; Chen, C; Liu, Y; Li, CY</t>
  </si>
  <si>
    <t>Wang, Jixin; Shang, Xiuqi; Ma, Qiang; Chen, Chen; Liu, Yang; Li, Congyin</t>
  </si>
  <si>
    <t>Arc signatures in abyssal peridotites and its implications</t>
  </si>
  <si>
    <t>Mid-ocean ridges; Abyssal peridotites; Subduction signature; Ridge spreading rates</t>
  </si>
  <si>
    <t>MID-ATLANTIC RIDGE; TRACE-ELEMENT FRACTIONATION; BONE AMAGMATIC SEGMENT; MELT EXTRACTION; SERPENTINITES CONSTRAINTS; MANTLE LITHOSPHERE; RAINBOW MASSIF; BENEATH; CRUST; GEOCHEMISTRY</t>
  </si>
  <si>
    <t>Investigating mass exchanges between the subduction zones and mid-ocean ridges provides essential clues to understanding recycling process and mantle convection in the Earth's mantle. In this study, we found evidence of recycled subduction signals in the abyssal peridotites from mid-ocean ridges through their extremely low bulk (Dy/Yb)N and bulk Al2O3, which could not be explained by normal decompression melting at mid-ocean ridges, but required a hydrous melting history. We show here that abyssal peridotites from the fast-spreading Pacific Oceanic Ridges (East-Pacific Rise and Pacific-Antarctic Ridge), to the ultraslow-spreading Southwest Indian Ridge and to the slow-spreading Mid-Atlantic Ridge, require increasing amount of slab-derived fluid in their mantle sources. Therefore, the subduction influence on abyssal peridotites is independent of the spreading rates of the overlying ridges. Locations, such as the Fifteen-Twenty Fracture Zone, the Rainbow Massif from the MAR and the Hess Deep from EPR, have abyssal peridotites overlap well with forearc peridotites, suggesting that the prominent characteristics of arc mantle wedge could be preserved in abyssal peridotites when the traveling distance or time is short for the recycled arc mantle migrating in the mantle convection flow. The well-preserved subduction-related signature in ridge areas that are relatively proximal to modern subduction zones imply that mass exchanges between the subduction zones and mid-ocean ridges may be more efficient than previously thought.</t>
  </si>
  <si>
    <t>[Wang, Jixin; Shang, Xiuqi; Chen, Chen; Li, Congyin] Chinese Acad Sci, Inst Oceanol, Ctr Deep Sea Res, Qingdao 266071, Peoples R China; [Wang, Jixin; Shang, Xiuqi; Chen, Chen; Li, Congyin] Laoshan Lab, Lab Marine Mineral Resources, Qingdao 266237, Peoples R China; [Shang, Xiuqi] Univ Chinese Acad Sci, Beijing 100049, Peoples R China; [Ma, Qiang; Liu, Yang] Tongji Univ, State Key Lab Marine Geol, Shanghai 200092, Peoples R China</t>
  </si>
  <si>
    <t>Chinese Academy of Sciences; Institute of Oceanology, CAS; Laoshan Laboratory; Chinese Academy of Sciences; University of Chinese Academy of Sciences, CAS; Tongji University</t>
  </si>
  <si>
    <t>Li, CY (corresponding author), Chinese Acad Sci, Inst Oceanol, Ctr Deep Sea Res, Qingdao 266071, Peoples R China.</t>
  </si>
  <si>
    <t>licongying@qdio.ac.cn</t>
  </si>
  <si>
    <t>National Natural Science Foundation of China (NSFC); Shandong Provincial Natural Science Foundation [XDA22050103]; Youth Innovation Promotion Association of Chinese Academy of Sciences [42006051]; Chinese Academy of Sciences [41627803]; [ZR2020QD075]; [2020212]; [XDB42020303]</t>
  </si>
  <si>
    <t>National Natural Science Foundation of China (NSFC)(National Natural Science Foundation of China (NSFC)); Shandong Provincial Natural Science Foundation(Natural Science Foundation of Shandong Province); Youth Innovation Promotion Association of Chinese Academy of Sciences; Chinese Academy of Sciences(Chinese Academy of Sciences); ; ;</t>
  </si>
  <si>
    <t>We thank Jianghong Deng, Renqiang Liao, Lipeng Zhang, Xin Jin for providing thoughtful thinking in data selection and interpreations. We thank Vincent J. M. Salters for language editing. This work was sup-ported by the National Natural Science Foundation of China (NSFC 42006051, to J.-X.W.) , the Shandong Provincial Natural Science Foundation (ZR2020QD075, to J.-X.W.) , the National Natural Science Foundation of China (NSFC 41627803, to C.-Y.L.) , The Youth Innovation Promotion Association of Chinese Academy of Sciences (Grant No. 2020212, to C.-Y.L.) , and the Strategic Priority Research Program of the Chinese Academy of Sciences (XDA22050103) , the Strategic Priority Research Program (B) of the Chinese Academy of Sciences (XDB42020303) .</t>
  </si>
  <si>
    <t>10.1016/j.dsr.2023.104027</t>
  </si>
  <si>
    <t>Q1NG6</t>
  </si>
  <si>
    <t>WOS:001055249400001</t>
  </si>
  <si>
    <t>Wells, MR; Philips, A; Lea, MA; Carver, S</t>
  </si>
  <si>
    <t>Wells, Melanie R.; Philips, Annie; Lea, Mary-Anne; Carver, Scott</t>
  </si>
  <si>
    <t>THE POTENTIAL OF ECOLOGISTS TO ENHANCE OUR UNDERSTANDING OF SEABIRD HEALTH</t>
  </si>
  <si>
    <t>MARINE ORNITHOLOGY</t>
  </si>
  <si>
    <t>passive; active; surveillance; One Health; auxiliary sample</t>
  </si>
  <si>
    <t>PENGUINS EUDYPTULA-MINOR; BODY CONDITION; ORGANIC POLLUTANTS; INFECTIOUS-DISEASES; ANTARCTIC SEABIRDS; FORAGING BEHAVIOR; TRACE-ELEMENTS; MARION ISLAND; BABESIA SP; WILDLIFE</t>
  </si>
  <si>
    <t>Ecologists play a pivotal role in the detection and investigation of population changes in seabirds and by doing so have significant potential to contribute to enhancing knowledge of seabird health. This review highlights key examples in the literature where ecologists have employed diligent passive health surveillance and/or undertaken targeted investigations of seabirds, strategies that have augmented our knowledge of seabird health at individual and population levels. Within the context of One Health, an integrated approach to perceiving and managing health, this review amalgamates veterinarian and ecology disciplines by summarising auxiliary metrics of clinical health that may be considered for incorporation into ongoing fieldwork. A focus on effective surveillance will advance understanding of disease processes impacting seabird health.</t>
  </si>
  <si>
    <t>[Wells, Melanie R.; Carver, Scott] Univ Tasmania, Sch Nat Sci, Dept Biol Sci, Private Bag 79, Hobart, Tas 7001, Australia; [Philips, Annie] Dept Nat Resources &amp; Environm Tasmania, Wildlife Hlth &amp; Marine Sect, 134 Macquarie St, Hobart, Tas 7000, Australia; [Lea, Mary-Anne] Inst Marine &amp; Antarctic Studies, 20 Castray Esplanade, Battery Point, Tas 7004, Australia</t>
  </si>
  <si>
    <t>Wells, MR (corresponding author), Univ Tasmania, Sch Nat Sci, Dept Biol Sci, Private Bag 79, Hobart, Tas 7001, Australia.</t>
  </si>
  <si>
    <t>mel.wells@utas.edu.au</t>
  </si>
  <si>
    <t>Lea, Mary-Anne/E-9054-2013</t>
  </si>
  <si>
    <t>PACIFIC SEABIRD GROUP</t>
  </si>
  <si>
    <t>Olympia</t>
  </si>
  <si>
    <t>c/o PSG Treasurer Pam Michael, PO Box 1292, Olympia, WA, UNITED STATES</t>
  </si>
  <si>
    <t>1018-3337</t>
  </si>
  <si>
    <t>2074-1235</t>
  </si>
  <si>
    <t>MAR ORNITHOL</t>
  </si>
  <si>
    <t>Mar. Ornithol.</t>
  </si>
  <si>
    <t>Marine &amp; Freshwater Biology; Ornithology</t>
  </si>
  <si>
    <t>Marine &amp; Freshwater Biology; Zoology</t>
  </si>
  <si>
    <t>I0QM7</t>
  </si>
  <si>
    <t>WOS:000999908700002</t>
  </si>
  <si>
    <t>Silvestro, AM; Casaux, R</t>
  </si>
  <si>
    <t>Silvestro, A. M.; Casaux, R.</t>
  </si>
  <si>
    <t>DIET COMPOSITION OF ADELIE PENGUINS PYGOSCELIS ADELIAE AT HOPE/ESPERANZA BAY DURING 2014-2019</t>
  </si>
  <si>
    <t>diet composition; Pygoscelis adeliae; Antarctic Peninsula; breeding periods; diet during chick rearing</t>
  </si>
  <si>
    <t>GEORGE ISLAND; KRILL; PREY; STRATEGIES; ANTARCTICA; CLIMATE; PERIOD; FISH</t>
  </si>
  <si>
    <t>In this study, we obtained samples through stomach lavage to determine the diet of Adelie Penguins Pygoscelis adeliae during the guard and creche periods at Hope/Esperanza Bay, Antarctica, during four breeding seasons (2014-2019, except 2016). Antarctic krill was the dominant prey, contributing &gt; 99.6% of the diet by mass. The remainder of prey were fish, amphipods, and mollusks. Among fish, the nototheniid Pleuragramma antarcticum was the most frequent while the bathydraconid Parachaenichthys charcoti dominated by mass. Mollusks and fish increased their contribution during the creche period in accord with seasonal patterns elsewhere.</t>
  </si>
  <si>
    <t>[Silvestro, A. M.; Casaux, R.] UNPSJB, CONICET, Ctr Invest Esquel Montana &amp; Estepa Patagon, Roca 780, RA-9200 Esquel, Chubut, Argentina</t>
  </si>
  <si>
    <t>Consejo Nacional de Investigaciones Cientificas y Tecnicas (CONICET)</t>
  </si>
  <si>
    <t>Silvestro, AM (corresponding author), UNPSJB, CONICET, Ctr Invest Esquel Montana &amp; Estepa Patagon, Roca 780, RA-9200 Esquel, Chubut, Argentina.</t>
  </si>
  <si>
    <t>asilvestro@comahue-conicet.gob.ar</t>
  </si>
  <si>
    <t>WOS:000999908700018</t>
  </si>
  <si>
    <t>Morales-Ocaña, C; Bohoyo, F; Escutia, C; Marín-Lechado, C; Rey-Moral, C; Druet, M; Galindo-Zaldívar, J; Maestro, A</t>
  </si>
  <si>
    <t>Morales-Ocana, Cecilia; Bohoyo, Fernando; Escutia, Carlota; Marin-Lechado, Carlos; Rey-Moral, Carmen; Druet, Maria; Galindo-Zaldivar, Jesus; Maestro, Adolfo</t>
  </si>
  <si>
    <t>3D Geophysical and Geological Modeling of the South Orkney Microcontinent (Antarctica): Tectonic Implications for the Scotia Arc Development</t>
  </si>
  <si>
    <t>South Orkney Microcontinent; Scotia Arc; Antarctica; geophysical data</t>
  </si>
  <si>
    <t>MAGNETIC-ANOMALIES; POWELL BASIN; BATHYMETRIC COMPILATION; EVOLUTION; RECONSTRUCTIONS; MARGIN; RIDGE; INSIGHTS; GRAVITY; REGION</t>
  </si>
  <si>
    <t>The opening of the Scotia Arc resulted in the final breakup of the land bridge between South America and the Antarctic Peninsula. The South Orkney Microcontinent (SOM) constituted part of this former connection and it is now the largest continental block in the Southern Scotia Arc. We present the first 3D model of the SOM that, given its strategic position and characteristics, allows us to advance the knowledge of the tectonic processes involved in the development of the Scotia Arc. Due to the scarcity of reliable geological data, the initial approximation of the deep structure of the SOM was supported by the calculation of three main geological boundaries from geophysical data: the acoustic basement, the boundary of the magnetic anomaly source and the Moho depth. The 3D model was built, refined and validated by forward modeling and joint inversion of gravity and magnetic data. We have accurately defined the geometry of the sedimentary cover, determined the geometry of the intrusive igneous body causing the Pacific Margin Anomaly (PMA) and mapped the heterogeneity of the crustal thickness. These structural features show a clear relationship to each other and are consistent with an important E-W extension to the east of the SOM during early stages of the Scotia Arc formation, prior to the opening of the Powell Basin.</t>
  </si>
  <si>
    <t>[Morales-Ocana, Cecilia; Escutia, Carlota; Galindo-Zaldivar, Jesus] UGR, Inst Andaluz Ciencias Tierra IACT, CSIC, Granada, Spain; [Bohoyo, Fernando; Marin-Lechado, Carlos; Rey-Moral, Carmen; Druet, Maria; Maestro, Adolfo] CSIC, Inst Geol &amp; Minero Espana IGME, Madrid, Spain; [Galindo-Zaldivar, Jesus] Univ Granada, Fac Ciencias, Dept Geodinam, Granada, Spain</t>
  </si>
  <si>
    <t>University of Granada; Consejo Superior de Investigaciones Cientificas (CSIC); CSIC - Instituto Andaluz de Ciencias de la Tierra (IACT); Consejo Superior de Investigaciones Cientificas (CSIC); University of Granada</t>
  </si>
  <si>
    <t>Morales-Ocaña, C (corresponding author), UGR, Inst Andaluz Ciencias Tierra IACT, CSIC, Granada, Spain.</t>
  </si>
  <si>
    <t>cecilia.morales@csic.es</t>
  </si>
  <si>
    <t>Galindo-Zaldivar, Jesus/K-3640-2012; Bohoyo, Fernando/C-1062-2011; Escutia, Carlota/B-8614-2015</t>
  </si>
  <si>
    <t>Galindo-Zaldivar, Jesus/0000-0002-3493-2637; Bohoyo, Fernando/0000-0002-1044-8816; Druet, Maria/0000-0002-0534-0018; Escutia, Carlota/0000-0002-4932-8619; Marin-Lechado, Carlos/0000-0002-5467-1251; REY-MORAL, CARMEN/0000-0001-5124-2200; Morales-Ocana, Cecilia/0000-0002-0664-7839</t>
  </si>
  <si>
    <t>Spanish Ministry of Science, Innovation and Universities [PRE2018-084612, CTM2017-89711-C2-1P, CTM2017-89711-C2-2P]; European Union through FEDER funds</t>
  </si>
  <si>
    <t>Spanish Ministry of Science, Innovation and Universities(Spanish Government); European Union through FEDER funds(European Union (EU)Marie Curie Actions)</t>
  </si>
  <si>
    <t>We thank Dr. Graeme Eagles and another anonymous reviewer who helped improving the manuscript with their very constructive comments. We would like to thank also to Professor Jonathan Aitchison and Dr. Augusto Rapalini the for their editorial handling of the manuscript. This research was funded by the Spanish Ministry of Science, Innovation and Universities predoctoral Grant PRE2018-084612 linked to the coordinated project TASDRACC (CTM2017-89711-C2-1P and CTM2017-89711-C2-2P), cofounded by the European Union through FEDER funds. The WDMAM compilation of magnetic anomalies used in this work is available at: http://wdmam.org/. Free-air gravity data database can be found at: https://topex.ucsd.edu/. The seismicity data is available at the USGS earthquake catalog: https://earthquake.usgs.gov/. This research used data provided by the Scientific Committee on Antarctic Research (SCAR) Seismic Data Library System (SDLS) accessible on the website: http://sdls.ogs.trieste.it/. Finally, the GEBCO bathymetric data is provided at: https://download.gebco.net/.</t>
  </si>
  <si>
    <t>e2022TC007602</t>
  </si>
  <si>
    <t>10.1029/2022TC007602</t>
  </si>
  <si>
    <t>E1EJ5</t>
  </si>
  <si>
    <t>WOS:000973049500001</t>
  </si>
  <si>
    <t>Ma, RG; Jin, XB; Liu, CL</t>
  </si>
  <si>
    <t>Ma, Ruigang; Jin, Xiaobo; Liu, Chuanlian</t>
  </si>
  <si>
    <t>High-Resolution Coccolithophore Morphological Changes in Response to Orbital Forcings During the Early Oligocene</t>
  </si>
  <si>
    <t>GEOCHEMISTRY GEOPHYSICS GEOSYSTEMS</t>
  </si>
  <si>
    <t>coccolithophore; morphology; high-resolution; nutrient; Oligocene</t>
  </si>
  <si>
    <t>EMILIANIA-HUXLEYI; AGULHAS LEAKAGE; CALCAREOUS NANNOPLANKTON; MIDDLE EOCENE; CARBONATE CHEMISTRY; SIZE VARIATIONS; ATLANTIC-OCEAN; ARABIAN SEA; SITE 1263; DYNAMICS</t>
  </si>
  <si>
    <t>The global climate of the early Oligocene was characterized by initiated Antarctic glaciation and meridional overturning circulation, which then led to profound eutrophication in the upper ocean. Generating a high-resolution coccolith record helps to understand the responses of marine phytoplankton to the newly established environment. Using highly resolved (similar to 6 kyr time-resolution) marine sediment samples from Deep Sea Drilling Project Site 522 in the South Atlantic Ocean, we conducted a comprehensive morphological study on coccoliths from the genera Reticulofenestra, Dictyococcites, and Coccolithus, which dominated the study interval between similar to 33.1 and 32.8 Ma. Our results showed that the size variations of the three measured genera were significantly correlated (p &lt; 0.01) with each other, indicating homogeneous responses to the environmental changes. Moreover, spectrum analysis on integrated morphologic data of all measured coccoliths showed distinct obliquity (similar to 40-kyr) and precession (similar to 23-kyr and similar to 18-kyr) cycles. We suggest that these variations were mainly driven by temperate, short-term ecological fluctuations, which periodically altered the nutrient conditions in the common living habitats of the studied coccolithophores. We proposed two tentative explanations focusing on the obliquity signal. First, the cyclic variation could result from obliquity-modulated changes in ice volume and variations in ocean circulation intensity, which influenced nutrient export from deep waters to the upper ocean. Alternatively, the changes in coccolith size may indicate the strength of seasonality that influenced upper ocean mixing on the west coast of South Africa.</t>
  </si>
  <si>
    <t>[Ma, Ruigang; Jin, Xiaobo; Liu, Chuanlian] Tongji Univ, State Key Lab Marine Geol, Shanghai, Peoples R China</t>
  </si>
  <si>
    <t>Tongji University</t>
  </si>
  <si>
    <t>Liu, CL (corresponding author), Tongji Univ, State Key Lab Marine Geol, Shanghai, Peoples R China.</t>
  </si>
  <si>
    <t>liucl@tongji.edu.cn</t>
  </si>
  <si>
    <t>Jin, Xiaobo/0000-0002-8934-0348; Ma, Ruigang/0000-0002-0168-1376</t>
  </si>
  <si>
    <t>National Natural Science Foundation of China [41930536, 42188102, 42176060]</t>
  </si>
  <si>
    <t>Acknowledgments We would like to thank Drs. Marie-Pierre Aubry, Chen Li, and Xinquan Zhou for insightful discussions and constructive comments which have improved the present manuscript. Samples were provided by the International Ocean Discovery Program with the help of Dr. Marie-Pierre Aubry. This study was funded by the National Natural Science Foundation of China (41930536, 42188102, and 42176060). The constructive comments from the three anonymous reviewers significantly improved the present manuscript. We also thank the editors of the journal Geochemistry, Geophysics, Geosystems for their expeditious handling of our manuscript.</t>
  </si>
  <si>
    <t>1525-2027</t>
  </si>
  <si>
    <t>GEOCHEM GEOPHY GEOSY</t>
  </si>
  <si>
    <t>Geochem. Geophys. Geosyst.</t>
  </si>
  <si>
    <t>e2022GC010746</t>
  </si>
  <si>
    <t>10.1029/2022GC010746</t>
  </si>
  <si>
    <t>C3CD0</t>
  </si>
  <si>
    <t>WOS:000960727700001</t>
  </si>
  <si>
    <t>Armbrecht, L; Focardi, A; Lawler, KA; O'Brien, P; Leventer, A; Noble, TL; Opdyke, B; Duffy, M; Evangelinos, D; George, SC; Lieser, J; López-Quirós, A; Post, A; Ostrowski, M; Paulsen, I; Armand, L</t>
  </si>
  <si>
    <t>Armbrecht, Linda; Focardi, Amaranta; Lawler, Kelly-Anne; O'Brien, Phil; Leventer, Amy; Noble, Taryn L.; Opdyke, Bradley; Duffy, Meghan; Evangelinos, Dimitris; George, Simon C.; Lieser, Jan; Lopez-Quiros, Adrian; Post, Alix; Ostrowski, Martin; Paulsen, Ian; Armand, Leanne</t>
  </si>
  <si>
    <t>From the Surface Ocean to the Seafloor: Linking Modern and Paleo-Genetics at the Sabrina Coast, East Antarctica (IN2017_V01)</t>
  </si>
  <si>
    <t>JOURNAL OF GEOPHYSICAL RESEARCH-BIOGEOSCIENCES</t>
  </si>
  <si>
    <t>DNA; bacteria; eukaryotes; Antarctica; ocean; sediments</t>
  </si>
  <si>
    <t>SEDIMENTARY ANCIENT DNA; ENVIRONMENTAL DNA; MARINE; COMMUNITIES; ABUNDANCE; PLANKTON; SAMPLES; DIATOM</t>
  </si>
  <si>
    <t>With ongoing climate change, research into the biological changes occurring in particularly vulnerable ecosystems, such as Antarctica, is critical. The Totten Glacier region, Sabrina Coast, is currently experiencing some of the highest rates of thinning across all East Antarctica. An assessment of the microscopic organisms supporting the ecosystem of the marginal sea-ice zone over the continental rise is important, yet there is a lack of knowledge about the diversity and distribution of these organisms throughout the water column, and their occurrence and/or preservation in the underlying sediments. Here, we provide a taxonomic overview of the modern and ancient marine bacterial and eukaryotic communities of the Totten Glacier region, using a combination of 16S and 18S rRNA amplicon sequencing (modern DNA) and shotgun metagenomics (sedimentary ancient DNA, sedaDNA). Our data show considerable differences between eukaryote and bacterial signals in the water column versus the sediments. Proteobacteria and diatoms dominate the bacterial and eukaryote composition in the upper water column, while diatoms, dinoflagellates, and haptophytes notably decrease in relative abundance with increasing water depth. Little diatom sedaDNA is preserved in the sediments, which are instead dominated by Proteobacteria and Retaria. We compare the diatom microfossil and sedaDNA record and link the weak preservation of diatom sedaDNA to DNA degradation while sinking through the water column to the seafloor. This study provides the first assessment of DNA transfer from ocean waters to sediments and an overview of the microscopic communities occurring in the climatically important Totten Glacier region.</t>
  </si>
  <si>
    <t>[Armbrecht, Linda; Noble, Taryn L.; Lieser, Jan] Univ Tasmania, Inst Marine &amp; Antarctic Studies, Battery Point, Tas, Australia; [Focardi, Amaranta; Ostrowski, Martin] Univ Technol Sydney, Climate Change Cluster, Ultimo, NSW, Australia; [Lawler, Kelly-Anne; O'Brien, Phil; Opdyke, Bradley; Armand, Leanne] Australian Natl Univ, Res Sch Earth Sci, Acton, ACT, Australia; [Leventer, Amy] Colgate Univ, Dept Geol, Hamilton, NY USA; [Duffy, Meghan] Univ Otago, Dept Geol, Dunedin, New Zealand; [Evangelinos, Dimitris] Univ Barcelona, Dept Earth &amp; Ocean Dynam, Barcelona, Spain; [George, Simon C.; Paulsen, Ian] Macquarie Univ, Sch Nat Sci, Sydney, NSW, Australia; [Lopez-Quiros, Adrian] Univ Granada, Dept Stratig &amp; Paleontol, Granada, Spain; [Lopez-Quiros, Adrian] Aarhus Univ, iCLIMATE Ctr, Dept Geosci, Aarhus C, Denmark; [Post, Alix] Geosci Australia, Marine &amp; Antarctic Geosci, Symonston, ACT, Australia</t>
  </si>
  <si>
    <t>University of Tasmania; University of Technology Sydney; Australian National University; Colgate University; University of Otago; University of Barcelona; Macquarie University; University of Granada; Aarhus University; Geoscience Australia</t>
  </si>
  <si>
    <t>Armbrecht, L (corresponding author), Univ Tasmania, Inst Marine &amp; Antarctic Studies, Battery Point, Tas, Australia.</t>
  </si>
  <si>
    <t>linda.armbrecht@utas.edu.au</t>
  </si>
  <si>
    <t>George, Simon Christopher/G-7134-2015; Evagelinos, Dimitris/ISU-3607-2023; Focardi, Amaranta/HLP-8012-2023; Ostrowski, Martin/A-7118-2010; López Quirós, Adrián/K-6513-2017; Paulsen, Ian/K-3832-2012</t>
  </si>
  <si>
    <t>George, Simon Christopher/0000-0001-6534-3846; Focardi, Amaranta/0000-0002-0340-4225; Ostrowski, Martin/0000-0002-4357-3023; López Quirós, Adrián/0000-0002-7522-2834; Lawler, Kelly-Anne/0000-0002-8770-1365; Paulsen, Ian/0000-0001-9015-9418; Noble, Taryn/0000-0002-5708-751X; Opdyke, Bradley/0000-0003-0440-1613; O'Brien, Philip/0000-0003-3446-3292; Leventer, Amy/0000-0001-9401-0987</t>
  </si>
  <si>
    <t>Australian Government's Australian Antarctic Science Grant Programs [AAS 4419, DP170100557]; Australian Research Council [FL140100021]; ARC; Australian Research Training Program (RTP) scholarship; [AAS 4333]; [ARC DECRA DE210100929]; Australian Research Council [FL140100021] Funding Source: Australian Research Council</t>
  </si>
  <si>
    <t>Australian Government's Australian Antarctic Science Grant Programs; Australian Research Council(Australian Research Council); ARC(Australian Research Council); Australian Research Training Program (RTP) scholarship; ; ; Australian Research Council(Australian Research Council)</t>
  </si>
  <si>
    <t>We thank the Marine National Facility, the IN2017_-V01 scientific party led by the Chief Scientists L. K. Armand and P. O'Brien, MNF support staff, and ASP crew members led by Capt. M. Watson for their help and support onboard the RV Investigator. This project was supported through funding from the Australian Government's Australian Antarctic Science Grant Programs (AAS 4333 and AAS 4419) and the Australian Research Council's Discovery Projects funding scheme (DP170100557). We thank the team at the Australian Centre for Ancient DNA (ACAD), The University of Adelaide, especially Corinne Preuss and Steve Johnson for their technical help during the sedaDNA laboratory work. LA was funded by an Australian Research Council Discovery Early Career Researcher Award (ARC DECRA DE210100929). The modern molecular data analysis was supported by an ARC Grant awarded to IP (FL140100021). KAL is supported by an Australian Research Training Program (RTP) scholarship. We acknowledge the use of imagery from the NASA Worldview application (), part of the NASA Earth Observing System Data and Information System (EOSDIS). Open access publishing facilitated by University of Tasmania, as part of the Wiley - University of Tasmania agreement via the Council of Australian University Librarians.</t>
  </si>
  <si>
    <t>2169-8953</t>
  </si>
  <si>
    <t>2169-8961</t>
  </si>
  <si>
    <t>J GEOPHYS RES-BIOGEO</t>
  </si>
  <si>
    <t>J. Geophys. Res.-Biogeosci.</t>
  </si>
  <si>
    <t>e2022JG007252</t>
  </si>
  <si>
    <t>10.1029/2022JG007252</t>
  </si>
  <si>
    <t>D9CB6</t>
  </si>
  <si>
    <t>WOS:000971622600001</t>
  </si>
  <si>
    <t>Berg, S; Emmerson, L; Heim, C; Buchta, E; Fromm, T; Glaser, B; Hermichen, WD; Rethemeyer, J; Southwell, C; Wand, U; Zech, M; Melles, M</t>
  </si>
  <si>
    <t>Berg, S.; Emmerson, L.; Heim, C.; Buchta, E.; Fromm, T.; Glaser, B.; Hermichen, W. -d.; Rethemeyer, J.; Southwell, C.; Wand, U.; Zech, M.; Melles, M.</t>
  </si>
  <si>
    <t>Reconstructing the Paleo-Ecological Diet of Snow Petrels (Pagodroma nivea) From Modern Samples and Fossil Deposits: Implications for Southern Ocean Paleoenvironmental Reconstructions</t>
  </si>
  <si>
    <t>Antarctica; paleoclimate; sea ice; fatty acids; stable isotopes; stomach oil deposits</t>
  </si>
  <si>
    <t>FATTY-ACID-COMPOSITION; ANTARCTIC FULMARINE PETRELS; STOMACH OIL DEPOSITS; SEA-ICE EXTENT; EUPHAUSIA-SUPERBA; PRYDZ BAY; BREEDING SUCCESS; MYCTOPHID FISH; TOP PREDATOR; WAX ESTERS</t>
  </si>
  <si>
    <t>Snow petrels (Pagodroma nivea), which are endemic to the Antarctic region, produce proventricular stomach oil from ingested food for feeding purposes but also spit the oil in the immediate surrounds of the nests, where it forms encrustations over time (Antarctic mumiyo). These deposits provide a unique opportunity to understand the paleo-ecological diet of snow petrels and because the seabirds forage in the ocean, they potentially provide an archive of past marine environmental conditions in the Southern Ocean. For validating methods for reconstructions we use compositional data obtained on modern stomach oils and DNA data from fecal samples of snow petrels. We find that the distribution of carboxylic acid compounds in modern stomach oils and in the fossil deposits are consistent with variable contributions of fish and krill, which are the main constituents of modern snow petrel diet, and allows inference of past changes in snow petrel diet from the fossil record. Analyses of mumiyo deposits from six regions in East Antarctica reveal systematic differences in the isotopic composition of organic matter (d(13)C and d(15)N) and carboxylic acid patterns. This may suggest regional and/or temporal variability in the composition of snow petrels diet, likely differing in response to the prevailing environmental conditions in the foraging range of the birds, such as sea-ice variability, polynya activity and primary productivity. Our study provides confidence for using these approaches for broader scale paleo-studies in the future and for an assessment of the temporal changes and regional variability in snow petrel diet.</t>
  </si>
  <si>
    <t>[Berg, S.; Heim, C.; Rethemeyer, J.; Melles, M.] Univ Cologne, Inst Geol &amp; Mineral, Cologne, Germany; [Emmerson, L.; Southwell, C.] Australian Antarctic Div, Channel Highway, Kingston, Tas, Australia; [Buchta, E.] Tech Univ Dresden, Inst Planetare Geodasie, Dresden, Germany; [Fromm, T.; Hermichen, W. -d.; Wand, U.] Alfred Wegener Inst, Helmholtz Zentrum Polar &amp; Meeresforschung, Bremerhaven, Germany; [Glaser, B.] Martin Luther Univ Halle Wittenberg, Inst Agron &amp; Nutr Sci, Soil Biogeochem Grp, Halle An Der Saale, Germany; [Zech, M.] Tech Univ Dresden, Inst Geog, Heisenberg Chair Phys Geog Focus Paleoenvironmenta, Dresden, Germany</t>
  </si>
  <si>
    <t>University of Cologne; Australian Antarctic Division; Technische Universitat Dresden; Helmholtz Association; Alfred Wegener Institute, Helmholtz Centre for Polar &amp; Marine Research; Martin Luther University Halle Wittenberg; Technische Universitat Dresden</t>
  </si>
  <si>
    <t>Berg, S (corresponding author), Univ Cologne, Inst Geol &amp; Mineral, Cologne, Germany.</t>
  </si>
  <si>
    <t>sonja.berg@uni-koeln.de</t>
  </si>
  <si>
    <t>Rethemeyer, Janet/G-4019-2013; Melles, Martin/J-4070-2012; Heim, Christine/ABH-5629-2020</t>
  </si>
  <si>
    <t>Melles, Martin/0000-0003-0977-9463; Heim, Christine/0000-0003-4716-9316; Berg, Sonja/0000-0002-9629-6007</t>
  </si>
  <si>
    <t>Deutsche Forschungsgemeinschaft (DFG) [BE4764/5-1, BE4764/6-1]; Projekt DEAL</t>
  </si>
  <si>
    <t>Deutsche Forschungsgemeinschaft (DFG)(German Research Foundation (DFG)); Projekt DEAL</t>
  </si>
  <si>
    <t>This work was funded by the Deutsche Forschungsgemeinschaft (DFG) in the framework of the priority program Antarctic Research with comparative investigations in Arctic ice areas (grants BE4764/5-1 and BE4764/6-1). We thank Lutz Eberlein (TU Dresden), Marcus Salton, Anna Lashko, Helen Achurch, Kim Kliska, and Mawson station expeditioners (AAD); Katharina Ferstl and Mirco Czerwonka (AWI) for supporting the sampling in the field, and Julie McInnes for fecal sample processing. We acknowledge field logistics support from the Alfred-Wegener-Institut Helmholtz-Zentrum fuer Polar-und Meeresforschung during expeditions ANT-Land 2018/19 and ANT-Land 2019/20 (Neumayer III and Kohnen Station in Antarctica operated by the Alfred-Wegener-Institute. Journal of large-scale research facilities, 2, A85; 2016, ). We acknowledge field logistics support from the Australian Antarctic Division. Snow petrel samples and laboratory processing of DNA samples were through Australian Antarctic Science projects # 4087, 4088 and 4518. All procedures had animal ethics, ATEP and UBA approvals. Marianne Zech kindly supported the isotope analyses. Open Access funding enabled and organized by Projekt DEAL.</t>
  </si>
  <si>
    <t>e2023JG007454</t>
  </si>
  <si>
    <t>10.1029/2023JG007454</t>
  </si>
  <si>
    <t>I1CR6</t>
  </si>
  <si>
    <t>WOS:001000227300001</t>
  </si>
  <si>
    <t>Anselin, J; Reed, BC; Jenkins, A; Green, JAM</t>
  </si>
  <si>
    <t>Anselin, J.; Reed, B. C.; Jenkins, A.; Green, J. A. M.</t>
  </si>
  <si>
    <t>Ice Shelf Basal Melt Sensitivity to Tide-Induced Mixing Based on the Theory of Subglacial Plumes</t>
  </si>
  <si>
    <t>JOURNAL OF GEOPHYSICAL RESEARCH-OCEANS</t>
  </si>
  <si>
    <t>FILCHNER-RONNE ICE; GROUNDING LINES; OCEAN; MODEL; SEA; ANTARCTICA; DRIVEN; CAVITY</t>
  </si>
  <si>
    <t>Tidal currents are known to influence basal melting of Antarctic ice shelves through two types of mechanisms: local processes taking place within the boundary current adjacent to the ice shelf-ocean interface and far-field processes influencing the properties of water masses within the cavity. The separate effects of these processes are poorly understood, limiting our ability to parameterize tide-driven ice shelf-ocean interactions. Here we focus on the small-scale processes within the boundary current. We apply a one-dimensional plume model to a range of ice base geometries characteristic of Antarctic ice shelves to study the sensitivity of basal melt rates to different representations of tide-driven turbulent mixing processes. Our simulations demonstrate that tides can either increase or decrease melt rates depending on the approach chosen to parameterize entrainment of ambient water into the turbulent plume layer, a process not yet well constrained by observations. A theoretical assessment based on an analogy with tidal bottom boundary layers suggests that tide-driven shear at the ice shelf-ocean interface enhances mixing through the pycnocline. Under this assumption our simulations predict a tide-induced increase in melt and freeze rates along the base of the ice shelf, with the strongest plume path-integrated effects for cold cavities (up to +400% in the realistic set up). An approximation is provided to account for this response in basal melt rate parameterizations that neglect the effect of tide-induced turbulent mixing.</t>
  </si>
  <si>
    <t>[Anselin, J.] British Antarctic Survey, Cambridge, England; [Anselin, J.] Univ Cambridge, Dept Appl Math &amp; Theoret Phys, Cambridge, England; [Reed, B. C.; Green, J. A. M.] Bangor Univ, Sch Ocean Sci, Menai Bridge, Wales; [Jenkins, A.] Northumbria Univ, Dept Geog &amp; Environm Sci, London, England</t>
  </si>
  <si>
    <t>UK Research &amp; Innovation (UKRI); Natural Environment Research Council (NERC); NERC British Antarctic Survey; University of Cambridge; Bangor University; Northumbria University</t>
  </si>
  <si>
    <t>Green, JAM (corresponding author), Bangor Univ, Sch Ocean Sci, Menai Bridge, Wales.</t>
  </si>
  <si>
    <t>m.green@bangor.ac.uk</t>
  </si>
  <si>
    <t>Jenkins, Adrian/IUN-2406-2023</t>
  </si>
  <si>
    <t>Green, Mattias/0000-0001-5090-1040; Reed, Brad/0000-0002-2677-2549; Jenkins, Adrian/0000-0002-9117-0616; Anselin, Josephine/0000-0003-4057-3869</t>
  </si>
  <si>
    <t>Natural Environment Research Council; C-CLEAR Doctoral Training Partnership</t>
  </si>
  <si>
    <t>Natural Environment Research Council(UK Research &amp; Innovation (UKRI)Natural Environment Research Council (NERC)); C-CLEAR Doctoral Training Partnership</t>
  </si>
  <si>
    <t>B.C.R. is supported by an ENVISION Doctoral Training Partnership studentship from the Natural Environment Research Council. J.A. is supported by a C-CLEAR Doctoral Training Partnership studentship from the Natural Environmental Research Council. We would also like to thank Carolyn B. Begeman, Madelaine G. Rosevear and Tyler Pelle for their thorough review and helpful comments which greatly improved the quality of the manuscript.</t>
  </si>
  <si>
    <t>2169-9275</t>
  </si>
  <si>
    <t>2169-9291</t>
  </si>
  <si>
    <t>J GEOPHYS RES-OCEANS</t>
  </si>
  <si>
    <t>J. Geophys. Res.-Oceans</t>
  </si>
  <si>
    <t>e2022JC019156</t>
  </si>
  <si>
    <t>10.1029/2022JC019156</t>
  </si>
  <si>
    <t>I1DF8</t>
  </si>
  <si>
    <t>Green Accepted, hybrid, Green Published, Green Submitted</t>
  </si>
  <si>
    <t>WOS:001000241500001</t>
  </si>
  <si>
    <t>Wandres, M; Espejo, A; Damlamian, H</t>
  </si>
  <si>
    <t>Wandres, Moritz; Espejo, Antonio; Damlamian, Herve</t>
  </si>
  <si>
    <t>Wave Climate Variability and Trends in Tuvalu Based on a 44-Year High-Resolution Wave Hindcast</t>
  </si>
  <si>
    <t>wave climate variability; wave hindcast; Tuvalu; large-scale climate modes; unstructured SWAN; Small Island Developing states</t>
  </si>
  <si>
    <t>WESTERLY WIND BURSTS; PACIFIC TRADE WINDS; SEA-LEVEL RISE; REEF ISLANDS; GLOBAL TRENDS; ATOLL; IMPACTS; ENSO; TEMPERATURE; DEFINITION</t>
  </si>
  <si>
    <t>Waves are one of the main causes of coastal flooding and shoreline change in low-lying atoll nations like Tuvalu. A detailed understanding of Tuvalu's wave climate is therefore critical for decision-makers, coastal engineers, and disaster-risk managers. Here, we investigate Tuvalu's wind-wave climate, changes due to large-scale climate variability, and long-term trends. A 44-year (1979-2022) high-resolution wave hindcast was developed using the unstructured version of the wave model Simulating Waves Nearshore (SWAN). The model resolution varied between 20 km offshore in deep water and 300 m close to shore. The model was forfed with the European Centre for Medium-Range Weather Forecasts Reanalysis v5 (ERA5) wind and boundary wave conditions. Northern and Southern Hemisphere winter months produced the largest and most powerful waves. Through the analysis of the directional wave energy spectra, we identified three main wave energy sources: (a) extratropical storms in the Southern Ocean; (b) extratropical storms in the North Pacific; and (c) easterly trade winds. Slightly positive trends in high-frequency (similar to 10 s) wave energy from the east and low-frequency (similar to 15 s) wave energy from the southwest were linked to an intensification of trade winds and an intensification and poleward displacement of the Southern Ocean storm belt over recent decades. The interannual variability of Tuvalu's wave climate was strongly linked to large-scale climate modes such as El Nino Southern Oscillation, Pacific Decadal Oscillation, and Arctic and Antarctic Oscillation. The study builds on previous research and significantly enhances the understanding of Tuvalu's wave climate variability. Plain Language Summary Waves are one of the main causes of coastal flooding and shoreline change in low-lying atoll nations like Tuvalu. A detailed understanding of Tuvalu's wave climate is therefore critical for decision-makers, coastal engineers, and disaster-risk managers. In this study, we investigate Tuvalu's wind-wave climate using a 44-year (1979-2022) high-resolution wave hindcast. A strong seasonality in significant wave height and wave power was found with Northern and Southern Hemisphere winter months producing the largest and most powerful waves. We identified three main wave energy sources: (a) extratropical storms in the Southern Ocean; (b) extratropical storms in the North Pacific; and (c) easterly trade winds. An intensification of the easterly trade winds, as well as an intensification and poleward shift of the Southern Ocean storm belt over recent decades resulted in slight positive trends in wave energy. The interannual variability of Tuvalu's wave climate was strongly linked to large-scale climate modes such as El Nino Southern Oscillation, Pacific Decadal Oscillation, and Arctic and Antarctic Oscillation. The study builds on previous research and enhances the understanding of Tuvalu's wave climate variability. The hindcast may be a useful tool to study other processes like long-term shoreline change.</t>
  </si>
  <si>
    <t>[Wandres, Moritz; Espejo, Antonio; Damlamian, Herve] Pacific Community, Geosci Energy &amp; Maritime GEM Div, Suva, Fiji; [Wandres, Moritz; Espejo, Antonio; Damlamian, Herve] Pacific Community, Pacific Community Ctr Ocean Sci PCCOS, Suva, Fiji</t>
  </si>
  <si>
    <t>Wandres, M (corresponding author), Pacific Community, Geosci Energy &amp; Maritime GEM Div, Suva, Fiji.;Wandres, M (corresponding author), Pacific Community, Pacific Community Ctr Ocean Sci PCCOS, Suva, Fiji.</t>
  </si>
  <si>
    <t>moritzw@spc.int</t>
  </si>
  <si>
    <t>Espejo, Antonio/0000-0003-0110-4277</t>
  </si>
  <si>
    <t>Pacific Community Centre for Ocean Sciences (PCCOS)</t>
  </si>
  <si>
    <t>The work in this study was undertaken under the Green Climate Fund financed Tuvalu Coastal Adaptation Project. We would like to thank Jerome Aucan for providing funding to write this paper through the Pacific Community Centre for Ocean Sciences (PCCOS) and for providing feedback on a previous version of the paper. We would also like to thank Francois Dufois for making this data set available through the PCCOS catalog. We would like to thank the editor and the anonymous reviewers for their constructive feedback on a previous version of this paper.</t>
  </si>
  <si>
    <t>e2022JC019523</t>
  </si>
  <si>
    <t>10.1029/2022JC019523</t>
  </si>
  <si>
    <t>I1DF3</t>
  </si>
  <si>
    <t>WOS:001000241000001</t>
  </si>
  <si>
    <t>Lee, J; Kwak, YS; Eswaraiah, S; Kam, H; Kim, YH; Lee, CS; Kim, JH</t>
  </si>
  <si>
    <t>Lee, Jaewook; Kwak, Young-Sil; Eswaraiah, Sunkara; Kam, Hosik; Kim, Yong Ha; Lee, Changsup; Kim, Jeong-Han</t>
  </si>
  <si>
    <t>Observational Evidence of Nonlinear Wave-Wave Interaction Over Antarctic MLT Region</t>
  </si>
  <si>
    <t>JOURNAL OF GEOPHYSICAL RESEARCH-SPACE PHYSICS</t>
  </si>
  <si>
    <t>mesosphere-lower thermosphere; tides; planetary waves; nonlinear interaction; meteor radar</t>
  </si>
  <si>
    <t>MF RADAR OBSERVATIONS; DIGITAL BISPECTRAL ANALYSIS; QUASI 16-DAY OSCILLATIONS; KING SEJONG STATION; LOWER THERMOSPHERE; PLANETARY-WAVES; SASKATOON 52-DEGREES-N; MIDDLE ATMOSPHERE; GRAVITY-WAVES; METEOR RADAR</t>
  </si>
  <si>
    <t>Using meteor radar observations over King Sejong Station (62.22 degrees S, 58.78 degrees W) in the Antarctic Peninsula, we investigated the wave-wave interaction in the mesosphere and lower thermosphere (MLT) region. We analyzed hourly horizontal wind measurements at altitudes of 84-96 km from March 2016 through February 2017 and found that the MLT region is dominated by a semidiurnal tide (SDT) and the signature of planetary waves (PWs) with a period of similar to 8-27 days. The PW activity was substantially intensified during the winter. The day-to-day variability of SDT amplitudes are estimated and the higher-order spectral analysis of SDT amplitudes exhibits intermittent modulation of SDT at PW periods similar to 8 and 27 days in the zonal winds and periods of 8 and 16 days in the meridional winds. We observed an intense episode of tidal modulation from June through September 2016, during which a set of subsidiary spectral components around the SDT were found as a result of wave-wave interaction. Further, the bi-spectral analysis reveals that quadratic coupling (nonlinear interaction) occurred between SDT and PWs at a band period of 8-27 days, at above 90 km. We compared the spectral powers between the secondary waves created by the nonlinear interaction between the SDT and 16-day PWs. Further, we found that sum-secondary waves generated by the nonlinear interaction are stronger than the difference-secondary waves during austral winter 2016. We thus conclude that the non-linear interaction between the tides and PWs may play a major role in the short-term tidal variability in the MLT region during austral winter 2016.</t>
  </si>
  <si>
    <t>[Lee, Jaewook; Kwak, Young-Sil; Kam, Hosik] Korea Astron &amp; Space Sci Inst, Space Sci Div, Daejeon, South Korea; [Lee, Jaewook; Kwak, Young-Sil] Univ Sci &amp; Technol, Dept Astron &amp; Space Sci, Daejeon, South Korea; [Eswaraiah, Sunkara] Madanapalle Inst Technol &amp; Sci, Madanapalle, India; [Kim, Yong Ha] Chungnam Natl Univ, Dept Astron Space &amp; Geol, Daejeon, South Korea; [Lee, Changsup; Kim, Jeong-Han] Korea Polar Res Inst, Div Atmospher Sci, Incheon, South Korea</t>
  </si>
  <si>
    <t>Korea Astronomy &amp; Space Science Institute (KASI); University of Science &amp; Technology (UST); Madanapalle Institute of Technology &amp; Science; Chungnam National University; Korea Polar Research Institute (KOPRI)</t>
  </si>
  <si>
    <t>Kwak, YS (corresponding author), Korea Astron &amp; Space Sci Inst, Space Sci Div, Daejeon, South Korea.;Kwak, YS (corresponding author), Univ Sci &amp; Technol, Dept Astron &amp; Space Sci, Daejeon, South Korea.</t>
  </si>
  <si>
    <t>yskwak@kasi.re.kr</t>
  </si>
  <si>
    <t>Kim, Jeong Han/J-6244-2016</t>
  </si>
  <si>
    <t>Kim, Yongha/0000-0003-0200-9423; Kwak, Young-Sil/0000-0003-3375-8574; Sunkara, Eswaraiah/0000-0002-0419-6755</t>
  </si>
  <si>
    <t>Korea Astronomy and Space Science Institute (KASI) [KASI2023185007]; Korea Polar Research Institute (KOPRI) - Ministry of Oceans and Fisheries [KOPRI PE23020]</t>
  </si>
  <si>
    <t>Korea Astronomy and Space Science Institute (KASI); Korea Polar Research Institute (KOPRI) - Ministry of Oceans and Fisheries</t>
  </si>
  <si>
    <t>This research was supported by basic research funding from the Korea Astronomy and Space Science Institute (KASI) (KASI2023185007). This work was also supported by the Korea Polar Research Institute (KOPRI) grant funded by the Ministry of Oceans and Fisheries (KOPRI PE23020).</t>
  </si>
  <si>
    <t>2169-9380</t>
  </si>
  <si>
    <t>2169-9402</t>
  </si>
  <si>
    <t>J GEOPHYS RES-SPACE</t>
  </si>
  <si>
    <t>J. Geophys. Res-Space Phys.</t>
  </si>
  <si>
    <t>e2022JA030738</t>
  </si>
  <si>
    <t>10.1029/2022JA030738</t>
  </si>
  <si>
    <t>C8EF7</t>
  </si>
  <si>
    <t>WOS:000964178800001</t>
  </si>
  <si>
    <t>Koffman, BG; Goldstein, SL; Winckler, G; Kaplan, MR; Bolge, L; Biscaye, P</t>
  </si>
  <si>
    <t>Koffman, Bess G.; Goldstein, Steven L.; Winckler, Gisela; Kaplan, Michael R.; Bolge, Louise; Biscaye, Pierre</t>
  </si>
  <si>
    <t>Abrupt Changes in Atmospheric Circulation During the Medieval Climate Anomaly and Little Ice Age Recorded by Sr-Nd Isotopes in the Siple Dome Ice Core, Antarctica</t>
  </si>
  <si>
    <t>PALEOCEANOGRAPHY AND PALEOCLIMATOLOGY</t>
  </si>
  <si>
    <t>Southern Hemisphere westerlies; Southern Annular Mode; Medieval Climate Anomaly; Sr-Nd-Pb isotopes; dust provenance; ice cores</t>
  </si>
  <si>
    <t>HEMISPHERE WESTERLY WINDS; MODERN DUST TRANSPORT; HIGH-LATITUDE DUST; MARIE BYRD LAND; MINERAL DUST; SOUTHERN-OCEAN; NORTH-ATLANTIC; ENDERBY LAND; SM-ND; VARIABILITY</t>
  </si>
  <si>
    <t>The Southern Hemisphere westerly winds (SWW) play a critical role in global climate, yet their behavior on decadal to centennial timescales, and the mechanisms driving these changes during the preindustrial era, remain poorly understood. We present a decadally resolved record of dust compositions using strontium and neodymium isotope ratios in mineral dust from the Siple Dome ice core, Antarctica, to explore the potential that abrupt changes in SWW behavior occurred over the past millennium. The record spans portions of the Medieval Climate Anomaly (MCA) and the Little Ice Age (LIA) intervals as defined in the Northern Hemisphere. We find evidence of an abrupt strengthening of atmospheric circulation during the MCA at similar to 1125 CE (825 BP) that persisted for about 60 yr, indicating increased influence of Patagonia-sourced dust. This occurs during an extended positive phase of Southern Annular Mode (SAM+)-like conditions, characterized by high SWW velocities and a southerly shift of the main wind belt toward similar to 60 degrees S, suggesting that rapid changes in SWW strength could occur under the present SAM+ pattern. A second 20 yr long shift in dust compositions during the LIA at similar to 1748 CE (200 BP) is coincident with higher dust delivery to Siple Dome, and may indicate increased dust emissions related to glacier activity in Patagonia. The new Siple Dome ice core data set demonstrates that Sr-Nd isotopes can be used to trace shifts in atmospheric circulation on decadal timescales. Plain Language Summary The prevailing winds that encircle Antarctica, blowing west to east, play an outsized role in global climate. Because they blow continuously over the ocean, they create ocean currents and cause upwelling. When deep ocean water comes to the surface, it releases carbon dioxide into the atmosphere, causing the climate to warm. Changes in wind strength and positioning modulate the release of carbon dioxide. Therefore, knowing how and why the winds shift is important for understanding how Earth's climate system operates. We use the composition of dust preserved in an Antarctic ice core to learn how the balance of dust sources changed during the past millennium. This allows us to track past shifts in the winds around Antarctica and to learn how they respond to climate changes on short timespans, such as decades to centuries. We observe an abrupt change in dust composition at similar to 1125 CE lasting for about 60 yr, indicating a greater influence of dust sourced from Patagonia in South America. This dust shift occurred during a globally observed warm period, and corresponded with an interval of stronger westerly winds blowing closer to Antarctica. Our data show that decade-scale changes can be superimposed on longer intervals of intensified wind strength.</t>
  </si>
  <si>
    <t>[Koffman, Bess G.] Colby Coll, Dept Geol, Waterville, ME 04901 USA; [Koffman, Bess G.; Goldstein, Steven L.; Winckler, Gisela; Kaplan, Michael R.; Bolge, Louise; Biscaye, Pierre] Columbia Univ, Lamont Doherty Earth Observ, Palisades, NY 10027 USA; [Goldstein, Steven L.; Winckler, Gisela] Columbia Univ, Dept Earth &amp; Environm Sci, New York, NY USA</t>
  </si>
  <si>
    <t>Colby College; Columbia University; Columbia University</t>
  </si>
  <si>
    <t>Koffman, BG (corresponding author), Colby Coll, Dept Geol, Waterville, ME 04901 USA.;Koffman, BG (corresponding author), Columbia Univ, Lamont Doherty Earth Observ, Palisades, NY 10027 USA.</t>
  </si>
  <si>
    <t>bess.koffman@colby.edu</t>
  </si>
  <si>
    <t>Biscaye, Pierre/GPW-8936-2022</t>
  </si>
  <si>
    <t>Biscaye, Pierre/0000-0002-0396-3318; Koffman, Bess/0000-0002-9451-4138</t>
  </si>
  <si>
    <t>NSF [ANT 1204050, ANT 1043471]; AAUW American Postdoctoral Research Leave Fellowship</t>
  </si>
  <si>
    <t>NSF(National Science Foundation (NSF)); AAUW American Postdoctoral Research Leave Fellowship</t>
  </si>
  <si>
    <t>Acknowledgments This work was supported by NSF ANT 1204050 (Koffman) and ANT 1043471 (Kaplan, Goldstein, Winckler) and by an AAUW American Postdoctoral Research Leave Fellowship (Koffman). The authors appreciate Andrei Kurbatov, Karl Kreutz, Erich Osterberg, Aloys Bory, and Patricio Moreno for their helpful conversations. The authors thank Tom Williams and an anonymous reviewer for their thoughtful feedback, which served to clarify and strengthen the paper.</t>
  </si>
  <si>
    <t>2572-4517</t>
  </si>
  <si>
    <t>2572-4525</t>
  </si>
  <si>
    <t>PALEOCEANOGR PALEOCL</t>
  </si>
  <si>
    <t>Paleoceanogr. Paleoclimatology</t>
  </si>
  <si>
    <t>e2022PA004543</t>
  </si>
  <si>
    <t>10.1029/2022PA004543</t>
  </si>
  <si>
    <t>Geosciences, Multidisciplinary; Oceanography; Paleontology</t>
  </si>
  <si>
    <t>Geology; Oceanography; Paleontology</t>
  </si>
  <si>
    <t>C1UV0</t>
  </si>
  <si>
    <t>WOS:000959860100001</t>
  </si>
  <si>
    <t>Mei, DK; Ren, XD; Liu, H; Le, X; Xiong, S; Zhang, XH</t>
  </si>
  <si>
    <t>Mei, Dengkui; Ren, Xiaodong; Liu, Hang; Le, Xuan; Xiong, Si; Zhang, Xiaohong</t>
  </si>
  <si>
    <t>Global Three-Dimensional Ionospheric Tomography by Combination of Ground-Based and Space-Borne GNSS Data</t>
  </si>
  <si>
    <t>SPACE WEATHER-THE INTERNATIONAL JOURNAL OF RESEARCH AND APPLICATIONS</t>
  </si>
  <si>
    <t>Low-Earth-Orbit (LEO); ionospheric tomography; slant total electron content(STEC); electron density; global navigation satellite system (GNSS)</t>
  </si>
  <si>
    <t>TOTAL ELECTRON-CONTENT; BOTTOMSIDE IONOSPHERE; TOPSIDE IONOSPHERE; GPS; RECONSTRUCTION; DENSITY; PLASMASPHERE; ALGORITHM; STORM</t>
  </si>
  <si>
    <t>The inhomogeneous distribution of Global Navigation Satellite System (GNSS) data is a significant problem for global GNSS computerized ionospheric tomography (CIT). By combining ground-based GNSS data from 460 global stations with space-borne GNSS data onboard eleven Low-Earth-Orbit (LEO) satellites, we employed the EOF (empirical orthogonal function)-based multiplicative algebraic reconstruction technique (EMART) to reconstruct the global ionospheric electron densities. In comparison with GNSS + LEO (EMART_GL) solutions, the proportion of crossed voxels for GNSS-only (EMART_G) solutions can rise by up to 12.54%, from 56.83% to 69.37%. Validation experiments were conducted under quiet and disturbed conditions using GNSS slant total electron content (STEC) references that were not previously used in ionospheric tomography. The EMART_GL solutions outperformed the EMART_G solutions when compared to the STEC references under quiet and disturbed conditions. The root mean square values of the CIT-derived STEC for the EMART_G solutions can be decreased by 31.3% and 30.3% on average under quiet and disturbed conditions, respectively. The vertical TEC references from the Jason-2 satellite were also used for validation over the ocean areas. Due to insufficient data over the ocean areas, the EMART_GL solutions showed no significant improvements. The reconstructed 3D IEDs were further validated with the COSMIC electron density profiles. Generally, the tomographic results of the EMART_GL solutions were more consistent with the COSMIC profiles when compared to those of the EMART_G solutions and the NeQuick-2 model. It demonstrates that it is beneficial for global ionospheric tomography by combining ground-based and space-borne data.Plain Language Summary The computerized ionospheric tomography technique is extensively being applied to imaging ionospheric electron density (IED) distributions based on Global Navigation Satellite System (GNSS) observations. The voxel-based model is usually utilized in ionospheric tomography, with the ionosphere being divided into many cubic voxels. However, predominant issues like unevenly distributed stations, a lack of data, and high-elevation GNSS signals could affect the precise information about the ionosphere. The electron densities of voxels that are not crossed by GNSS rays cannot be accurately estimated. To address this problem, incorporating multisource data, such as data from Low-Earth-Orbit (LEO) satellites, make great sense. A growing number of LEO satellites offer new opportunities for global IED reconstruction. In this study, the EOF (empirical orthogonal function)-based multiplicative algebraic reconstruction technique (EMART) was used to reconstruct the 3D IED by combining ground-based GNSS data from global receivers and space-borne GNSS data onboard eleven LEO satellites.</t>
  </si>
  <si>
    <t>[Mei, Dengkui; Ren, Xiaodong; Liu, Hang; Le, Xuan; Xiong, Si; Zhang, Xiaohong] Wuhan Univ, Sch Geodesy &amp; Geomat, Wuhan, Peoples R China; [Ren, Xiaodong; Zhang, Xiaohong] Hubei Luojia Lab, Wuhan, Peoples R China; [Zhang, Xiaohong] Wuhan Univ, Chinese Antarctic Ctr Surveying &amp; Mapping, Wuhan, Peoples R China</t>
  </si>
  <si>
    <t>Wuhan University; Wuhan University</t>
  </si>
  <si>
    <t>Ren, XD (corresponding author), Wuhan Univ, Sch Geodesy &amp; Geomat, Wuhan, Peoples R China.;Ren, XD (corresponding author), Hubei Luojia Lab, Wuhan, Peoples R China.</t>
  </si>
  <si>
    <t>xdren@whu.edu.cn</t>
  </si>
  <si>
    <t>REN, XIAODONG/HJP-2991-2023; Zhang, Xiaohong/A-3060-2015</t>
  </si>
  <si>
    <t>REN, XIAODONG/0000-0002-3213-0067; liu, hang/0000-0002-3408-3807; Le, Xuan/0000-0002-4806-4201</t>
  </si>
  <si>
    <t>National Natural Science Foundation of China [42174031, 42230104]; Special Fund of Hubei Luojia Laboratory [2201000038]; Knowledge Innovation Program of Wuhan-Shuguang</t>
  </si>
  <si>
    <t>National Natural Science Foundation of China(National Natural Science Foundation of China (NSFC)); Special Fund of Hubei Luojia Laboratory; Knowledge Innovation Program of Wuhan-Shuguang</t>
  </si>
  <si>
    <t>This research was funded by the National Natural Science Foundation of China (no. 42174031, no. 42230104), and the Special Fund of Hubei Luojia Laboratory (no. 2201000038), and the Knowledge Innovation Program of Wuhan-Shuguang. The numerical calculations have been done on the supercomputing system in the Supercomputing Center of Wuhan University. We would like to thank the anonymous reviewers for their helpful suggestions.</t>
  </si>
  <si>
    <t>1542-7390</t>
  </si>
  <si>
    <t>SPACE WEATHER</t>
  </si>
  <si>
    <t>Space Weather</t>
  </si>
  <si>
    <t>e2022SW003368</t>
  </si>
  <si>
    <t>10.1029/2022SW003368</t>
  </si>
  <si>
    <t>Astronomy &amp; Astrophysics; Geochemistry &amp; Geophysics; Meteorology &amp; Atmospheric Sciences</t>
  </si>
  <si>
    <t>E1EN8</t>
  </si>
  <si>
    <t>WOS:000973053800001</t>
  </si>
  <si>
    <t>Xu, W; Gu, XD; Ni, BB; Wang, SW; Yang, Z; Cheng, W; Hu, ZJ; He, F; Li, B; Chen, XC; Liu, JJ; Hu, HQ</t>
  </si>
  <si>
    <t>Xu, Wei; Gu, Xudong; Ni, Binbin; Wang, Shiwei; Yang, Zhe; Cheng, Wen; Hu, Ze-Jun; He, Fang; Li, Bin; Chen, Xiang-Cai; Liu, Jian-Jun; Hu, Hong-Qiao</t>
  </si>
  <si>
    <t>Measurements and Modeling of the Responses of VLF Transmitter Signals to X-Class Solar Flares at the Great Wall Station in Antarctica</t>
  </si>
  <si>
    <t>solar flares; D-region ionosphere; subionospheric VLF signals; VLF remote sensing; electron density; VLF transmitter signals</t>
  </si>
  <si>
    <t>MONTE-CARLO-SIMULATION; D-REGION ENHANCEMENTS; ELECTRON-PRECIPITATION; PARTICLE-PRECIPITATION; TIME-DELAY; IONOSPHERE; AMPLITUDE; ATMOSPHERE; RADIATION; PHASE</t>
  </si>
  <si>
    <t>Solar flares can severely disturb the Earth's ionosphere, leading to changes of atmospheric chemistry and degradation of Global Navigation Satellite System (GNSS) signals. The key to better assess these effects is to more accurately quantify the electron density enhancements induced by solar flares, which is still uncertain. Thanks to the good coverage and quiet electromagnetic environment provided by the Great Wall Station (GWS, 62.22 degrees S, 58.96 degrees W) in Antarctica, our Very-Low-Frequency (VLF) receiver has recorded clean VLF signatures produced by three X-class solar flares from March to May in 2022. These measurements motivate us to revisit the uncertain question related to the ionospheric effects induced by solar flares. Different from previous studies, we model solar flare events from satellite measurements of X-ray fluxes to ground-based measurements of VLF transmitter signals by combining a flare irradiance model, an X-ray propagation model, a D-region chemistry model, and a VLF propagation model. For eight transmitting frequencies and propagation paths, modeling results can satisfactorily explain our VLF measurements at GWS during the three X-class flares, especially so for the X1.3 event occurring on 30 March 2022. Moreover, the electron density results that reconcile space- and ground-based measurements suggest that the VLF reflection height can be lowered to similar to 66 km by an X1.1 flare, in line with previous studies. The present set of numerical models can be thus utilized in future studies to improve the nowcasting capability of VLF sensing technique for monitoring solar flares, as well as the accuracy of GNSS navigation/positioning during solar flares.</t>
  </si>
  <si>
    <t>[Xu, Wei; Gu, Xudong; Ni, Binbin; Wang, Shiwei; Cheng, Wen] Wuhan Univ, Sch Elect Informat, Wuhan, Peoples R China; [Xu, Wei; Gu, Xudong; Ni, Binbin] Hubei Luojia Lab, Wuhan, Peoples R China; [Yang, Zhe] Tongji Univ, Coll Surveying &amp; Geoinformat, Shanghai, Peoples R China; [Hu, Ze-Jun; He, Fang; Li, Bin; Chen, Xiang-Cai; Liu, Jian-Jun; Hu, Hong-Qiao] Polar Res Inst China, MNR Key Lab Polar Sci, Shanghai, Peoples R China</t>
  </si>
  <si>
    <t>Wuhan University; Tongji University; Polar Research Institute of China</t>
  </si>
  <si>
    <t>Gu, XD (corresponding author), Wuhan Univ, Sch Elect Informat, Wuhan, Peoples R China.;Gu, XD (corresponding author), Hubei Luojia Lab, Wuhan, Peoples R China.;He, F (corresponding author), Polar Res Inst China, MNR Key Lab Polar Sci, Shanghai, Peoples R China.</t>
  </si>
  <si>
    <t>guxudong@whu.edu.cn; hefang@pric.org.cn</t>
  </si>
  <si>
    <t>Hu, Ze-Jun/X-8090-2019; WANG, SHIWEI/GOK-0834-2022; Chen, Xiangcai/G-6798-2017</t>
  </si>
  <si>
    <t>Hu, Ze-Jun/0000-0003-2448-2094; Wang, Shiwei/0000-0002-0336-3849; Chen, Xiangcai/0000-0002-6325-5049</t>
  </si>
  <si>
    <t>National Natural Science Foundation of China [42188101, 42025404, 42274205, 41974186, 42174188, 41904144, 41904143, 42174190, 41874195]; National Key R&amp;D Program of China [2022YFF0503700]; B-type Strategic Priority Program of the Chinese Academy of Sciences [XDB41000000]; Pre-research projects on Civil Aerospace Technologies [D020308, D020104, D020303]; open fund of Hubei Luojia Laboratory [220100051]; Chinese Meridian Project II; Chinese National Antarctic Research Expedition</t>
  </si>
  <si>
    <t>National Natural Science Foundation of China(National Natural Science Foundation of China (NSFC)); National Key R&amp;D Program of China; B-type Strategic Priority Program of the Chinese Academy of Sciences; Pre-research projects on Civil Aerospace Technologies; open fund of Hubei Luojia Laboratory; Chinese Meridian Project II; Chinese National Antarctic Research Expedition</t>
  </si>
  <si>
    <t>This work was supported by the National Natural Science Foundation of China (Grant 42188101, 42025404, 42274205, 41974186, 42174188, 41904144, 41904143, 42174190, 41874195), the National Key R&amp;D Program of China (Grant 2022YFF0503700), the B-type Strategic Priority Program of the Chinese Academy of Sciences (Grant XDB41000000), and the Pre-research projects on Civil Aerospace Technologies (Grant D020308, D020104, D020303). This project was supported by the open fund of Hubei Luojia Laboratory (Grant 220100051). The authors acknowledge the Chinese Meridian Project II and the Chinese National Antarctic Research Expedition for the support to the VLF wave detection program at GWS.</t>
  </si>
  <si>
    <t>e2022SW003249</t>
  </si>
  <si>
    <t>10.1029/2022SW003249</t>
  </si>
  <si>
    <t>H6ZK9</t>
  </si>
  <si>
    <t>WOS:000997419000001</t>
  </si>
  <si>
    <t>Chen, YJ; Chen, JX; Wang, Y; Jiang, Y; Zheng, MF; Qiu, YS; Chen, M</t>
  </si>
  <si>
    <t>Chen, Yangjun; Chen, Jinxu; Wang, Yi; Jiang, You; Zheng, Minfang; Qiu, Yusheng; Chen, Min</t>
  </si>
  <si>
    <t>Sources and transformations of nitrite in the Amundsen Sea in summer 2019 and 2020 as revealed by nitrogen and oxygen isotopes</t>
  </si>
  <si>
    <t>ACTA OCEANOLOGICA SINICA</t>
  </si>
  <si>
    <t>nitrogen isotope; oxygen isotope; nitrite; Amundsen Sea</t>
  </si>
  <si>
    <t>FRACTIONATED PRIMARY PRODUCTION; SOUTHERN-OCEAN; MIXED-LAYER; FRESH-WATER; NITRATE; AMMONIA; NITRIFICATION; ASSIMILATION; MAXIMUM; ZONE</t>
  </si>
  <si>
    <t>In this study, the nitrogen and oxygen isotope compositions of nitrite in the upper 150 m water column of the Amundsen Sea in the summer of 2019 and 2020 were measured to reveal the distribution and transformation of nitrite in the euphotic zone of the Southern Ocean. We found that primary nitrite maxima (PNMs) are widely present in the Amundsen Sea, where the depth of occurrence deepens from east to west and nitrite concentrations increases. Evidence from dual isotopes suggests that the formation of PNMs in all regions of the Amundsen Sea is dominated by ammonia oxidation. More importantly, the nitrogen and oxygen isotope compositions of nitrite in the Amundsen Sea mixed layer are abnormal, and their depth profiles are mirror symmetrical. Isotopic anomalies exhibit spatial variations, with central surface water having the lowest nitrogen isotope composition (-89.9 &amp; PTSTHOUSND;&amp; PLUSMN;0.2 &amp; PTSTHOUSND;) and western surface water having the highest oxygen isotope composition (63.3 &amp; PTSTHOUSND;&amp; PLUSMN;0.3 &amp; PTSTHOUSND;). Isotopic exchange reaction between nitrate and nitrite is responsible for these isotope anomalies, as both nitrogen and oxygen isotopes have large isotopic fractionation and opposite enrichment effects. This proves that isotopic exchange reaction operates extensively in different regions of the Amundsen Sea. Our study highlights the unique role of dual isotopes of nitrite in deepening the understanding of nitrogen cycle. Further studies on ammonia oxidation and isotopic exchange between nitrate and nitrite are warranted in the future to understand their roles in the nitrogen cycle in the Southern Ocean.</t>
  </si>
  <si>
    <t>[Chen, Yangjun; Chen, Jinxu; Wang, Yi; Jiang, You; Zheng, Minfang; Qiu, Yusheng; Chen, Min] Xiamen Univ, Coll Ocean &amp; Earth Sci, Xiamen 361102, Peoples R China; [Chen, Yangjun] Jiangsu Ocean Univ, Sch Marine Sci &amp; Fisheries, Lianyungang 222005, Peoples R China</t>
  </si>
  <si>
    <t>Xiamen University; Jiangsu Ocean University</t>
  </si>
  <si>
    <t>Chen, M (corresponding author), Xiamen Univ, Coll Ocean &amp; Earth Sci, Xiamen 361102, Peoples R China.</t>
  </si>
  <si>
    <t>mchen@xmu.edu.cn</t>
  </si>
  <si>
    <t>Wang, Siying/KHX-1894-2024; Li, Shiyu/KHE-1376-2024; Zhang, Zhipeng/KHY-2239-2024; Wei, Yingying/HLW-6638-2023</t>
  </si>
  <si>
    <t>Chen, Yangjun/0000-0002-7488-9338</t>
  </si>
  <si>
    <t>Impact and Response of Antarctic Seas [IRASCC 02-01-01, IRASCC 01-01-02C]; National Natural Science Foundation of China [41721005]</t>
  </si>
  <si>
    <t>Impact and Response of Antarctic Seas; National Natural Science Foundation of China(National Natural Science Foundation of China (NSFC))</t>
  </si>
  <si>
    <t>The Impact and Response of Antarctic Seas to Climate Change under contract Nos IRASCC 02-01-01 and IRASCC 01-01-02C; the National Natural Science Foundation of China under contract No. 41721005</t>
  </si>
  <si>
    <t>0253-505X</t>
  </si>
  <si>
    <t>1869-1099</t>
  </si>
  <si>
    <t>ACTA OCEANOL SIN</t>
  </si>
  <si>
    <t>Acta Oceanol. Sin.</t>
  </si>
  <si>
    <t>10.1007/s13131-022-2111-4</t>
  </si>
  <si>
    <t>J9PF2</t>
  </si>
  <si>
    <t>WOS:001012865900002</t>
  </si>
  <si>
    <t>Venturelli, RA; Boehman, B; Davis, C; Hawkings, JR; Johnston, SE; Gustafson, CD; Michaud, AB; Mosbeux, C; Siegfried, MR; Vick-Majors, TJ; Galy, V; Spencer, RGM; Warny, S; Christner, BC; Fricker, HA; Harwood, DM; Leventer, A; Priscu, JC; Rosenheim, BE; SALSA Sci Team</t>
  </si>
  <si>
    <t>Venturelli, Ryan; Boehman, Brenna; Davis, Christina R.; Hawkings, Jon E.; Johnston, Sarah D.; Gustafson, Chloe B.; Michaud, Alexander; Mosbeux, Cyrille R.; Siegfried, Matthew J.; Vick-Majors, Trista; Galy, Valier; Spencer, Robert G. M.; Warny, Sophie C.; Christner, Brent A.; Fricker, Helen M.; Harwood, David; Leventer, Amy C.; Priscu, John E.; Rosenheim, Brad; SALSA Sci Team</t>
  </si>
  <si>
    <t>Constraints on the Timing and Extent of Deglacial Grounding Line Retreat in West Antarctica</t>
  </si>
  <si>
    <t>AGU ADVANCES</t>
  </si>
  <si>
    <t>subglacial lake; Antarctica; radiocarbon; deglaciation; grounding line retreat; carbon cycle</t>
  </si>
  <si>
    <t>WHILLANS ICE STREAM; RAMPED PYROLYSIS; ORGANIC-MATTER; CONTINENT-WIDE; ROSS SEA; PART 1; BENEATH; SHELF; CARBON; RADIOCARBON</t>
  </si>
  <si>
    <t>Projections of Antarctica's contribution to future sea level rise are associated with significant uncertainty, in part because the observational record is too short to capture long-term processes necessary to estimate ice mass changes over societally relevant timescales. Records of grounding line retreat from the geologic past offer an opportunity to extend our observations of these processes beyond the modern record and to gain a more comprehensive understanding of ice-sheet change. Here, we present constraints on the timing and inland extent of deglacial grounding line retreat in the southern Ross Sea, Antarctica, obtained via direct sampling of a subglacial lake located 150 km inland from the modern grounding line and beneath &gt;1 km of ice. Isotopic measurements of water and sediment from the lake enabled us to evaluate how the subglacial microbial community accessed radiocarbon-bearing organic carbon for energy, as well as where it transferred carbon metabolically. Using radiocarbon as a natural tracer, we found that sedimentary organic carbon was microbially translocated to dissolved carbon pools in the subglacial hydrologic system during the 4.5-year period of water accumulation prior to our sampling. This finding indicates that the grounding line along the Siple Coast of West Antarctica retreated more than 250 km inland during the mid-Holocene (6.3 +/- 1.0 ka), prior to re-advancing to its modern position.</t>
  </si>
  <si>
    <t>[Venturelli, Ryan] Colorado Sch Mines, Golden, CO 80401 USA; [Boehman, Brenna] Woods Hole Oceanog Inst, Woods Hole, MA USA; [Davis, Christina R.; Christner, Brent A.] Univ Florida, Gainesville, FL USA; [Hawkings, Jon E.] Univ Penn, Philadelphia, PA USA; [Johnston, Sarah D.] Univ Alaska Fairbanks, Fairbanks, AK USA; [Gustafson, Chloe B.; Fricker, Helen M.] Scripps Inst Oceanog, La Jolla, CA USA; [Michaud, Alexander] Bigelow Lab Ocean Sci, East Boothbay, ME USA; [Vick-Majors, Trista] Michigan Technol Univ, Houghton, MI USA; [Galy, Valier] Florida State Univ, Tallahassee, FL USA; [Warny, Sophie C.] Louisiana State Univ, Baton Rouge, LA USA; [Harwood, David] Univ Nebraska Lincoln, Lincoln, NE USA; [Leventer, Amy C.] Colgate Univ, Hamilton, NY USA; [Priscu, John E.] Polar Oceans Res Grp, Sheridan, MT USA; [Rosenheim, Brad] Univ S Florida, Coll Marine Sci, St Petersburg, FL 33701 USA</t>
  </si>
  <si>
    <t>Colorado School of Mines; Woods Hole Oceanographic Institution; State University System of Florida; University of Florida; University of Pennsylvania; University of Alaska System; University of Alaska Fairbanks; University of California System; University of California San Diego; Scripps Institution of Oceanography; Bigelow Laboratory for Ocean Sciences; Michigan Technological University; State University System of Florida; Florida State University; Louisiana State University System; Louisiana State University; University of Nebraska System; University of Nebraska Lincoln; Colgate University; State University System of Florida; University of South Florida</t>
  </si>
  <si>
    <t>Venturelli, RA (corresponding author), Colorado Sch Mines, Golden, CO 80401 USA.;Rosenheim, BE (corresponding author), Univ S Florida, Coll Marine Sci, St Petersburg, FL 33701 USA.</t>
  </si>
  <si>
    <t>Venturelli@mines.edu; Brosenheim@usf.edu</t>
  </si>
  <si>
    <t>Michaud, Alex/AAC-4890-2020</t>
  </si>
  <si>
    <t>Michaud, Alex/0000-0001-5714-8741; Gustafson, Chloe/0000-0001-8323-2568; Vick-Majors, Trista/0000-0002-6868-4010; Leventer, Amy/0000-0001-9401-0987; Hawkings, Jon/0000-0003-4813-8474</t>
  </si>
  <si>
    <t>NSF [OPP-1543347, 1543441, 1543405, 1543537, 1543396, 1327315, 793962]; Marie Sklodowska-Curie Actions Fellowship; [OCE-1755125]</t>
  </si>
  <si>
    <t>NSF(National Science Foundation (NSF)); Marie Sklodowska-Curie Actions Fellowship;</t>
  </si>
  <si>
    <t>We thank the United States Antarctic Program, Raytheon Polar Services, Antarctic Support Contract, Kenn Borek Air, the New York Air National Guard, and the United States Air Force for continued logistical support; Ellie Mango, Julie Mueller, and Cat Hickman for critical field support; the University of Nebraska Lincoln hot water drill team for enabling access to SLM; the Oregon State University Marine and Geology Repository, and in particular Val Stanley, for impeccable core curation and access; the National Ocean Science Accelerator Mass Spectrometry (NOSAMS) laboratory, and in particular Mark Kurz, Mark Roberts, Li Xu, Josh Burton for support and assistance to R.A.V. during the NOSAMS internship (supported by NSF OCE-1755125); Alan Gagnon and James Broda for core design and assistance in the field; Ethan Goddard for his expertise and assistance analyzing low-carbon samples; and the development team for PyGMT, a Python wrapper of GMT6 (Wessel et al., 2019) that we used to generate Figure 1. This manuscript benefitted from discussions with Robert Byrne, Lauren Toth, Sierra Petersen, Carey Schafer, and Theresa King. This work was supported by NSF through awards OPP-1543347, 1543441, 1543405, 1543537, 1543396, 1327315 and the Marie Sklodowska-Curie Actions Fellowship Grant 793962. A full list of SALSA Science team members and their affiliations is available in Supporting Information S1.</t>
  </si>
  <si>
    <t>2576-604X</t>
  </si>
  <si>
    <t>AGU ADV</t>
  </si>
  <si>
    <t>AGU Adv.</t>
  </si>
  <si>
    <t>e2022AV000846</t>
  </si>
  <si>
    <t>10.1029/2022AV000846</t>
  </si>
  <si>
    <t>H6ZM3</t>
  </si>
  <si>
    <t>WOS:000997420400001</t>
  </si>
  <si>
    <t>Barrell, C; Renfrew, IA; King, JC; Abel, SJ; Elvidge, AD</t>
  </si>
  <si>
    <t>Barrell, Christopher; Renfrew, Ian A.; King, John C.; Abel, Steven J.; Elvidge, Andrew D.</t>
  </si>
  <si>
    <t>Projected Changes to Wintertime Air-Sea Turbulent Heat Fluxes Over the Subpolar North Atlantic Ocean</t>
  </si>
  <si>
    <t>EARTHS FUTURE</t>
  </si>
  <si>
    <t>subpolar north Atlantic Ocean; air-sea interaction; sea-ice retreat; climate change</t>
  </si>
  <si>
    <t>MARGINAL-ICE-ZONE; HORIZONTAL RESOLUTION; EXPERIMENTAL-DESIGN; MODEL; SIMULATIONS; VARIABILITY; CIRCULATION; SENSITIVITY; GREENLAND; HIERARCHY</t>
  </si>
  <si>
    <t>In wintertime over the subpolar North Atlantic Ocean (SPNA), the strongest surface sensible and latent heat fluxes typically occur just downstream of the sea-ice edge. The recent retreat in Arctic wintertime sea ice is changing the distribution of these turbulent heat fluxes, with consequences for the formation of the dense waters that feed into the Atlantic Meridional Overturning Circulation. Projections of turbulent heat flux over the SPNA are investigated using output from the HadGEM3-GC3.1 climate model, produced as part of the sixth phase of the Coupled Model Inter-Comparison Project. Comparison of two model resolutions (MM: 60 km atmosphere-1/4 degrees ocean and HH: 25 km-1/12 degrees) shows that the HH configuration more accurately simulates historic sea ice and turbulent heat flux distributions. The MM configuration tends to produce too much sea ice in the SPNA, affecting the turbulent heat flux distribution; however, it displays improved performance during winters with less sea ice, increasing confidence in future projections when less sea ice is predicted. Future projections are presented for low (SSP1-2.6) and high (SSP5-8.5) emissions pathways. The simulations agree in predicting that, with climate change, the SPNA will see reductions in wintertime sea ice and air-sea turbulent fluxes later in the 21st century, particularly in the Labrador and Irminger Seas and the interior of the Nordic Seas, and a notable reduction in their decadal variability. These effects are more severe under the SSP5-8.5 pathway. The implications for SPNA ocean circulation are discussed. Plain Language Summary In winter over the subpolar North Atlantic Ocean a large amount of heat is transferred from the ocean to the air just off the sea ice. This heat loss drives water mass changes in the ocean, which, in turn, helps drive global ocean circulation. The subpolar North Atlantic is rapidly warming due to fossil fuel emissions, resulting in a large reduction of sea ice that may further impact global climate. We look at predictions of future sea ice loss and its effects on air-sea heat exchange using some of the latest climate simulations that represent the atmosphere and the ocean at high spatial resolution. These simulations do reasonably well at reproducing the historic climate of the region, so we have some confidence that they are suitable for making predictions of future conditions. We investigate future projections for low and high emissions scenarios, finding that ocean heat loss to the atmosphere will reduce, particularly in the Labrador, Irminger and interior of the Nordic Seas, and by a greater amount under the high emissions scenario. How this could affect the ocean is discussed.</t>
  </si>
  <si>
    <t>[Barrell, Christopher; Renfrew, Ian A.; Elvidge, Andrew D.] Univ East Anglia, Sch Environm Sci, Norwich, England; [King, John C.] British Antarctic Survey, Cambridge, England; [Abel, Steven J.] Met Off, Exeter, England</t>
  </si>
  <si>
    <t>University of East Anglia; UK Research &amp; Innovation (UKRI); Natural Environment Research Council (NERC); NERC British Antarctic Survey; Met Office - UK</t>
  </si>
  <si>
    <t>Barrell, C (corresponding author), Univ East Anglia, Sch Environm Sci, Norwich, England.</t>
  </si>
  <si>
    <t>c.barrell@uea.ac.uk</t>
  </si>
  <si>
    <t>Renfrew, Ian A/E-4057-2010; Abel, Steven J/H-4880-2012</t>
  </si>
  <si>
    <t>Barrell, Chris/0000-0002-0494-9884; Abel, Steven/0000-0002-1330-4199; Elvidge, Andrew/0000-0002-7099-902X; King, John/0000-0003-3315-7568</t>
  </si>
  <si>
    <t>Natural Environmental Research Council (NERC) [NE/N009754/1]; NERC via the EnvEast DTP [NE/L002582/1]; NERC; NERC [NE/N009754/1] Funding Source: UKRI</t>
  </si>
  <si>
    <t>Natural Environmental Research Council (NERC)(UK Research &amp; Innovation (UKRI)Natural Environment Research Council (NERC)); NERC via the EnvEast DTP; NERC(UK Research &amp; Innovation (UKRI)Natural Environment Research Council (NERC)); NERC(UK Research &amp; Innovation (UKRI)Natural Environment Research Council (NERC))</t>
  </si>
  <si>
    <t>This study was part of the Iceland Greenland Seas Project, supported by the Natural Environmental Research Council (NERC) AFIS Grant (NE/N009754/1). This work was also supported by NERC via the EnvEast DTP (Grant NE/L002582/1). The authors acknowledge the UK Met Office Hadley Centre modelling group and others who contributed to the HadGEM3-GC3.1 climate model, supported by NERC. Model data was accessed from the Centre for Environmental Data Analysis (CEDA) using the JASMIN supercomputing service (https://www.jasmin.ac.uk). The authors also acknowledge the European Centre for Medium-Range Weather Forecasts (ECMWF) for providing the ERA5 reanalysis data set. We'd like to thank the reviewers for comments that have improved the final paper.</t>
  </si>
  <si>
    <t>2328-4277</t>
  </si>
  <si>
    <t>Earth Future</t>
  </si>
  <si>
    <t>e2022EF003337</t>
  </si>
  <si>
    <t>10.1029/2022EF003337</t>
  </si>
  <si>
    <t>I0MA1</t>
  </si>
  <si>
    <t>WOS:000999789700001</t>
  </si>
  <si>
    <t>Auger, M; Sallée, JB; Thompson, AF; Pauthenet, E; Prandi, P</t>
  </si>
  <si>
    <t>Auger, Matthis; Sallee, Jean-Baptiste; Thompson, Andrew F.; Pauthenet, Etienne; Prandi, Pierre</t>
  </si>
  <si>
    <t>Southern Ocean Ice-Covered Eddy Properties From Satellite Altimetry</t>
  </si>
  <si>
    <t>ARCTIC-OCEAN; MESOSCALE EDDIES; CANADA BASIN; SEA; TRANSPORT; VARIABILITY; CIRCULATION; MODEL; CLIMATE; TRACER</t>
  </si>
  <si>
    <t>We investigate statistical properties of surface currents as well as coherent mesoscale eddies in the seasonally ice-covered Southern Ocean. Based on a recent regional Sea Level Anomaly satellite altimetry data set, we compute Eddy Kinetic Energy (EKE) and detect mesoscale eddies. EKE is about one order of magnitude higher in the northern sector of the subpolar basin and over the continental slope, as compared to the middle of the subpolar gyres. An eddy detection methodology reveals that eddies are distributed evenly in the subpolar Southern Ocean, and their amplitude follows the spatial pattern of EKE. In addition to regional circulation variations, sea ice concentration arises as an important driver of eddy properties. Eddies have low amplitude and density in the pack ice, in particular in the middle of the gyres where the background circulation is unfavorable for instabilities. In contrast, the northern part of the Marginal Ice Zone is favorable for mesoscale eddies, especially cyclonic. There, eddies are stronger and their density is higher than in any other region of the ice-covered or ice-free subpolar Southern Ocean. This region is expected to be a site of frontogenesis due to sea ice melt and upwelling generated from interactions between the wind and the sea ice. While many mesoscale eddies will fall below detection level due to the small Rossby radius at high latitudes, these results contribute to understanding the interactions between mesoscale eddies, sea ice, and the background circulation in the subpolar region.</t>
  </si>
  <si>
    <t>[Auger, Matthis] Univ Tasmania, Inst Marine &amp; Antarctic Studies, Hobart, Australia; [Auger, Matthis] Univ Tasmania, Australian Ctr Excellence Antarctic Sci, Hobart, Tas, Australia; [Auger, Matthis; Sallee, Jean-Baptiste; Pauthenet, Etienne] Sorbonne Univ, CNRS, LOCEAN, Paris, France; [Thompson, Andrew F.] CALTECH, Environm Sci &amp; Engn, Pasadena, CA USA; [Pauthenet, Etienne] Univ Brest, Lab Oceanog Phys &amp; Spatiale LOPS, Ifremer, CNRS,IRD,IUEM, Plouzane, France; [Prandi, Pierre] Collecte Localisat Satell, Toulouse, France</t>
  </si>
  <si>
    <t>University of Tasmania; University of Tasmania; Centre National de la Recherche Scientifique (CNRS); Museum National d'Histoire Naturelle (MNHN); Sorbonne Universite; California Institute of Technology; Centre National de la Recherche Scientifique (CNRS); Universite de Bretagne Occidentale; Institut Universitaire Europeen de la Mer (IUEM); Ifremer; Institut de Recherche pour le Developpement (IRD)</t>
  </si>
  <si>
    <t>Auger, M (corresponding author), Univ Tasmania, Inst Marine &amp; Antarctic Studies, Hobart, Australia.;Auger, M (corresponding author), Univ Tasmania, Australian Ctr Excellence Antarctic Sci, Hobart, Tas, Australia.;Auger, M (corresponding author), Sorbonne Univ, CNRS, LOCEAN, Paris, France.</t>
  </si>
  <si>
    <t>matthis.auger@utas.edu.au</t>
  </si>
  <si>
    <t>SALLEE, Jean baptiste/HDO-5355-2022</t>
  </si>
  <si>
    <t>Auger, Matthis/0000-0001-6228-5732; Pauthenet, Etienne/0000-0002-0531-3810</t>
  </si>
  <si>
    <t>European Union; CNES/CLS scholarship; [821001]</t>
  </si>
  <si>
    <t>European Union(European Union (EU)); CNES/CLS scholarship;</t>
  </si>
  <si>
    <t>M.A. and J.-B.S. have received funding from the European Union's Horizon 2020 research and innovation program under grant agreement No821001. M.A. was funded through a CNES/CLS scholarship.</t>
  </si>
  <si>
    <t>e2022JC019363</t>
  </si>
  <si>
    <t>10.1029/2022JC019363</t>
  </si>
  <si>
    <t>I1DH0</t>
  </si>
  <si>
    <t>WOS:001000242700001</t>
  </si>
  <si>
    <t>Zhao, ZM; Ji, WH; Fu, CF</t>
  </si>
  <si>
    <t>Zhao, Zhenming; Ji, Wenhua; Fu, Chaofeng</t>
  </si>
  <si>
    <t>A Middle Pleistocene Glaciation Record from Lacustrine Sediments in the Western Tibetan Plateau and Discussion on Climate Change</t>
  </si>
  <si>
    <t>ACTA GEOLOGICA SINICA-ENGLISH EDITION</t>
  </si>
  <si>
    <t>glacial record; global climate change; geomagnetic polarity reversal; middle Pleistocene; western Tibetan Plateau</t>
  </si>
  <si>
    <t>NORTH PACIFIC; VEGETATION; OBLIQUITY; DESERT</t>
  </si>
  <si>
    <t>The Tibetan Plateau is an important area for studying global climate change, but the answers to many scientific problems remain unknown. Here, we present new information from the lacustrine sedimentary record in the western Tibetan Plateau, related to the third most-recent glaciations. Continuous sediment data, including sporopollen, particle size, total organic carbon, mass susceptibility, CaCO3, CaSO4, BaSO4 contents and chronological data, were reconstructed and revealed that climate and environmental conditions obviously and distinctly changed between 600 and 700 thousand years ago. In comparison, the data obtained from the Guliya ice core in this area also corresponds to the global glacial climatic characteristics recorded in basin sediments in the eastern and southeastern regions of the plateau and to the information obtained from ice cores in the Antarctic and Arctic regions. In this study, we conclude that the main reason for the glaciations and new tectonic movement must be a geomagnetic polarity reversal 774 thousand years ago (from Matuyama to Brunhes). Indeed, the results of this study suggest that the described reversal event might have influenced the current global climate pattern and will continue to impact climatic changes in the future.</t>
  </si>
  <si>
    <t>[Zhao, Zhenming; Ji, Wenhua] China Geol Survey, Xian Ctr, Xian 710054, Peoples R China; [Fu, Chaofeng] Minist Educ China, Key Lab Western Mineral Resources &amp; Geol Engn, Xian, Peoples R China; [Fu, Chaofeng] Changan Univ, Xian 710054, Peoples R China; [Fu, Chaofeng] Chinese Acad Sci, Inst Earth &amp; Environm, State Key Lab Loess &amp; Quaternary Geol, Xian 710075, Peoples R China</t>
  </si>
  <si>
    <t>China Geological Survey; Xi'an Center, China Geological Survey; Chang'an University; Chinese Academy of Sciences; Institute of Earth Environment, CAS</t>
  </si>
  <si>
    <t>Zhao, ZM (corresponding author), China Geol Survey, Xian Ctr, Xian 710054, Peoples R China.</t>
  </si>
  <si>
    <t>xazzhenming@163.com</t>
  </si>
  <si>
    <t>Zhao, Zhenming/0000-0001-5666-9123</t>
  </si>
  <si>
    <t>China Geological Survey [1212010610102, DD20190065]</t>
  </si>
  <si>
    <t>China Geological Survey(China Geological Survey)</t>
  </si>
  <si>
    <t>This work was supported by grants from the China Geological Survey (Grant Nos. 1212010610102, DD20190065). The authors would like to thank Prof. Tong Guobang for sporopollen analysis, Dr. Xu Yong for particle size testing, Wang Feng for drawing the draft of sporopollen diagram using Tilia software and Prof. Yin Gongming for analysis and testing ESR ages, providing the whole experimental data and the explanation of the experimental process. In addition, we are thankful to the two reviewers for their very useful comments and suggestions, as well as the editors for their hard work on this article.</t>
  </si>
  <si>
    <t>1000-9515</t>
  </si>
  <si>
    <t>1755-6724</t>
  </si>
  <si>
    <t>ACTA GEOL SIN-ENGL</t>
  </si>
  <si>
    <t>Acta Geol. Sin.-Engl. Ed.</t>
  </si>
  <si>
    <t>10.1111/1755-6724.15000</t>
  </si>
  <si>
    <t>F1SY8</t>
  </si>
  <si>
    <t>WOS:000980227400017</t>
  </si>
  <si>
    <t>Kerry, C; Roughan, M; De Souza, J</t>
  </si>
  <si>
    <t>Kerry, Colette; Roughan, Moninya; De Souza, Joao</t>
  </si>
  <si>
    <t>Characterizing the Variability of Boundary Currents and Ocean Heat Content Around New Zealand Using a Multi-Decadal High-Resolution Regional Ocean Model</t>
  </si>
  <si>
    <t>New Zealand; boundary currents; mesoscale eddies; interannual variability; intraannual variability; ocean heat content</t>
  </si>
  <si>
    <t>EAST AUSTRALIAN CURRENT; SUBTROPICAL FRONT; AUCKLAND CURRENT; SOUTHLAND CURRENT; PACIFIC-OCEAN; COOK STRAIT; WEST-COAST; PHYSICAL OCEANOGRAPHY; SOUTHWEST PACIFIC; MERNOO SADDLE</t>
  </si>
  <si>
    <t>New Zealand is located in the southwest Pacific Ocean and is surrounded by a complex system of boundary currents that vary on a variety of time scales, with important impacts on weather, primary productivity, and fisheries. While various observational and modeling studies have shed light on many of the characteristics of New Zealand's ocean circulation, this study provides a comprehensive, quantitative, seamless, 3-dimensional characterization of the region's boundary current circulation and ocean heat content. We use a 28 yr long hydrodynamic model simulation that accurately represents the mean and variability of the ocean circulation to characterize and quantify the temporal and spatial variability across the region. We show that low-frequency variability in boundary current transport and upper ocean heat content are correlated over the entire New Zealand oceanic region. Oceanic eddies dominate heat content variability at intra-annual scales in the northeast of the region, while on the west and southeast coasts heat content varies predominantly at interannual scales controlled by large-scale changes in the subtropical and sub-Antarctic fronts. The model shows a significant downstream strengthening and deepening of the boundary currents off northeast New Zealand which, if confirmed by observations, could suggest a significant new understanding of this Western Boundary Current system. This study presents a region-wide characterization of the temporal and spatial variability of ocean currents and heat content, and their interconnections, providing a vital basis for understanding climate change impacts and the increasing occurrence of marine heatwaves.</t>
  </si>
  <si>
    <t>[Kerry, Colette; Roughan, Moninya] UNSW Australia, Sch Biol Earth &amp; Environm Sci, Coastal &amp; Reg Oceanog Lab, Sydney, NSW, Australia; [De Souza, Joao] MetOcean Solut, Div Meteorol Serv New Zealand, Raglan, New Zealand</t>
  </si>
  <si>
    <t>University of New South Wales Sydney</t>
  </si>
  <si>
    <t>Kerry, C (corresponding author), UNSW Australia, Sch Biol Earth &amp; Environm Sci, Coastal &amp; Reg Oceanog Lab, Sydney, NSW, Australia.</t>
  </si>
  <si>
    <t>c.kerry@unsw.edu.au</t>
  </si>
  <si>
    <t>; Roughan, Moninya/B-5563-2009</t>
  </si>
  <si>
    <t>Kerry, Colette/0000-0001-5321-2611; Azevedo Correia de Souza, Joao Marcos/0000-0001-7745-157X; Roughan, Moninya/0000-0003-3825-7533</t>
  </si>
  <si>
    <t>Moana Project - New Zealand Ministry of Business Innovation and Employment [METO1801]</t>
  </si>
  <si>
    <t>Moana Project - New Zealand Ministry of Business Innovation and Employment(New Zealand Ministry of Business, Innovation and Employment (MBIE))</t>
  </si>
  <si>
    <t>This research and C.K. were supported by the Moana Project (www.moanaproject.org) funded by the New Zealand Ministry of Business Innovation and Employment, contract number METO1801 to M.R. Open access publishing facilitated by University of New South Wales, as part of the Wiley -University of New South Wales agreement via the Council of Australian University Librarians.</t>
  </si>
  <si>
    <t>e2022JC018624</t>
  </si>
  <si>
    <t>10.1029/2022JC018624</t>
  </si>
  <si>
    <t>I1DG9</t>
  </si>
  <si>
    <t>WOS:001000242600001</t>
  </si>
  <si>
    <t>Tarakanov, RY</t>
  </si>
  <si>
    <t>Tarakanov, R. Yu.</t>
  </si>
  <si>
    <t>Seasonal Meridional Shift of the Jet Structure of the Antarctic Circumpolar Current South of Africa</t>
  </si>
  <si>
    <t>OCEANOLOGY</t>
  </si>
  <si>
    <t>dynamic topography; satellite altimetry; jets; Antarctic Circumpolar Current</t>
  </si>
  <si>
    <t>DRAKE PASSAGE; SECTION</t>
  </si>
  <si>
    <t>-The paper describes a method for analyzing the seasonal variability of the structure of the gradient field of the absolute dynamic topography (ADT) based on satellite altimetry data. This structure is understood as alternation in the meridional direction of zones of increased values of the ADT gradient modulus and zones of their lower values, i.e. jets and inter-jet gaps. The technique uses linear and harmonic regression analyses and makes it possible to calculate the amplitudes and phases of stationary harmonic oscillations that approximate seasonal variations in the meridional shift of the structure of the ADT gradient field and in the absolute values of the ADT gradient, as well as to estimate the calculation error. This technique was used to perform corresponding calculations for the Antarctic Circumpolar Current (ACC) band south of Africa (from 10 degrees W to 25 degrees E). In particular, the amplitude of the seasonal variations of the meridional shift of the ADT gradient field for the ACC as a whole was 0.009 +/- 0.013 degrees of latitude with a maximum northward shift in December. At the same time, there are zones within the ACC band where this amplitude reaches 0.12 degrees, 0.16 degrees, and 0.28 degrees of latitude. The amplitude of the variations of the shift of the indicated field with respect to the scale of the ADT itself within the ACC band at different scale values is 0.6-2.5 cm. It is shown that this variations are mainly due to the seasonal variability of the ADT at geographic points. The amplitude of the seasonal variations of the ADT gradient modulus both in latitude and in relation the ADT scale increases from 1 x 10(-3) cm/km in the central part of the ACC to 6-7 x 10(-3) cm/km at the southern and northern peripheries.</t>
  </si>
  <si>
    <t>[Tarakanov, R. Yu.] Russian Acad Sci, Shirshov Inst Oceanol, Nakhimovskii Pr 36, Moscow, Russia</t>
  </si>
  <si>
    <t>Russian Academy of Sciences; Shirshov Institute of Oceanology</t>
  </si>
  <si>
    <t>Tarakanov, RY (corresponding author), Russian Acad Sci, Shirshov Inst Oceanol, Nakhimovskii Pr 36, Moscow, Russia.</t>
  </si>
  <si>
    <t>rtarakanov@gmail.com</t>
  </si>
  <si>
    <t>0001-4370</t>
  </si>
  <si>
    <t>1531-8508</t>
  </si>
  <si>
    <t>OCEANOLOGY+</t>
  </si>
  <si>
    <t>Oceanology</t>
  </si>
  <si>
    <t>10.1134/S0001437023010150</t>
  </si>
  <si>
    <t>H4GJ2</t>
  </si>
  <si>
    <t>WOS:000995562400002</t>
  </si>
  <si>
    <t>Morozov, EG; Zavialov, PO; Frey, DI</t>
  </si>
  <si>
    <t>Morozov, E. G.; Zavialov, P. O.; Frey, D. I.</t>
  </si>
  <si>
    <t>Hydrophysical Research in the Tropical Atlantic (Cruise 52 of the R/V Akademik Boris Petrov)</t>
  </si>
  <si>
    <t>Antarctic Bottom Water; Vema Fracture Zone; Amazon plume; BRICS</t>
  </si>
  <si>
    <t>Field research has been carried out to study the flow of Antarctic Bottom Water along the entire length of the Vema Fracture Zone in the tropical part of the North Mid-Atlantic Ridge. Russian-Brazilian field studies were carried out in the largest river plume of the World Ocean, in the region of the Amazon River mouth on the northern shelf of Brazil. The expedition was an important step in the development of international scientific cooperation between BRICS countries: Russia and Brazil.</t>
  </si>
  <si>
    <t>[Morozov, E. G.; Zavialov, P. O.; Frey, D. I.] Russian Acad Sci, Shirshov Inst Oceanol, Moscow, Russia</t>
  </si>
  <si>
    <t>Morozov, EG (corresponding author), Russian Acad Sci, Shirshov Inst Oceanol, Moscow, Russia.</t>
  </si>
  <si>
    <t>egmorozov@mail.ru</t>
  </si>
  <si>
    <t>Morozov, Eugene G/L-3023-2018</t>
  </si>
  <si>
    <t>Russian Science Foundation [21-77-20 004]</t>
  </si>
  <si>
    <t>The study was supported by the Russian Science Foundation (grant no. 21-77-20 004).</t>
  </si>
  <si>
    <t>10.1134/S0001437023020091</t>
  </si>
  <si>
    <t>WOS:000995562400013</t>
  </si>
  <si>
    <t>Qian, YF; Humphries, GRW; Trathan, PN; Lowther, A; Donovan, CR</t>
  </si>
  <si>
    <t>Qian, Yifei; Humphries, Grant R. W.; Trathan, Philip N. N.; Lowther, Andrew; Donovan, Carl R. R.</t>
  </si>
  <si>
    <t>Counting animals in aerial images with a density map estimation model</t>
  </si>
  <si>
    <t>ECOLOGY AND EVOLUTION</t>
  </si>
  <si>
    <t>abundance estimation; density map estimation; image processing; machine learning</t>
  </si>
  <si>
    <t>PHOTOGRAPHY; WILDLIFE</t>
  </si>
  <si>
    <t>Animal abundance estimation is increasingly based on drone or aerial survey photography. Manual postprocessing has been used extensively; however, volumes of such data are increasing, necessitating some level of automation, either for complete counting, or as a labour-saving tool. Any automated processing can be challenging when using such tools on species that nest in close formation such as Pygoscelis penguins. We present here a customized CNN-based density map estimation method for counting of penguins from low-resolution aerial photography. Our model, an indirect regression algorithm, performed significantly better in terms of counting accuracy than standard detection algorithm (Faster-RCNN) when counting small objects from low-resolution images and gave an error rate of only 0.8 percent. Density map estimation methods as demonstrated here can vastly improve our ability to count animals in tight aggregations and demonstrably improve monitoring efforts from aerial imagery.</t>
  </si>
  <si>
    <t>[Qian, Yifei; Donovan, Carl R. R.] Univ St Andrews, Sch Math &amp; Stat, St Andrews KY16 9AJ, Fife, Scotland; [Humphries, Grant R. W.] HiDef Aerial Surveying Ltd, Dobies Business Pk, Lillyhall CA14 4HX, Cumbria, England; [Trathan, Philip N. N.] British Antarctic Survey, Madingley Rd, Cambridge CB3 0ET, England; [Trathan, Philip N. N.] Univ Southampton, Natl Oceanog Ctr Southampton, Ocean &amp; Earth Sci, Univ Rd, Southampton SO17 1BJ, England; [Lowther, Andrew] Framsenteret, Norwegian Polar Inst, Stakkevollan, Postboks 6606, N-9296 Tromso, Norway</t>
  </si>
  <si>
    <t>University of St Andrews; UK Research &amp; Innovation (UKRI); Natural Environment Research Council (NERC); NERC British Antarctic Survey; University of Southampton; NERC National Oceanography Centre; Norwegian Polar Institute</t>
  </si>
  <si>
    <t>Lowther, A (corresponding author), Framsenteret, Norwegian Polar Inst, Stakkevollan, Postboks 6606, N-9296 Tromso, Norway.</t>
  </si>
  <si>
    <t>yq1@st-andrews.ac.uk</t>
  </si>
  <si>
    <t>Donovan, Carl/0000-0002-1465-5193</t>
  </si>
  <si>
    <t>World Wildlife Fund [GB095701]</t>
  </si>
  <si>
    <t>World Wildlife Fund</t>
  </si>
  <si>
    <t>World Wildlife Fund, Grant/Award Number: GB095701</t>
  </si>
  <si>
    <t>2045-7758</t>
  </si>
  <si>
    <t>ECOL EVOL</t>
  </si>
  <si>
    <t>Ecol. Evol.</t>
  </si>
  <si>
    <t>e9903</t>
  </si>
  <si>
    <t>10.1002/ece3.9903</t>
  </si>
  <si>
    <t>Ecology; Evolutionary Biology</t>
  </si>
  <si>
    <t>Environmental Sciences &amp; Ecology; Evolutionary Biology</t>
  </si>
  <si>
    <t>C9KW8</t>
  </si>
  <si>
    <t>gold, Green Published, Green Accepted</t>
  </si>
  <si>
    <t>WOS:000965034400001</t>
  </si>
  <si>
    <t>Kurazhkovskaya, NA; Klain, BI</t>
  </si>
  <si>
    <t>Kurazhkovskaya, N. A.; Klain, B. I.</t>
  </si>
  <si>
    <t>Features of the Behavior of SE-Type Emission during a Substorm</t>
  </si>
  <si>
    <t>GEOMAGNETISM AND AERONOMY</t>
  </si>
  <si>
    <t>SERPENTINE-EMISSION; FREQUENCY-MODULATION; PULSATIONS</t>
  </si>
  <si>
    <t>A study was made of simultaneous observations of ultra-low-frequency oscillations in the 0.1-5.0 Hz frequency range of the serpentine emissions type (Serpentine Emissions, SE) observed at the polar cap region and disturbances in the auroral zone. The unique analog magnetic records of the Vostok Antarctic Observatory (corrected geomagnetic coordinates phi' = -85.41 degrees, ?' = 69.01 degrees) have been digitized with a high resolution (20 Hz) and are freely available on the website of the World Data Center for Solar-Terrestrial Physics, Moscow. For 1966 (November and December), 1968 (March-July), and 1970-1972, 1973 (January-March) the behavior of serpentine emissions was analyzed during the development of 180 isolated substorms identified by variation in AL index. An interruption in the mode of generation of serpentine emissions in the region of the polar cap was found during the active phase of intense isolated substorms (with a maximum magnitude of the AE index of similar to 500-600 nT). During the expansion phase of the substorms, broadband noise electromagnetic emission appears with a sharp leading edge in the Pc1-2 range and is also recorded in the polar cap. Noise emission has a sharp leading edge and occurs approximately 2 hours after reorientation of the Bz-components of the interplanetary magnetic field (IMF) from north to south. The time of the interruption of SE coincides with the beginning this emission and moment of achievement Bz-component of maximum negative IMF values. Interruption of the SE effect is observed against the background of relatively stable other geoeffective parameters of the solar wind and IMF. The average duration of the interruption of emissions is similar to 3 hours. Indirect confirmation of the impact of substorm activity on the SE generation regime is found in the coincidence of the patterns of daily and seasonal variation of SE interruption intervals and the probability of observing substorms. Due to the fact that noise emission occurs during the active phase of isolated substorms and similar to 2 hours after reorientation of the Bz-components of the IMF in the solar wind, there is reason to believe that it is associated with plasma flows directed towards the Earth from the magnetotail. Apparently, the energy of plasma flows during the active phase of a substorm stimulates the appearance of noise emission, thus interrupting SE.</t>
  </si>
  <si>
    <t>[Kurazhkovskaya, N. A.; Klain, B. I.] Russian Acad Sci, Branch Schmidt Inst Phys Earth, Borok Geophys Observ, GO Borok IPE RAS, Borok 152742, Yaroslavl Oblas, Russia</t>
  </si>
  <si>
    <t>Russian Academy of Sciences; Schmidt Institute of Physics of the Earth of the Russian Academy of Sciences</t>
  </si>
  <si>
    <t>Kurazhkovskaya, NA (corresponding author), Russian Acad Sci, Branch Schmidt Inst Phys Earth, Borok Geophys Observ, GO Borok IPE RAS, Borok 152742, Yaroslavl Oblas, Russia.</t>
  </si>
  <si>
    <t>knady@borok.yar.ru; klain@borok.yar.ru</t>
  </si>
  <si>
    <t>Borok Geophysical Observatory IPE RAS</t>
  </si>
  <si>
    <t>The work was supported by the framework of the State task of the Borok Geophysical Observatory IPE RAS.</t>
  </si>
  <si>
    <t>MAIK NAUKA/INTERPERIODICA/SPRINGER</t>
  </si>
  <si>
    <t>233 SPRING ST, NEW YORK, NY 10013-1578 USA</t>
  </si>
  <si>
    <t>0016-7932</t>
  </si>
  <si>
    <t>1555-645X</t>
  </si>
  <si>
    <t>GEOMAGN AERONOMY+</t>
  </si>
  <si>
    <t>Geomagn. Aeron.</t>
  </si>
  <si>
    <t>10.1134/S0016793222600849</t>
  </si>
  <si>
    <t>H0GF9</t>
  </si>
  <si>
    <t>WOS:000992827600004</t>
  </si>
  <si>
    <t>Zalesny, VB</t>
  </si>
  <si>
    <t>Zalesny, V. B.</t>
  </si>
  <si>
    <t>Two-Layer Ocean Circulation Model with Variational Control of Turbulent Viscosity Coefficient</t>
  </si>
  <si>
    <t>IZVESTIYA ATMOSPHERIC AND OCEANIC PHYSICS</t>
  </si>
  <si>
    <t>quasi-geostrophic potential vorticity; two-layer ocean model; variational algorithm; turbulent viscosity coefficient</t>
  </si>
  <si>
    <t>DATA ASSIMILATION; PART I; FLOW</t>
  </si>
  <si>
    <t>The development of a variational method for solving the problem of quasi-geostrophic dynamics in a two-layer periodic channel is considered. The development of the method is as follows. First, the formulation of the variational problem is generalized: the turbulent exchange coefficient of a quasi-geostrophic potential vorticity (QGPV) is included in the control vector. Second, the solution area more accurately describes the size of the Antarctic Circumpolar Current (ACC). Using the selection of linear meridional transport and the expansion of the solution in a Fourier series, the problem is reduced to a nonlinear system of ordinary differential equations (ODEs) in time. The doubly connected domain leads to the fact that the solution of the ODE must satisfy an additional stationary relation that determines the transport of the ACC. The variational algorithm is reduced to solving a system of forward and adjoint equations minimizing the mean squared error of the stationary relation. The QGPV turbulent exchange coefficient is determined in the process of solving the optimal problem. The numerical runs are carried out for a periodic channel simulating the water area of the ACC in the Southern Ocean. The characteristics of stationary current regimes are studied for different values of the model parameters. Sinusoidal circulation in both layers with a linear transfer with the wind, depending on the bottom topography, is typical. In some cases, under the sinusoidal, in the lower layer, a cellular circulation is formed, and sometimes an undercurrent occurs. In this case, the solution of the optimal problem is characterized by a low value of the turbulent viscosity coefficient and a low transport in the lower layer.</t>
  </si>
  <si>
    <t>[Zalesny, V. B.] Russian Acad Sci, Marchuk Inst Numer Math, Moscow 119333, Russia</t>
  </si>
  <si>
    <t>Russian Academy of Sciences</t>
  </si>
  <si>
    <t>Zalesny, VB (corresponding author), Russian Acad Sci, Marchuk Inst Numer Math, Moscow 119333, Russia.</t>
  </si>
  <si>
    <t>vzalesny@yandex.ru</t>
  </si>
  <si>
    <t>Russian Science Foundation [20-11-20057]</t>
  </si>
  <si>
    <t>This work was supported by the Russian Science Foundation, grant no. 20-11-20057,</t>
  </si>
  <si>
    <t>0001-4338</t>
  </si>
  <si>
    <t>1555-628X</t>
  </si>
  <si>
    <t>IZV ATMOS OCEAN PHY+</t>
  </si>
  <si>
    <t>Izv. Atmos. Ocean. Phys.</t>
  </si>
  <si>
    <t>10.1134/S000143382302010X</t>
  </si>
  <si>
    <t>G0MQ1</t>
  </si>
  <si>
    <t>WOS:000986202700007</t>
  </si>
  <si>
    <t>Galochkina, M; Makarova, M; Miller, KG; Browning, J; Keating, RS; Wright, JD</t>
  </si>
  <si>
    <t>Galochkina, Mariya; Makarova, Maria; Miller, Kenneth G.; V. Browning, James; Keating, Ronan S.; Wright, James D.</t>
  </si>
  <si>
    <t>MULTISPECIES PLANKTONIC AND BENTHIC FORAMINIFERAL STABLE ISOTOPES FROM NORTH ATLANTIC SUBTROPICAL SITE 558: THERMOCLINE INTENSIFICATION DURING THE MID-MIOCENE CLIMATE TRANSITION</t>
  </si>
  <si>
    <t>JOURNAL OF FORAMINIFERAL RESEARCH</t>
  </si>
  <si>
    <t>DEEP-WATER CIRCULATION; EVOLUTION; CARBON; STRATIGRAPHY; OLIGOCENE; IMPACT; PCO(2); ONSET; PART</t>
  </si>
  <si>
    <t>We reconstruct the subtropical North Atlantic water column structure during the Miocene Climate Optimum warming (MCO; 17-14.8 Ma) and the Middle Miocene Climate Transition cooling (MMCT; 14.8-12.8 Ma) by analyzing delta O-18 and delta C-13 in four species of foraminifera (surface dwellers Dentoglobigerina altispira and Trilobatus quadrilobatus, thermo-cline dweller Dentoglobigerina venezuelana, and benthic Plan-ulina wuellerstorfi) from Site 558 (37.8 degrees N). At the end of the MCO, delta O-18 of surface and thermocline dwellers increased by &gt;1%0, suggesting at least 2 degrees C cooling in the upper ocean as ice growth increased global delta O-18(sw) by similar to 0.5%0. The difference in delta O-18 values between thermocline and surface-dwelling species increased during the MMCT, coinciding with the development of a largely permanent East Antarctic Ice Sheet, and persisted into the Late Miocene. We interpret this increase in vertical delta O-18 gradient as a strengthening of the thermocline due to in-tensification of subtropical gyre circulation in response to the MMCT cooling.</t>
  </si>
  <si>
    <t>[Galochkina, Mariya; Makarova, Maria; Miller, Kenneth G.; V. Browning, James; Keating, Ronan S.; Wright, James D.] Rutgers State Univ, Dept Earth &amp; Planetary Sci, 610 Taylor Rd, Piscataway, NJ 08854 USA; [Galochkina, Mariya] WHOI Joint Program Oceanog Appl Ocean Sci &amp; Engn, MIT, 77 Massachusetts Ave, Cambridge, MA 02139 USA; [Makarova, Maria] Natl Taiwan Univ, Inst Oceanog, 1, Sec-t 4, Roosevelt Rd, Taipei City 106, Taiwan</t>
  </si>
  <si>
    <t>Rutgers University System; Rutgers University New Brunswick; Massachusetts Institute of Technology (MIT); National Taiwan University</t>
  </si>
  <si>
    <t>Makarova, M (corresponding author), Rutgers State Univ, Dept Earth &amp; Planetary Sci, 610 Taylor Rd, Piscataway, NJ 08854 USA.;Makarova, M (corresponding author), Natl Taiwan Univ, Inst Oceanog, 1, Sec-t 4, Roosevelt Rd, Taipei City 106, Taiwan.</t>
  </si>
  <si>
    <t>mariamakarova@ntu.edu.tw</t>
  </si>
  <si>
    <t>NSF [OCE 16-56960]</t>
  </si>
  <si>
    <t>NSF(National Science Foundation (NSF))</t>
  </si>
  <si>
    <t>Acknowledgments This study was conducted as part of the senior honors thesis of the senior author (M.G.) and was supported by NSF grant OCE 16-56960. We thank R.A. Mortlock for help with stable isotope analyses. We thank A. Lam and A. Shevenell for thoughtful reviews. Oxygen and carbon isotope data are available for download through NCEI (https:// www.ncei.noaa.gov/access/paleo-search/study/37238) . The Appendix can be found linked to the online version of this article.</t>
  </si>
  <si>
    <t>CUSHMAN FOUNDATION FORAMINIFERAL RESEARCH</t>
  </si>
  <si>
    <t>LAWRENCE</t>
  </si>
  <si>
    <t>PO BOX 7065, LAWRENCE, KS 66044-7065 USA</t>
  </si>
  <si>
    <t>0096-1191</t>
  </si>
  <si>
    <t>J FORAMIN RES</t>
  </si>
  <si>
    <t>J. Foraminifer. Res.</t>
  </si>
  <si>
    <t>G1LU8</t>
  </si>
  <si>
    <t>WOS:000986864200006</t>
  </si>
  <si>
    <t>Robinson, SA</t>
  </si>
  <si>
    <t>Robinson, Sharon A.</t>
  </si>
  <si>
    <t>The Antarctic ozone hole, ultraviolet radiation and bushfires</t>
  </si>
  <si>
    <t>Antarctica; bushfires; climate change; climate forcing; ozone depletion; sea ice; ultraviolet-B radiation; UV-B</t>
  </si>
  <si>
    <t>[Robinson, Sharon A.] Univ Wollongong, Securing Antarcticas Environm Future, Wollongong, NSW 2522, Australia</t>
  </si>
  <si>
    <t>University of Wollongong</t>
  </si>
  <si>
    <t>Robinson, SA (corresponding author), Univ Wollongong, Securing Antarcticas Environm Future, Wollongong, NSW 2522, Australia.</t>
  </si>
  <si>
    <t>sharonr@uow.edu.au</t>
  </si>
  <si>
    <t>Robinson, Sharon/B-2683-2008</t>
  </si>
  <si>
    <t>Robinson, Sharon/0000-0002-7130-9617</t>
  </si>
  <si>
    <t>Australian Research Council SRIEAS Grant [SR200100005]; ARC [DP200100223]; Australian Research Council [DP200100223] Funding Source: Australian Research Council</t>
  </si>
  <si>
    <t>Australian Research Council SRIEAS Grant(Australian Research Council); ARC(Australian Research Council); Australian Research Council(Australian Research Council)</t>
  </si>
  <si>
    <t>This work was supported by the Australian Research Council SRIEAS Grant SR200100005 Securing Antarctica's Environmental Future and ARC Grant DP200100223. Figure 1 has been redrawn by Hao Yin from data downloaded from the NASA Ozone Watch webpage.</t>
  </si>
  <si>
    <t>10.1017/S0954102023000081</t>
  </si>
  <si>
    <t>WOS:000986799300001</t>
  </si>
  <si>
    <t>Jordan, JR; Miles, BWJ; Gudmundsson, GH; Jamieson, SSR; Jenkins, A; Stokes, CR</t>
  </si>
  <si>
    <t>Jordan, James R.; Miles, B. W. J.; Gudmundsson, G. H.; Jamieson, S. S. R.; Jenkins, A.; Stokes, C. R.</t>
  </si>
  <si>
    <t>Increased warm water intrusions could cause mass loss in East Antarctica during the next 200 years</t>
  </si>
  <si>
    <t>ICE-SHEET; SEA-LEVEL; MELT RATES; SHELF; CLIMATE; STABILITY; DISCHARGE; BALANCE; OCEAN; BASIN</t>
  </si>
  <si>
    <t>The East Antarctic Ice Sheet is currently surrounded by relatively cool water but changes in ocean dynamics may lead to warmer ocean water on the shelf in the future. This has the potential to dramatically increase its future sea level contribution. The East Antarctic Ice Sheet (EAIS) is currently surrounded by relatively cool water, but climatic shifts have the potential to increase basal melting via intrusions of warm modified Circumpolar Deep Water (mCDW) onto the continental shelf. Here we use an ice sheet model to show that under the current ocean regime, with only limited intrusions of mCDW, the EAIS will likely gain mass over the next 200 years due to the increased precipitation from a warming atmosphere outweighing increased ice discharge due to ice-shelf melting. However, if the ocean regime were to become dominated by greater mCDW intrusions, the EAIS would have a negative mass balance, contributing up to 48 mm of SLE over this time period. Our modelling finds George V Land to be particularly at risk to increased ocean induced melting. With warmer oceans, we also find that a mid range RCP4.5 emissions scenario is likely to result in a more negative mass balance than a high RCP8.5 emissions scenario, as the relative difference between increased precipitation due to a warming atmosphere and increased ice discharge due to a warming ocean is more negative in the mid range RCP4.5 emission scenario.</t>
  </si>
  <si>
    <t>[Jordan, James R.; Gudmundsson, G. H.; Jenkins, A.] Northumbria Univ, Fac Engn &amp; Environm, Dept Geog &amp; Environm Sci, Newcastle Upon Tyne, England; [Jordan, James R.] Univ Libre Bruxelles ULB, Lab Glaciol, Brussels, Belgium; [Miles, B. W. J.; Jamieson, S. S. R.; Stokes, C. R.] Univ Durham, Dept Geog, Durham DH1 3LE, England; [Miles, B. W. J.] Univ Edinburgh, Sch Geosci, Edinburgh, Scotland</t>
  </si>
  <si>
    <t>Northumbria University; Universite Libre de Bruxelles; Durham University; University of Edinburgh</t>
  </si>
  <si>
    <t>Jordan, JR (corresponding author), Northumbria Univ, Fac Engn &amp; Environm, Dept Geog &amp; Environm Sci, Newcastle Upon Tyne, England.;Jordan, JR (corresponding author), Univ Libre Bruxelles ULB, Lab Glaciol, Brussels, Belgium.</t>
  </si>
  <si>
    <t>James.Rowan.Jordan@ulb.be</t>
  </si>
  <si>
    <t>Jenkins, Adrian/IUN-2406-2023; Gudmundsson, Gudmundur Hilmar/AAU-5987-2020; Jamieson, Stewart/B-8330-2013</t>
  </si>
  <si>
    <t>Gudmundsson, Gudmundur Hilmar/0000-0003-4236-5369; Jamieson, Stewart/0000-0002-9036-2317; Jenkins, Adrian/0000-0002-9117-0616; Jordan, Jim/0000-0001-8117-1976; Miles, Bertie/0000-0002-3388-4688</t>
  </si>
  <si>
    <t>Natural Environment Research Council [NE/R000719/1]; PROTECT; European Union [869304]; Leverhulme Early Career Fellowship [ECF-2021-484]; NERC [NE/R000719/1] Funding Source: UKRI</t>
  </si>
  <si>
    <t>Natural Environment Research Council(UK Research &amp; Innovation (UKRI)Natural Environment Research Council (NERC)); PROTECT; European Union(European Union (EU)); Leverhulme Early Career Fellowship(Leverhulme Trust); NERC(UK Research &amp; Innovation (UKRI)Natural Environment Research Council (NERC))</t>
  </si>
  <si>
    <t>This work was funded by the Natural Environment Research Council, grant number NE/R000719/1. This publication was supported by PROTECT. J.R.J., H.G. and A.J. have received funding from the European Union's Horizon 2020 research and innovation program under grant agreement No 869304, PROTECT contribution number 55. B.W.J.M. was supported by a Leverhulme Early Career Fellowship (ECF-2021-484).</t>
  </si>
  <si>
    <t>10.1038/s41467-023-37553-2</t>
  </si>
  <si>
    <t>C5RJ7</t>
  </si>
  <si>
    <t>WOS:000962482700004</t>
  </si>
  <si>
    <t>Ding, R; Zheng, NS; Zhang, H; Zhang, H; Lang, FK; Ban, W</t>
  </si>
  <si>
    <t>Ding, Rui; Zheng, Nanshan; Zhang, Hao; Zhang, Hua; Lang, Fengkai; Ban, Wei</t>
  </si>
  <si>
    <t>A Study of GNSS-IR Soil Moisture Inversion Algorithms Integrating Robust Estimation with Machine Learning</t>
  </si>
  <si>
    <t>GNSS-IR; multipath Interference signal; soil moisture inversion; robust estimation; machine learning</t>
  </si>
  <si>
    <t>GPS-INTERFEROMETRIC REFLECTOMETRY; RETRIEVAL</t>
  </si>
  <si>
    <t>Soil moisture monitoring is widely used in agriculture, water resource management, and disaster prevention, which is of great significance for sustainability. The global navigation satellite system interferometric reflectometry (GNSS-IR) technology provides a supplementary method for soil moisture monitoring. However, due to the quality of the signal-to-noise ratio (SNR) measurements and the complex surface environment, inevitable outliers in multipath interference signal metrics (amplitude, frequency, and phase) were used as modeling variables to inverse GNSS-IR soil moisture. Besides, it is hard to use the univariate model to comprehensively analyze the relationship between the various factors, due to the poor fitting effect and weak generalization ability of the model. In this paper, the minimum covariance determinant (MCD) robust estimation and machine learning algorithms are adopted. The MCD robust estimation can eliminate outliers of the multipath signal metrics and machine learning algorithms, including the back propagation neural network (BPNN), Gaussian process regression (GPR), and random forest (RF), and can comprehensively establish nonlinear GNSS-IR soil moisture inversion models using multipath interference signal metrics. Moreover, the study of the modeling parameter selection for the three machine learning algorithms and the inversion results for single satellite and all satellites are also carried out to make the algorithms more generalizable. The results show that the correlation coefficients (R) and the root mean square error (RMSE) of the machine learning models for all satellite tracks are increased by 4.3 similar to 86.6% and reduced by 2.8 similar to 30%, respectively, compared with the MCD multiple regression model. The RF model with 80 decision trees and 1 node shows the clearest improvement. The total model using all satellite data has more generalization ability than the single satellite model but causes some loss of accuracy.</t>
  </si>
  <si>
    <t>[Ding, Rui; Zheng, Nanshan; Zhang, Hao; Zhang, Hua; Lang, Fengkai] China Univ Min &amp; Technol, Key Lab Land Environm &amp; Disaster Monitoring, Minist Nat Resources, Xuzhou 221116, Peoples R China; [Ding, Rui; Zheng, Nanshan] China Univ Min &amp; Technol, Sch Environm Sci &amp; Spatial Informat, Xuzhou 221116, Peoples R China; [Ban, Wei] Wuhan Univ, Chinese Antarctic Ctr Surveying &amp; Mapping, Wuhan 430079, Peoples R China</t>
  </si>
  <si>
    <t>China University of Mining &amp; Technology; Ministry of Natural Resources of the People's Republic of China; China University of Mining &amp; Technology; Wuhan University</t>
  </si>
  <si>
    <t>Zheng, NS (corresponding author), China Univ Min &amp; Technol, Key Lab Land Environm &amp; Disaster Monitoring, Minist Nat Resources, Xuzhou 221116, Peoples R China.;Zheng, NS (corresponding author), China Univ Min &amp; Technol, Sch Environm Sci &amp; Spatial Informat, Xuzhou 221116, Peoples R China.</t>
  </si>
  <si>
    <t>ruiding@cumt.edu.cn; znshcumt@cumt.edu.cn</t>
  </si>
  <si>
    <t>lang, fengkai/E-1522-2016</t>
  </si>
  <si>
    <t>lang, fengkai/0000-0002-3602-5731; zhang, hua/0000-0003-0945-6613</t>
  </si>
  <si>
    <t>National Natural Science Foundation of China [U22A20569, 2022WLKXJ029]; Key Laboratory of Land Environment and Disaster Monitoring, Ministry of Natural Resources, China University of Mining and Technology [KYCX22_2586]; Postgraduate Research &amp; Practice Innovation Program of Jiangsu Province [41974039]; China University of Mining and Technology; [LEDM2021B11]; [41977220]</t>
  </si>
  <si>
    <t>National Natural Science Foundation of China(National Natural Science Foundation of China (NSFC)); Key Laboratory of Land Environment and Disaster Monitoring, Ministry of Natural Resources, China University of Mining and Technology; Postgraduate Research &amp; Practice Innovation Program of Jiangsu Province; China University of Mining and Technology; ;</t>
  </si>
  <si>
    <t>This research was supported by the National Natural Science Foundation of China (grant number 41974039 and 41977220); the Joint Funds of the National Natural Science Foundation of China (grant number U22A20569); the Open Research Fund of Key Laboratory of Land Environment and Disaster Monitoring, Ministry of Natural Resources, China University of Mining and Technology (LEDM2021B11); the Postgraduate Research &amp; Practice Innovation Program of Jiangsu Province (KYCX22_2586); the Graduate Innovation Program of China University of Mining and Technology (2022WLKXJ029).</t>
  </si>
  <si>
    <t>10.3390/su15086919</t>
  </si>
  <si>
    <t>F0WJ4</t>
  </si>
  <si>
    <t>WOS:000979633200001</t>
  </si>
  <si>
    <t>Constantine, M; Williams, AN; Francke, A; Cadd, H; Forbes, M; Cohen, TJ; Zhu, XH; Mooney, SD</t>
  </si>
  <si>
    <t>Constantine, Mark; Williams, Alan N. N.; Francke, Alexander; Cadd, Haidee; Forbes, Matt; Cohen, Tim J. J.; Zhu, Xiaohong; Mooney, Scott D. D.</t>
  </si>
  <si>
    <t>Exploration of the Burning Question: A Long History of Fire in Eastern Australia with and without People</t>
  </si>
  <si>
    <t>FIRE-SWITZERLAND</t>
  </si>
  <si>
    <t>Australia; wildfire; cultural burning; charcoal; FTIR; cool fires</t>
  </si>
  <si>
    <t>YELLOWSTONE-NATIONAL-PARK; SEDIMENT-CHARCOAL RECORDS; SEA-LEVEL; TREE-RING; PLEISTOCENE; REGIMES; HOLOCENE; AREA</t>
  </si>
  <si>
    <t>Ethnographic observations suggest that Indigenous peoples employed a distinct regime of frequent, low-intensity fires in the Australian landscape in the past. However, the timing of this behaviour and its ecological impact remain uncertain. Here, we present detailed analysis of charcoal, including a novel measure of fire severity using Fourier transform infrared (FTIR) spectroscopy, at a site in eastern Australia that spans the last two glacial/interglacial transitions between 135-104 ka and 18-0.5 ka BP (broadly equivalent to Marine Isotope Stage (MIS) 6-5 and 2-1, respectively). The accumulation of charcoal and vegetation composition was similar across both periods, correlating closely with Antarctic ice core records, and suggesting that climate is the main driver of fire regimes. Fire severity was lower over the past 18,000 years compared to the penultimate glacial/interglacial period and suggests increasing anthropogenic influence over the landscape during this time. Together with local archaeological records, our data therefore imply that Indigenous peoples have been undertaking cultural burning since the beginning of the Holocene, and potentially the end of the Last Glacial Maximum. We highlight the fact that this signal is not easily discernible in the other proxies examined, including widely used charcoal techniques, and propose that any anthropogenic signal will be subtle in the palaeo-environmental record. While early Indigenous people's reasons for landscape burning were different from those today, our findings nonetheless suggest that the current land management directions are based on a substantive history and could result in a reduction in extreme fire events.</t>
  </si>
  <si>
    <t>[Constantine, Mark; Zhu, Xiaohong; Mooney, Scott D. D.] Univ New South Wales, Earth &amp; Sustainabil Sci Res Ctr, Sydney 2052, Australia; [Williams, Alan N. N.] EMM Consulting Pty Ltd, St Leonards 2065, Australia; [Williams, Alan N. N.] Univ New South Wales, ARC Ctr Excellence Australian Biodivers &amp; Heritage, Sch Biol Earth &amp; Environm Sci, Sydney 2052, Australia; [Francke, Alexander; Forbes, Matt; Cohen, Tim J. J.] Univ Wollongong, GeoQuEST Res Ctr, Sch Earth Atmospher &amp; Life Sci, Wollongong 2522, Australia; [Francke, Alexander] Univ Adelaide, Fac Sci Engn &amp; Technol, Sch Phys Chem &amp; Earth Sci, Adelaide 5005, Australia; [Cadd, Haidee] Univ New South Wales, Chronos 14Carbon Cycle Facil, Sydney 2052, Australia; [Cadd, Haidee; Forbes, Matt; Cohen, Tim J. J.] Univ Wollongong, ARC Ctr Excellence Biodivers &amp; Heritage, Sch Earth Atmospher &amp; Life Sci, Wollongong 2522, Australia; [Forbes, Matt] ATC Williams Pty Ltd, Brisbane 4051, Australia; [Zhu, Xiaohong] Jiangxi Normal Univ, Sch Geog &amp; Environm, Nanchang 330029, Peoples R China</t>
  </si>
  <si>
    <t>University of New South Wales Sydney; University of New South Wales Sydney; University of Wollongong; University of Adelaide; University of New South Wales Sydney; University of Wollongong; Jiangxi Normal University</t>
  </si>
  <si>
    <t>Constantine, M (corresponding author), Univ New South Wales, Earth &amp; Sustainabil Sci Res Ctr, Sydney 2052, Australia.</t>
  </si>
  <si>
    <t>z5179298@unsw.edu.au</t>
  </si>
  <si>
    <t>Francke, Alexander/N-9761-2013</t>
  </si>
  <si>
    <t>Francke, Alexander/0000-0002-0370-5802; Williams, Alan/0000-0003-4133-4229; Cohen, Tim/0000-0003-4081-9523; Cadd, Haidee/0000-0001-5770-3557</t>
  </si>
  <si>
    <t>New South Wales state government, DPIE grant [TLRP1]; Research Training Program scholarship from the University of New South Wales</t>
  </si>
  <si>
    <t>New South Wales state government, DPIE grant; Research Training Program scholarship from the University of New South Wales</t>
  </si>
  <si>
    <t>Work on LC2 was originally undertaken by Emily Barber and funded by theNew South Wales state government, DPIE grant (TLRP1) to T. Cohen, S. Mooney. Mark Constantine'swork was partially funded by a Research Training Program scholarship from the University of NewSouth Wales.</t>
  </si>
  <si>
    <t>2571-6255</t>
  </si>
  <si>
    <t>FIRE-BASEL</t>
  </si>
  <si>
    <t>Fire-Switzerland</t>
  </si>
  <si>
    <t>10.3390/fire6040152</t>
  </si>
  <si>
    <t>Ecology; Forestry</t>
  </si>
  <si>
    <t>Environmental Sciences &amp; Ecology; Forestry</t>
  </si>
  <si>
    <t>F0NL3</t>
  </si>
  <si>
    <t>WOS:000979398900001</t>
  </si>
  <si>
    <t>Prates, G; Torrecillas, C; Berrocoso, M; Goyanes, G; Vieira, G</t>
  </si>
  <si>
    <t>Prates, Goncalo; Torrecillas, Cristina; Berrocoso, Manuel; Goyanes, Gabriel; Vieira, Goncalo</t>
  </si>
  <si>
    <t>Deception Island 1967-1970 Volcano Eruptions from Historical Aerial Frames and Satellite Imagery (Antarctic Peninsula)</t>
  </si>
  <si>
    <t>historical aerial frames; structure from motion; 1967-1970 volcanic sequence; Deception Islands; Antarctic Peninsula</t>
  </si>
  <si>
    <t>SOUTH SHETLAND ISLANDS; VOLUMETRIC VARIATIONS; BRANSFIELD BASIN; LOW-COST; MODEL; PHOTOGRAMMETRY; EVOLUTION; EVENTS; FIELD; MAPS</t>
  </si>
  <si>
    <t>Aerial frames and satellite imagery are widely recognized data sources from which to produce maps. For volcanoes, maps enable the quantification of erupted ash and the destruction caused. The last eruptive sequence on Deception Island was endured from 1967 to 1970. Analogue maps were produced via classical photogrammetric methods with a high degree of human intervention mainly to analyse the volcanic-centres areas only. However, historical aerial frames cover the whole of Deception Island. Structure from motion photogrammetry, a near-automated compilation of digital image processing strategies, minimizes the degree of human intervention to produce orthographic mosaics and digital elevation models from digital aerial frames. Orthographic mosaics were produced from historical aerial frames of 1956 and 1968, and a Kompsat-3 image of 2020. Their shared root-mean-square deviation was 1.8 m and 1.7 m in easting and northing, respectively, at ground control points measured with phase-differential global navigation satellite systems. The digital elevation models were processed with a root-mean-square deviation of 2.3 m and 3.6 m from 1956 and 1968 aerial frames, respectively. As the first application, erupted ashfall and the subsequent destruction, mainly at the former Chilean and British bases, were identified, and the volume of erupted ash was assessed to be over 0.16 km(3) within the area mapped by these new digital cartographic products.</t>
  </si>
  <si>
    <t>[Prates, Goncalo; Goyanes, Gabriel; Vieira, Goncalo] Univ Lisbon, Ctr Estudos Geog, P-1600276 Lisbon, Portugal; [Prates, Goncalo; Goyanes, Gabriel; Vieira, Goncalo] Univ Lisbon, Associate Lab TERRA, Inst Geog &amp; Ordenamento Terr, P-1600276 Lisbon, Portugal; [Prates, Goncalo] Univ Algarve, Inst Super Engn, P-8005139 Faro, Portugal; [Prates, Goncalo; Berrocoso, Manuel] Univ Cadiz, Fac Ciencias, Dept Matemat, Lab Astron Geodesia &amp; Cartog, Cadiz 11510, Spain; [Torrecillas, Cristina] Univ Seville, Escuela Tecn Super Ingn, Seville 41092, Spain</t>
  </si>
  <si>
    <t>Universidade de Lisboa; Universidade de Lisboa; Universidade do Algarve; Universidad de Cadiz; Consejo Superior de Investigaciones Cientificas (CSIC); CSIC-UCM - Instituto de Astronomia y Geodesia (IAG); University of Sevilla</t>
  </si>
  <si>
    <t>Prates, G (corresponding author), Univ Lisbon, Ctr Estudos Geog, P-1600276 Lisbon, Portugal.;Prates, G (corresponding author), Univ Lisbon, Associate Lab TERRA, Inst Geog &amp; Ordenamento Terr, P-1600276 Lisbon, Portugal.;Prates, G (corresponding author), Univ Algarve, Inst Super Engn, P-8005139 Faro, Portugal.;Prates, G (corresponding author), Univ Cadiz, Fac Ciencias, Dept Matemat, Lab Astron Geodesia &amp; Cartog, Cadiz 11510, Spain.</t>
  </si>
  <si>
    <t>gprates@ualg.pt</t>
  </si>
  <si>
    <t>Goyanes Díaz, Gabriel Alejandro/JXM-1643-2024; Vieira, Goncalo/G-5958-2010; Prates, Gonçalo/K-4018-2014; Torrecillas, Cristina/D-9178-2011; BERROCOSO, MANUEL/O-3818-2014</t>
  </si>
  <si>
    <t>Goyanes Díaz, Gabriel Alejandro/0000-0001-5241-254X; Vieira, Goncalo/0000-0001-7611-3464; Prates, Gonçalo/0000-0001-5797-9158; Torrecillas, Cristina/0000-0002-3650-3174; BERROCOSO, MANUEL/0000-0002-1878-9658</t>
  </si>
  <si>
    <t>Spanish Ministry of Economy and Competitiveness on Modelizacion y seguimiento de procesos geodinamicos activos mediante deformacion geodesica GNSS en diferentes escenarios (Antartida, Andalucia oc. y Centroamerica) [CTM2017-84210-R]; Portuguese Science and Technology Foundation [PTDC/AAG-GLO/3908/2012]; Portuguese Polar Program</t>
  </si>
  <si>
    <t>Spanish Ministry of Economy and Competitiveness on Modelizacion y seguimiento de procesos geodinamicos activos mediante deformacion geodesica GNSS en diferentes escenarios (Antartida, Andalucia oc. y Centroamerica); Portuguese Science and Technology Foundation(Fundacao para a Ciencia e a Tecnologia (FCT)); Portuguese Polar Program</t>
  </si>
  <si>
    <t>This research was funded by the Spanish Ministry of Economy and Competitiveness on Modelizacion y seguimiento de procesos geodinamicos activos mediante deformacion geodesica GNSS en diferentes escenarios (Antartida, Andalucia oc. y Centroamerica) (CTM2017-84210-R), the Portuguese Science and Technology Foundation on Permafrost e alteracoes climaticas na Peninsula Antartica (PTDC/AAG-GLO/3908/2012), and by the Portuguese Polar Program.</t>
  </si>
  <si>
    <t>10.3390/rs15082052</t>
  </si>
  <si>
    <t>F0AZ0</t>
  </si>
  <si>
    <t>WOS:000979074400001</t>
  </si>
  <si>
    <t>Martínez, M; Harms, L; Abele, D; Held, C</t>
  </si>
  <si>
    <t>Martinez, Mariano; Harms, Lars; Abele, Doris; Held, Christoph</t>
  </si>
  <si>
    <t>Mitochondrial Heteroplasmy and PCR Amplification Bias Lead to Wrong Species Delimitation with High Confidence in the South American and Antarctic Marine Bivalve Aequiyoldia eightsii Species Complex</t>
  </si>
  <si>
    <t>mitochondrial heteroplasmy; amplification bias; mitochondrial DNA; DNA barcoding</t>
  </si>
  <si>
    <t>DOUBLY UNIPARENTAL INHERITANCE; VARIANT CALL FORMAT; DNA; PACKAGE; GENOME; SPECIATION; PATTERNS; LENGTH; DEEP</t>
  </si>
  <si>
    <t>The species delimitation of the marine bivalve species complex Aequiyoldia eightsii in South America and Antarctica is complicated by mitochondrial heteroplasmy and amplification bias in molecular barcoding. In this study, we compare different data sources (mitochondrial cytochrome c oxidase subunit I (COI) sequences; nuclear and mitochondrial SNPs). Whilst all the data suggest that populations on either side of the Drake Passage belong to different species, the picture is less clear within Antarctic populations, which harbor three distinct mitochondrial lineages (p-dist approximate to 6%) that coexist in populations and in a subset of individuals with heteroplasmy. Standard barcoding procedures lead to amplification bias favoring either haplotype unpredictably and thus overestimate the species richness with high confidence. However, nuclear SNPs show no differentiation akin to the trans-Drake comparison, suggesting that the Antarctic populations represent a single species. Their distinct haplotypes likely evolved during periods of temporary allopatry, whereas recombination eroded similar differentiation patterns in the nuclear genome after secondary contact. Our study highlights the importance of using multiple data sources and careful quality control measures to avoid bias and increase the accuracy of molecular species delimitation. We recommend an active search for mitochondrial heteroplasmy and haplotype-specific primers for amplification in DNA-barcoding studies.</t>
  </si>
  <si>
    <t>[Martinez, Mariano; Abele, Doris; Held, Christoph] Alfred Wegener Inst, Helmholtz Ctr Polar &amp; Marine Res, Funct Ecol, Handelshafen 12, D-27570 Bremerhaven, Germany; [Martinez, Mariano] Univ Republica, Fac Ciencias, Oceanog &amp; Ecol Marina, Inst Ecol &amp; Ciencias Ambientales, Igua 4225, Montevideo 11400, Uruguay; [Harms, Lars] Alfred Wegener Inst, Helmholtz Ctr Polar &amp; Marine Res, Handelshafen 12, D-27570 Bremerhaven, Germany; [Harms, Lars] Carl von Ossietzky Univ Oldenburg, Helmholtz Inst Funct Marine Biodivers, Ammerlander Herrstr 231, D-26129 Oldenburg, Germany</t>
  </si>
  <si>
    <t>Helmholtz Association; Alfred Wegener Institute, Helmholtz Centre for Polar &amp; Marine Research; Universidad de la Republica, Uruguay; Helmholtz Association; Alfred Wegener Institute, Helmholtz Centre for Polar &amp; Marine Research; Carl von Ossietzky Universitat Oldenburg</t>
  </si>
  <si>
    <t>Martínez, M (corresponding author), Alfred Wegener Inst, Helmholtz Ctr Polar &amp; Marine Res, Funct Ecol, Handelshafen 12, D-27570 Bremerhaven, Germany.;Martínez, M (corresponding author), Univ Republica, Fac Ciencias, Oceanog &amp; Ecol Marina, Inst Ecol &amp; Ciencias Ambientales, Igua 4225, Montevideo 11400, Uruguay.</t>
  </si>
  <si>
    <t>mmartinez@fcien.edu.uy; christoph.held@awi.de</t>
  </si>
  <si>
    <t>Martinez, Mariano/0000-0001-6360-6956; Harms, Lars/0000-0001-7620-0613</t>
  </si>
  <si>
    <t>National Agency of Investigation and Innovation (ANII, Uruguay); German Academic Exchange Service (DAAD, Germany) [POS_EXT_2015_122792]; Zempelin-Stiftung-Deutsches Stiftungszentrum [T0214/33883/2019/sm]</t>
  </si>
  <si>
    <t>National Agency of Investigation and Innovation (ANII, Uruguay); German Academic Exchange Service (DAAD, Germany)(Deutscher Akademischer Austausch Dienst (DAAD)); Zempelin-Stiftung-Deutsches Stiftungszentrum</t>
  </si>
  <si>
    <t>This research was funded by National Agency of Investigation and Innovation (ANII, Uruguay) and German Academic Exchange Service (DAAD, Germany) by PhD scholarship to M. Martinez (Grant number POS_EXT_2015_122792), and by Zempelin-Stiftung-Deutsches Stiftungszentrum (Grant number T0214/33883/2019/sm).</t>
  </si>
  <si>
    <t>10.3390/genes14040935</t>
  </si>
  <si>
    <t>F0LX4</t>
  </si>
  <si>
    <t>WOS:000979359000001</t>
  </si>
  <si>
    <t>Song, YJA; Lv, XQ</t>
  </si>
  <si>
    <t>Song, Yangjinan; Lv, Xianqing</t>
  </si>
  <si>
    <t>Study of Phytoplankton Biomass and Environmental Drivers in and around the Ross Sea Marine Protected Area</t>
  </si>
  <si>
    <t>Ross Sea; marine protected area; correlation analysis; lag response; Antarctic resource management</t>
  </si>
  <si>
    <t>ICE; GROWTH; VARIABILITY; MODEL; IRON; PRODUCTIVITY; SENSITIVITY; LIMITATION; TRENDS; IMPACT</t>
  </si>
  <si>
    <t>The Southern Ocean plays a vital role in the global climate system and the life cycle of high-latitude marine life. Phytoplankton is an important source of primary productivity in this ecosystem. Its future changes could affect Southern Ocean geochemistry, carbon export, and higher trophic organisms. To better protect Antarctica, three different marine protected areas (MPA) have been established in the Ross Sea region. Because time-continuous and regionally complete data are difficult to obtain in this region, we obtained data from ocean model outputs to understand the spatiotemporal variability of phytoplankton biomass in this region. This study explored the correlation between phytoplankton biomass and key environmental factors. Phytoplankton biomass peaks in February as temperatures rise and sea ice melts. Correlations also vary between different protected areas. The correlation between biomass, nitrate, and salinity in the Krill Research Zone (KRZ) area was significantly different from other protected areas. In addition, in the context of global warming, Antarctica lacks temperature perception. The model results show a downward trend in temperature and an increase in sea ice coverage in the western Ross Sea that other studies have also pointed to. How phytoplankton biomass will change in protected areas in the future is a question worth considering. Finally, the study simply simulates future regional trends by comparing the biomass distribution in hot years to average years. This will increase our knowledge of the polar system.</t>
  </si>
  <si>
    <t>[Song, Yangjinan] Univ Sydney, Marine Studies Inst, Sydney, NSW 2006, Australia; [Lv, Xianqing] Ocean Univ China, Frontier Sci Ctr Deep Ocean Multispheres &amp; Earth S, Qingdao 266100, Peoples R China; [Lv, Xianqing] Ocean Univ China, Phys Oceanog Lab, Qingdao 266100, Peoples R China</t>
  </si>
  <si>
    <t>University of Sydney; Ocean University of China; Ocean University of China</t>
  </si>
  <si>
    <t>Lv, XQ (corresponding author), Ocean Univ China, Frontier Sci Ctr Deep Ocean Multispheres &amp; Earth S, Qingdao 266100, Peoples R China.;Lv, XQ (corresponding author), Ocean Univ China, Phys Oceanog Lab, Qingdao 266100, Peoples R China.</t>
  </si>
  <si>
    <t>xqinglv@ouc.edu.cn</t>
  </si>
  <si>
    <t>National Natural Science Foundation of China [42076011, U1806214]; National Key Research and Development Program of China [2019YFC1408405]</t>
  </si>
  <si>
    <t>National Natural Science Foundation of China(National Natural Science Foundation of China (NSFC)); National Key Research and Development Program of China</t>
  </si>
  <si>
    <t>This research was funded by the National Natural Science Foundation of China (Grant No. 42076011 and Grant No. U1806214) and the National Key Research and Development Program of China (Grant No. 2019YFC1408405).</t>
  </si>
  <si>
    <t>10.3390/jmse11040747</t>
  </si>
  <si>
    <t>E6YH8</t>
  </si>
  <si>
    <t>WOS:000976970800001</t>
  </si>
  <si>
    <t>Jin, C; Peng, H; Yang, HC; Li, WE; Guan, JH</t>
  </si>
  <si>
    <t>Jin, Chang; Peng, Han; Yang, Hanchen; Li, Wengen; Guan, Jihong</t>
  </si>
  <si>
    <t>On Evaluating the Predictability of Sea Surface Temperature Using Entropy</t>
  </si>
  <si>
    <t>sea surface temperature; predictability quantification; regularity; entropy; dynamicsof predictability</t>
  </si>
  <si>
    <t>NORTH-ATLANTIC</t>
  </si>
  <si>
    <t>Sea surface temperature (SST) has important impacts on the global ecology, and having a good understanding of the predictability, i.e., the possibility of achieving accurate prediction, of SST can help us monitor the marine environment and climate change, and guide the selection and design of SST prediction methods. However, existing studies for analyzing SST mostly measure the rising or falling trends of SST. To address this issue, we introduce a temporal-correlated entropy to quantify the predictability of SST series from both global coarse-grained and local fine-grained aspects, and make SST prediction with multiple deep learning models to prove the effectiveness of such predictability evaluation method. In addition, we explore the dynamics of SST predictability by dividing the time range of interest into consecutive time periods, evaluating the corresponding predictability of SST for each time period, and analyzing the stability of the predictability of SST over time. According to the experiments, the SST predictability values near the poles and equator are really high. The average SST predictability values of the East China Sea, Bohai Sea, and Antarctic Ocean are 0.719, 0.706, and 0.886, respectively, and the size relationship of the SST predictability in the three local sea areas is consistent with our prediction results using multiple representative SST prediction methods, which corroborates the reliability of the predictability evaluation method. In addition, we found that the SST predictability in the Antarctic Ocean changes more dramatically over time than in the East China Sea and the Bohai Sea. The results of SST predictability and its dynamic analysis indicate that global warming, ocean currents, and human activities all have significant impacts on the predictability of SST.</t>
  </si>
  <si>
    <t>[Jin, Chang; Peng, Han; Yang, Hanchen; Li, Wengen; Guan, Jihong] Tongji Univ, Dept Comp Sci &amp; Technol, Shanghai 201804, Peoples R China</t>
  </si>
  <si>
    <t>Li, WE (corresponding author), Tongji Univ, Dept Comp Sci &amp; Technol, Shanghai 201804, Peoples R China.</t>
  </si>
  <si>
    <t>lwengen@tongji.edu.cn</t>
  </si>
  <si>
    <t>Li, Wengen/0000-0002-8768-6740</t>
  </si>
  <si>
    <t>National Natural Science Foundation of China [62202336, U1936205]; National Key R&amp;D Program of China [2021YFC3300300]; Fundamental Research Funds for the Central Universities [ZD-21-202101]; Open Research Program of Shanghai Key Lab of Intelligent Information Processing [IIPL201909]</t>
  </si>
  <si>
    <t>National Natural Science Foundation of China(National Natural Science Foundation of China (NSFC)); National Key R&amp;D Program of China; Fundamental Research Funds for the Central Universities(Fundamental Research Funds for the Central Universities); Open Research Program of Shanghai Key Lab of Intelligent Information Processing</t>
  </si>
  <si>
    <t>This work was supported in part by the National Natural Science Foundation of China (No. 62202336, No. U1936205), National Key R&amp;D Program of China (No. 2021YFC3300300), the Fundamental Research Funds for the Central Universities (No. ZD-21-202101), and Open Research Program of Shanghai Key Lab of Intelligent Information Processing (No. IIPL201909).</t>
  </si>
  <si>
    <t>10.3390/rs15081956</t>
  </si>
  <si>
    <t>E7LA1</t>
  </si>
  <si>
    <t>WOS:000977303800001</t>
  </si>
  <si>
    <t>Jossart, Q; Bauman, D; Moreau, CVE; Saucède, T; Christiansen, H; Brasier, MJ; Convey, P; Downey, R; Figuerola, B; Martin, P; Norenburg, J; Rosenfeld, S; Verheye, M; Danis, B</t>
  </si>
  <si>
    <t>Jossart, Quentin; Bauman, David; Moreau, Camille V. E.; Saucede, Thomas; Christiansen, Henrik; Brasier, Madeleine J.; Convey, Peter; Downey, Rachel; Figuerola, Blanca; Martin, Patrick; Norenburg, Jon; Rosenfeld, Sebastian; Verheye, Marie; Danis, Bruno</t>
  </si>
  <si>
    <t>A pioneer morphological and genetic study of the intertidal fauna of the Gerlache Strait (Antarctic Peninsula)</t>
  </si>
  <si>
    <t>ENVIRONMENTAL MONITORING AND ASSESSMENT</t>
  </si>
  <si>
    <t>Benthic ecology; Community structure; DNA barcoding; Seashore; Southern Ocean</t>
  </si>
  <si>
    <t>SOUTHERN-OCEAN; CRYPTIC SPECIATION; MARINE; WATER; LIFE; PLATYHELMINTHES; BIODIVERSITY; COMMUNITIES; VARIABILITY; TAXONOMY</t>
  </si>
  <si>
    <t>The underexplored intertidal ecosystems of Antarctica are facing rapid changes in important environmental factors. Associated with temperature increase, reduction in coastal ice will soon expose new ice-free areas that will be colonized by local or distant biota. To enable detection of future changes in faunal composition, a biodiversity baseline is urgently required. Here, we evaluated intertidal faunal diversity at 13 locations around the Gerlache Strait (western Antarctic Peninsula), using a combination of a quadrat approach, morphological identification and genetic characterization. Our data highlight a community structure comprising four generally distributed and highly abundant species (the flatworm Obrimoposthia wandeli, the bivalve Kidderia subquadrata, and the gastropods Laevilitorina umbilicata and Laevilitorina caliginosa) as well as 79 rarer and less widely encountered species. The most abundant species thrive in the intertidal zone due to their ability to either survive overwinter in situ or to rapidly colonize this zone when conditions allow. In addition, we confirmed the presence of multiple trophic levels at nearly all locations, suggesting that complex inter-specific interactions occur within these communities. Diversity indices contrasted between sampling locations (from 3 to 32 species) and multivariate approaches identified three main groups. This confirms the importance of environmental heterogeneity in shaping diversity patterns within the investigated area. Finally, we provide the first genetic and photographic baseline of the Antarctic intertidal fauna (106 sequences, 137 macrophotographs), as well as preliminary insights on the biogeography of several species. Taken together, these results provide a timely catalyst to assess the diversity and to inform studies of the potential resilience of these intertidal communities.</t>
  </si>
  <si>
    <t>[Jossart, Quentin; Moreau, Camille V. E.; Danis, Bruno] Univ Libre Bruxelles ULB, Marine Biol, Brussels, Belgium; [Jossart, Quentin] Vrije Univ Brussel VUB, Marine Biol, Brussels, Belgium; [Jossart, Quentin; Saucede, Thomas] Univ Bourgogne, CNRS, UMR 6282, Dijon, France; [Bauman, David] Univ Montpellier, AMAP, CIRAD, CNRS,INRAE,IRD, Montpellier, France; [Bauman, David] Univ Oxford, Environm Change Inst, Sch Geog &amp; Environm, Oxford, England; [Christiansen, Henrik] Katholieke Univ Leuven, Lab Biodivers &amp; Evolutionary Genom, Leuven, Belgium; [Christiansen, Henrik] Greenland Inst Nat Resources, Nuuk, Greenland; [Brasier, Madeleine J.] Univ Tasmania, Inst Marine &amp; Antarctic Studies, Hobart, Tas, Australia; [Convey, Peter] British Antarctic Survey, NERC, Cambridge, England; [Convey, Peter] Univ Johannesburg, Dept Zool, Johannesburg, South Africa; [Convey, Peter; Rosenfeld, Sebastian] Millenium Inst Biodivers Antarctic &amp; Subantarctic, Santiago, Chile; [Downey, Rachel] Australian Natl Univ, Fenner Sch Environm &amp; Soc, Canberra, ACT, Australia; [Figuerola, Blanca] Inst Marine Sci ICM CSIC, Barcelona, Spain; [Martin, Patrick] Royal Belgian Inst Nat Sci, Brussels, Belgium; [Norenburg, Jon] Smithsonian Inst, Natl Museum Nat Hist, Washington, DC 20560 USA; [Rosenfeld, Sebastian] Univ Magallanes, Lab Ecosistemas Marinos Antarticos &amp; Subantart, Punta Arenas, Chile; [Rosenfeld, Sebastian] Univ Magallanes, Ctr Invest Gaia Antartica, Punta Arenas, Chile; [Verheye, Marie] Univ Liege, Lab Troph &amp; Isotopes Ecol LETIS, Liege, Belgium; [Verheye, Marie] Univ Liege, Lab Evolutionary Ecol, Liege, Belgium</t>
  </si>
  <si>
    <t>Universite Libre de Bruxelles; Vrije Universiteit Brussel; Centre National de la Recherche Scientifique (CNRS); Universite de Bourgogne; Centre National de la Recherche Scientifique (CNRS); Universite de Montpellier; CIRAD; INRAE; Institut de Recherche pour le Developpement (IRD); University of Oxford; KU Leuven; Greenland Institute of Natural Resources; University of Tasmania; UK Research &amp; Innovation (UKRI); Natural Environment Research Council (NERC); NERC British Antarctic Survey; University of Johannesburg; Australian National University; Consejo Superior de Investigaciones Cientificas (CSIC); CSIC - Centro Mediterraneo de Investigaciones Marinas y Ambientales (CMIMA); CSIC - Instituto de Ciencias del Mar (ICM); Royal Belgian Institute of Natural Sciences; Smithsonian Institution; Smithsonian National Museum of Natural History; Universidad de Magallanes; Universidad de Magallanes; University of Liege; University of Liege</t>
  </si>
  <si>
    <t>Jossart, Q (corresponding author), Univ Libre Bruxelles ULB, Marine Biol, Brussels, Belgium.</t>
  </si>
  <si>
    <t>qjossart@gmail.com</t>
  </si>
  <si>
    <t>Convey, Peter/AAV-5728-2020; Christiansen, Henrik/GXG-6057-2022; Figuerola, Blanca/C-6252-2015; Bauman, David/I-9935-2019; Norenburg, Jon/K-3481-2015</t>
  </si>
  <si>
    <t>Convey, Peter/0000-0001-8497-9903; Christiansen, Henrik/0000-0001-7114-5854; Figuerola, Blanca/0000-0003-4731-9337; Bauman, David/0000-0001-9115-6518; Downey, Rachel/0000-0001-9275-8879; Martin, Patrick/0000-0002-6033-8412; Rosenfeld, Sebastian/0000-0002-4363-8018; Moreau, Camille/0000-0002-0981-7442; Jossart, Quentin/0000-0002-2280-243X; Norenburg, Jon/0000-0001-7776-1527</t>
  </si>
  <si>
    <t>[ICN2021_002]</t>
  </si>
  <si>
    <t>AcknowledgementsWe thank Fernanda Azevedo, Antonio Carapelli, Gemma Collins, Charlene Guillaumot, Christoph Held, Bart Hellemans, Katrin Linse, Borja Mercado, Yi Ming Gan, Amy Moran, Lenka Nealova, Stefano Schiaparelli, Lucas Terrana, Anton Van de Putte, Ben Wallis and Helena Wiklund for their generous help and advice. We also thank the crew members (Ocean Expeditions) and scientists of the Belgica 121 expedition. Sebastian Rosenfeld would like to thank the Project ANID-Millennium Science Initiative Program - ICN2021_002.</t>
  </si>
  <si>
    <t>0167-6369</t>
  </si>
  <si>
    <t>1573-2959</t>
  </si>
  <si>
    <t>ENVIRON MONIT ASSESS</t>
  </si>
  <si>
    <t>Environ. Monit. Assess.</t>
  </si>
  <si>
    <t>10.1007/s10661-023-11066-3</t>
  </si>
  <si>
    <t>A9DG9</t>
  </si>
  <si>
    <t>Green Submitted, Green Published</t>
  </si>
  <si>
    <t>WOS:000958045100002</t>
  </si>
  <si>
    <t>Ferchiou, S; Caza, F; Villemur, R; Labonne, J; St-Pierre, Y</t>
  </si>
  <si>
    <t>Ferchiou, Sophia; Caza, France; Villemur, Richard; Labonne, Jacques; St-Pierre, Yves</t>
  </si>
  <si>
    <t>Skin and Blood Microbial Signatures of Sedentary and Migratory Trout (Salmo trutta) of the Kerguelen Islands</t>
  </si>
  <si>
    <t>FISHES</t>
  </si>
  <si>
    <t>blood microbiome; skin microbiome; fish; Salmo trutta; migration; Kerguelen Islands; 16S rRNA</t>
  </si>
  <si>
    <t>BACTERIAL COMMUNITY; DNA; WATER; GUT; METAGENOMICS; DIVERSITY; PHENOTYPE; REVEALS; ECOLOGY; FISH</t>
  </si>
  <si>
    <t>Our understanding of how microbiome signatures are modulated in wild fish populations remains poorly developed and has, until now, mostly been inferred from studies in commercial and farmed fish populations. Here, for the first time, we have studied changes in the skin and blood microbiomes of the Salmo trutta population of the volcanic Kerguelen archipelago located at the northern limit of the Antarctic Ocean. The Kerguelen Islands present a natural framework of population expansion and reveal a likely situation representing further climate change in distribution areas. Our results showed that S. trutta of the Kerguelen Islands has a microbiome signature distinct from those of salmonids of the Northern Hemisphere. Our study also revealed that the skin and blood microbiomes differ between sedentary and migratory S. trutta. While 18 phyla were shared between both groups of trout, independent of the compartment, 6 phyla were unique to migratory trout. Further analyses showed that microbiome signatures undergo significant site-specific variations that correlate, in some cases, with the peculiarity of specific ecosystems. Our study also revealed the presence of potential pathogens at particular sites and the impact of abiotic factors on the microbiome, most notably due to the volcanic nature of the environment. This study contributes to a better understanding of the factors that modulate the microbiome signatures of migratory and sedentary fish populations. It will also help to better monitor the impacts of climate change on the colonization process in the sub-Antarctic region.</t>
  </si>
  <si>
    <t>[Ferchiou, Sophia; Caza, France; Villemur, Richard; St-Pierre, Yves] Ctr Armand Frappier St Biotechnol, INRS, Laval, PQ H7V 1B7, Canada; [Labonne, Jacques] Univ Pau &amp; Pays Adour, UMR INRAE UPPA, ECOBIOP, F-64310 St pee sur nivelle, France</t>
  </si>
  <si>
    <t>University of Quebec; Institut national de la recherche scientifique (INRS); Universite de Pau et des Pays de l'Adour; INRAE</t>
  </si>
  <si>
    <t>St-Pierre, Y (corresponding author), Ctr Armand Frappier St Biotechnol, INRS, Laval, PQ H7V 1B7, Canada.</t>
  </si>
  <si>
    <t>yves.st-pierre@inrs.ca</t>
  </si>
  <si>
    <t>St-Pierre, Yves/0000-0002-1948-2041; Labonne, Jacques/0000-0001-5953-3029; Ferchiou, Sophia/0000-0001-9184-8098</t>
  </si>
  <si>
    <t>National Science and Engineering Research Council of Canada [RGIN-2019-06607]; Institut Polaire Paul-Emile Victor</t>
  </si>
  <si>
    <t>National Science and Engineering Research Council of Canada(Natural Sciences and Engineering Research Council of Canada (NSERC)); Institut Polaire Paul-Emile Victor</t>
  </si>
  <si>
    <t>This research was funded by the National Science and Engineering Research Council of Canada (RGIN-2019-06607) and the Institut Polaire Paul-Emile Victor. This study is part of the Zone Atelier et Terres Australes LTSER.</t>
  </si>
  <si>
    <t>2410-3888</t>
  </si>
  <si>
    <t>FISHES-BASEL</t>
  </si>
  <si>
    <t>Fishes</t>
  </si>
  <si>
    <t>10.3390/fishes8040174</t>
  </si>
  <si>
    <t>F0NH8</t>
  </si>
  <si>
    <t>WOS:000979395400001</t>
  </si>
  <si>
    <t>Paulsen, T; Encarnacion, J; Grunow, A; Benowitz, J; Layer, P; Deering, C; Sliwinski, J</t>
  </si>
  <si>
    <t>Paulsen, Timothy; Encarnacion, John; Grunow, Anne; Benowitz, Jeffrey; Layer, Paul; Deering, Chad; Sliwinski, Jakub</t>
  </si>
  <si>
    <t>Outboard Onset of Ross Orogen Magmatism and Subsequent Igneous and Metamorphic Cooling Linked to Slab Rollback during Late-Stage Gondwana Assembly</t>
  </si>
  <si>
    <t>GEOSCIENCES</t>
  </si>
  <si>
    <t>Ar-40/Ar-39; cooling; magmatism; zircon; trace elements; slab rollback; Ross orogen; Antarctica; Gondwana</t>
  </si>
  <si>
    <t>SOUTHERN VICTORIA-LAND; CENTRAL TRANSANTARCTIC MOUNTAINS; PALEO-PACIFIC MARGIN; U-PB AGE; GLACIER AREA; DETRITAL ZIRCON; ANTARCTICA IMPLICATIONS; PENSACOLA MOUNTAINS; ISOTOPIC STRUCTURE; ACTIVE-MARGIN</t>
  </si>
  <si>
    <t>Changes in magmatism and sedimentation along the late Neoproterozoic-early Paleozoic Ross orogenic belt in Antarctica have been linked to the cessation of convergence along the Mozambique belt during the assembly of East-West Gondwana. However, these interpretations are non-unique and are based, in part, on limited thermochronological data sets spread out along large sectors of the East Antarctic margin. We report new Ar-40/Ar-39 hornblende, muscovite, and biotite age data for plutonic (n = 13) and metasedimentary (n = 3) samples from the Shackleton-Liv Glacier sector of the Queen Maud Mountains in Antarctica. Cumulative Ar-40/Ar-39 age data show polymodal age peaks (510 Ma, 491 Ma, 475 Ma) that lag peaks in U-Pb igneous crystallization ages, suggesting igneous and metamorphic cooling following magmatism within the region. The Ar-40/Ar-39 ages are similar to ages in other sectors of the Ross orogen, but younger than detrital mineral Ar-40/Ar-39 cooling ages indicative of older magmatism and cooling of unexposed inboard areas along the margin. Detrital zircon trace element abundances suggest that the widespread onset of magmatism in outboard localities of the orogen correlates with a similar to 560-530 Ma decrease in crustal thickness. The timing of crustal thinning recorded by zircon in magmas overlaps with other evidence for the timing of crustal extension, suggesting that the regional onset of magmatism with subsequent igneous and metamorphic cooling probably reflects slab rollback that coincided with possible global plate motion changes induced during the final assembly of Gondwana.</t>
  </si>
  <si>
    <t>[Paulsen, Timothy] Univ Wisconsin Oshkosh, Dept Geol, Oshkosh, WI 54901 USA; [Encarnacion, John] St Louis Univ, Dept Earth &amp; Atmospher Sci, St Louis, MO 63103 USA; [Grunow, Anne] Ohio State Univ, Byrd Polar Res Ctr, Columbus, OH 43210 USA; [Benowitz, Jeffrey; Layer, Paul] Univ Alaska Fairbanks, Geophys Inst, Fairbanks, AK 99775 USA; [Deering, Chad] Michigan Technol Univ, Dept Geol &amp; Min Engn &amp; Sci, Houghton, MI 49931 USA; [Sliwinski, Jakub] Swiss Fed Inst Technol, Inst Geol, Dept Earth Sci, CH-8092 Zurich, Switzerland</t>
  </si>
  <si>
    <t>University of Wisconsin System; University of Wisconsin Oshkosh; Saint Louis University; University System of Ohio; Ohio State University; University of Alaska System; University of Alaska Fairbanks; Michigan Technological University; Swiss Federal Institutes of Technology Domain; ETH Zurich</t>
  </si>
  <si>
    <t>Paulsen, T (corresponding author), Univ Wisconsin Oshkosh, Dept Geol, Oshkosh, WI 54901 USA.</t>
  </si>
  <si>
    <t>paulsen@uwosh.edu</t>
  </si>
  <si>
    <t>Benowitz, Jeff/0000-0003-2294-9172; Layer, Paul/0000-0003-1378-2585</t>
  </si>
  <si>
    <t>University of Wisconsin Oshkosh Faculty Development Program [FDR1296]</t>
  </si>
  <si>
    <t>University of Wisconsin Oshkosh Faculty Development Program</t>
  </si>
  <si>
    <t>This research was funded by the University of Wisconsin Oshkosh Faculty Development Program, grant number FDR1296.</t>
  </si>
  <si>
    <t>2076-3263</t>
  </si>
  <si>
    <t>Geosciences</t>
  </si>
  <si>
    <t>10.3390/geosciences13040126</t>
  </si>
  <si>
    <t>F0JO9</t>
  </si>
  <si>
    <t>WOS:000979298500001</t>
  </si>
  <si>
    <t>Park, J; Haralabus, G; Zampolli, M; Metz, D</t>
  </si>
  <si>
    <t>Park, Joseph; Haralabus, Georgios; Zampolli, Mario; Metz, Dirk</t>
  </si>
  <si>
    <t>Low frequency ambient noise dynamics and trends in the Indian Ocean, Cape Leeuwin, Australia</t>
  </si>
  <si>
    <t>JOURNAL OF THE ACOUSTICAL SOCIETY OF AMERICA</t>
  </si>
  <si>
    <t>LONG-TERM; DIPOLE; MODE</t>
  </si>
  <si>
    <t>Examination of 18 years of nearly continuous low frequency deep ocean ambient noise offshore Cape Leeuwin, Australia, finds evidence of a decreasing nonlinear trend suggestive of long-term cyclic dynamics. The nonlinear trend is found to be consistent with trends in oceanographic sea surface temperature, which are thought to drive changes in Antarctic sea ice extent. Assessment of oscillatory dynamics finds causal covariance between ambient noise levels and Indian Ocean sea surface temperature dipoles. Dynamics of annual ambient noise and Antarctic sea ice extent are examined suggesting a phase-locked relationship revealing nonlinear characteristics of the presumed dependence. Collectively, the hypotheses that deep water ambient noise dynamics in the Indian Ocean are influenced by Antarctic sea ice extent and melt dynamics and that linear models do not fully capture long-term ambient noise trends and dynamics are supported.</t>
  </si>
  <si>
    <t>[Park, Joseph; Haralabus, Georgios; Zampolli, Mario; Metz, Dirk] Comprehens Nucl Test Ban Treaty Org, Int Monitoring Syst Engn &amp; Dev, Vienna, Austria</t>
  </si>
  <si>
    <t>Park, J (corresponding author), Comprehens Nucl Test Ban Treaty Org, Int Monitoring Syst Engn &amp; Dev, Vienna, Austria.</t>
  </si>
  <si>
    <t>JosephPark@IEEE.org</t>
  </si>
  <si>
    <t>Park, Joseph/0000-0001-5411-1409</t>
  </si>
  <si>
    <t>ACOUSTICAL SOC AMER AMER INST PHYSICS</t>
  </si>
  <si>
    <t>MELVILLE</t>
  </si>
  <si>
    <t>STE 1 NO 1, 2 HUNTINGTON QUADRANGLE, MELVILLE, NY 11747-4502 USA</t>
  </si>
  <si>
    <t>0001-4966</t>
  </si>
  <si>
    <t>1520-8524</t>
  </si>
  <si>
    <t>J ACOUST SOC AM</t>
  </si>
  <si>
    <t>J. Acoust. Soc. Am.</t>
  </si>
  <si>
    <t>10.1121/10.0017840</t>
  </si>
  <si>
    <t>Acoustics; Audiology &amp; Speech-Language Pathology</t>
  </si>
  <si>
    <t>E1TT6</t>
  </si>
  <si>
    <t>WOS:000973451000003</t>
  </si>
  <si>
    <t>Ming, FC; Hauchecorne, A; Bellisario, C; Simoneau, P; Keckhut, P; Trémoulu, S; Listowski, C; Berthet, G; Jégou, F; Khaykin, S; Tidiga, M; Le Pichon, A</t>
  </si>
  <si>
    <t>Chane Ming, Fabrice; Hauchecorne, Alain; Bellisario, Christophe; Simoneau, Pierre; Keckhut, Philippe; Tremoulu, Samuel; Listowski, Constantino; Berthet, Gwenael; Jegou, Fabrice; Khaykin, Sergey; Tidiga, Mariam; Le Pichon, Alexis</t>
  </si>
  <si>
    <t>Case Study of a Mesospheric Temperature Inversion over Maido Observatory through a Multi-Instrumental Observation</t>
  </si>
  <si>
    <t>mesospheric inversion layer; gravity wave; wave coupling; Rossby wave</t>
  </si>
  <si>
    <t>INERTIA-GRAVITY-WAVES; ANTARCTIC OZONE HOLE; MIDDLE ATMOSPHERE; NA LIDAR; MODEL; LAYERS; STRATOSPHERE; PROPAGATION; SIMULATION; ALTITUDE</t>
  </si>
  <si>
    <t>The dynamic vertical coupling in the middle and lower thermosphere (MLT) is documented over the Maido observatory at La Reunion island (21 degrees S, 55 degrees E). The investigation uses data obtained in the framework of the Atmospheric dynamics Research InfraStructure in Europe (ARISE) project. In particular, Rayleigh lidar and nightglow measurements combined with other observations and modeling provide information on a mesospheric inversion layer (MIL) and the related gravity waves (GWs) on 9 and 10 October 2017. A Rossby wave breaking (RWB) produced instabilities in the sheared background wind and a strong tropospheric activity of GWs on 9-11 October above La Reunion. The MIL was observed on the night of 9 October when a large amount of tropospheric GWs propagated upward into the middle atmosphere and disappeared on 11 October when the stratospheric zonal wind filtering became a significant blocking. Among other results, dominant mesospheric GW modes with vertical wavelengths of about 4-6 km and 10-13 km can be traced down to the troposphere and up to the mesopause. Dominant GWs with a wavelength of 2-3 km and 6 km also propagated upward and eastward from the tropospheric source into the stratosphere on 9-11 October. Sounding of the Atmosphere using Broadband Emission Radiometry (SABER) temperature and OH profiles indicate that GW activity in the middle atmosphere affects the upper atmosphere with waves breaking at heights below the MIL and in the mesopause. Several techniques are illustrated on nightglow images to access GW activity and spectral characteristics at the mesopause for high and low frequency GWs on the nights of 9-10 October. In conclusion, intense tropospheric activity of GWs induced by RWB events can be linked with MILs at the subtropical barrier in the South-West Indian Ocean during austral winter.</t>
  </si>
  <si>
    <t>[Chane Ming, Fabrice; Tremoulu, Samuel] Univ Reunion, LACy, CNRS Meteo France, UMR 8105, F-97744 St Denis, France; [Hauchecorne, Alain; Keckhut, Philippe; Khaykin, Sergey] Univ Paris Saclay, LATMOS IPSL, CNRS, INSU,UMR 8190, F-78280 Guyancourt, France; [Bellisario, Christophe; Simoneau, Pierre] Off Natl Etud &amp; Rech Aerosp, Chemin Huniere, F-91123 Palaiseau, France; [Listowski, Constantino; Le Pichon, Alexis] CEA, DAM, DIF, F-91297 Arpajon, France; [Berthet, Gwenael; Jegou, Fabrice; Tidiga, Mariam] Univ Orleans, CNRS, CNES, UMR 7328,LPC2E, F-45071 Orleans, France</t>
  </si>
  <si>
    <t>University of La Reunion; Centre National de la Recherche Scientifique (CNRS); CNRS - National Institute for Earth Sciences &amp; Astronomy (INSU); Meteo France; Universite Paris Cite; Sorbonne Universite; Centre National de la Recherche Scientifique (CNRS); CNRS - National Institute for Earth Sciences &amp; Astronomy (INSU); Universite Paris Saclay; National Office for Aerospace Studies &amp; Research (ONERA); Universite Paris Saclay; CEA; Centre National de la Recherche Scientifique (CNRS); Universite de Orleans; CNRS - National Institute for Earth Sciences &amp; Astronomy (INSU)</t>
  </si>
  <si>
    <t>Ming, FC (corresponding author), Univ Reunion, LACy, CNRS Meteo France, UMR 8105, F-97744 St Denis, France.</t>
  </si>
  <si>
    <t>fchane@univ-reunion.fr; constantino.listowski@cea.fr</t>
  </si>
  <si>
    <t>; Berthet, Gwenael/H-8010-2018; Listowski, Constantino/X-8595-2019</t>
  </si>
  <si>
    <t>Hauchecorne, Alain/0000-0001-9888-6994; Berthet, Gwenael/0000-0003-3169-1636; Listowski, Constantino/0000-0001-8693-8689; TREMOULU, Samuel/0009-0003-5282-3412</t>
  </si>
  <si>
    <t>10.3390/rs15082045</t>
  </si>
  <si>
    <t>E7IE6</t>
  </si>
  <si>
    <t>WOS:000977229500001</t>
  </si>
  <si>
    <t>Li, SQ; Zhang, Y; Chen, CS; Zhang, YR; Xu, DY; Hu, S</t>
  </si>
  <si>
    <t>Li, Siqi; Zhang, Yu; Chen, Changsheng; Zhang, Yiran; Xu, Danya; Hu, Song</t>
  </si>
  <si>
    <t>Assessment of Antarctic Sea Ice Cover in CMIP6 Prediction with Comparison to AMSR2 during 2015-2021</t>
  </si>
  <si>
    <t>Antarctic; CMIP6; AMSR2; sea ice extent; sea ice area; sea ice concentration</t>
  </si>
  <si>
    <t>VARIABILITY</t>
  </si>
  <si>
    <t>A comprehensive assessment of Antarctic sea ice cover prediction is conducted for twelve CMIP6 models under the scenario of SSP2-4.5, with a comparison to the observed data from the Advanced Microwave Scanning Radiometer 2 (AMSR2) during 2015-2021. In the quantitative evaluation of sea ice extent (SIE) and sea ice area (SIA), most CMIP6 models show reasonable variation and relatively small differences compared to AMSR2. CMCC-CM4-SR5 shows the highest correlation coefficient (0.98 and 0.98) and the lowest RMSD (0.98 x 10(6) km(2) and 1.07 x 10(6) km(2)) for SIE and SIA, respectively. In the subregions, the models with the highest correlation coefficient and the lowest RMSD for SIE and SIA are inconsistent. Most models tend to predict smaller SIE and SIA compared to the observational data. GFDL-CM4 and FGOALS-g3 show the smallest mean bias (-4.50 and -1.21 x 10(5) km(2)) and the most reasonable interannual agreement of SIE and SIA with AMSR2, respectively. In the assessment of sea ice concentration (SIC), while most models can accurately predict the distribution of large SIC surrounding the Antarctic coastal regions, they tend to underestimate SIC and are unable to replicate the major patterns in the sea ice edge region. GFDL-CM4 and FIO-ESM-2-0 exhibit superior performance, with less bias (less than -5%) and RMSD (less than 23%) for SIC in the Antarctic. GFDL-CM4, FIO-ESM-2-0, and CESM2 exhibit relatively high positive correlation coefficients exceeding 0.60 with the observational data, while few models achieve satisfactory linear trend prediction of SIC. Through the comparison with RMSD, Taylor score (TS) consistently evaluates the Antarctic sea ice cover and proves to be a representative statistical indicator and applicable for its assessment. Based on comprehensive assessments of sea ice cover, CESM2, CMCC-CM4-SR5, FGOALS-g3, FIO-ESM-2-0, and GFDL-CM4 demonstrate more reasonable prediction performance. The assessment findings enhance the understanding of the uncertainties associated with sea ice in the CMIP6 models and highlighting the need for a meticulous selection of the multimodel ensemble.</t>
  </si>
  <si>
    <t>[Li, Siqi; Zhang, Yu; Zhang, Yiran; Hu, Song] Shanghai Ocean Univ, Coll Marine Sci, Shanghai 201306, Peoples R China; [Zhang, Yu; Xu, Danya] Southern Marine Sci &amp; Engn Guangdong Lab Zhuhai, Zhuhai 519082, Peoples R China; [Chen, Changsheng] Univ Massachusetts Dartmouth, Sch Marine Sci &amp; Technol, New Bedford, MA 02744 USA</t>
  </si>
  <si>
    <t>Shanghai Ocean University; Southern Marine Science &amp; Engineering Guangdong Laboratory; Southern Marine Science &amp; Engineering Guangdong Laboratory (Zhuhai); University of Massachusetts System; University Massachusetts Dartmouth</t>
  </si>
  <si>
    <t>Zhang, Y (corresponding author), Shanghai Ocean Univ, Coll Marine Sci, Shanghai 201306, Peoples R China.;Zhang, Y (corresponding author), Southern Marine Sci &amp; Engn Guangdong Lab Zhuhai, Zhuhai 519082, Peoples R China.</t>
  </si>
  <si>
    <t>yuzhang@shou.edu.cn</t>
  </si>
  <si>
    <t>Zhang, Yu/AAE-6967-2020</t>
  </si>
  <si>
    <t>Zhang, Yu/0000-0001-8099-9114; Chen, Changsheng/0000-0001-8715-6101</t>
  </si>
  <si>
    <t>10.3390/rs15082048</t>
  </si>
  <si>
    <t>E6ZV8</t>
  </si>
  <si>
    <t>WOS:000977011100001</t>
  </si>
  <si>
    <t>Zare, M; Kazempour, M; Hosseini, H; Choupani, SMH; Akhavan, SR; Rombenso, A; Esmaeili, N</t>
  </si>
  <si>
    <t>Zare, Mahyar; Kazempour, Mohammad; Hosseini, Hossein; Choupani, Seyedeh Mahsa Hosseini; Akhavan, Sobhan R.; Rombenso, Artur; Esmaeili, Noah</t>
  </si>
  <si>
    <t>Fish Meal Replacement and Early Mild Stress Improve Stress Responsiveness and Survival of Fish after Acute Stress</t>
  </si>
  <si>
    <t>antioxidant responses; blood performance; blood biochemistry; stress physiology; stress responses</t>
  </si>
  <si>
    <t>TROUT ONCORHYNCHUS-MYKISS; JUVENILE RAINBOW-TROUT; GROUPER EPINEPHELUS-COIOIDES; ALLIUM-SATIVUM POWDER; GROWTH-PERFORMANCE; BONE MEAL; DISEASE RESISTANCE; NONSPECIFIC IMMUNITY; ENZYME-ACTIVITIES; DIGESTIVE ENZYME</t>
  </si>
  <si>
    <t>Simple Summary Early mild stress is a less-studied topic in aquaculture. Due to limitations in fish meal and oil resources as an obstacle for aquaculture sustainability, fish meal replacement has been widely investigated in different aquatic species but not oscars. This study investigated the effect of early mild stress (netting) and fishmeal replacement with meat and bone meal and their interactions on growth, hematology, blood biochemistry, immune responses, antioxidant system, liver enzymes, and stress responses of oscars. After the experiment, FM levels in diets did not affect growth data, but the survival rate after the acute confinement stress was lower in those fed not-enough fish meals. Further, exposing fish to too much early mild stress decreased growth and survival rate. Lower survival and growth rate in those treatments connected to the lowest blood performance, total protein, lysozyme, complement C4, complement C3, immuno-globulin, superoxide dismutase, catalase, glutathione peroxidase, and the highest glucose. Stress responsiveness and fish meal (FM) replacement are two of the most important concerns toward achieving sustainable aquaculture. The purpose of this study was to see how early mild stress (netting) and FM replacement with meat and bone meal (MBM) affected oscar (Astronotus ocellatus; 5.2 +/- 0.9 g) growth, hematology, blood biochemistry, immune responses, antioxidant system, liver enzymes, and stress responses. Oscars were subjected to a 3 x 3 experimental design (three fish meal replacement levels: 250, 180 and 110 g/kg of FM in diets; three stress periods: 0-, 2- and 3-times early mild stress). After ten weeks of the experiment, FM levels in diets did not affect growth data, but the survival rate after the acute confinement (AC) stress was lower in 11FM treatments (47.7% compared to 67.7%) than others. Fish exposed to the 3Stress schedule had a lower growth (31.03 +/- 6.50 g) and survival rate (55.5%) after the AC stress than the 2Stress group (38.92 +/- 6.82 g and 70.0%). Lower survival and growth rate in the 3Stress and 11FM groups coincided with the lowest blood performance, total protein, lysozyme, complement C4, complement C3, immunoglobulin, superoxide dismutase, catalase, glutathione peroxidase, and the highest glucose, cortisol, low-density lipoprotein and aspartate aminotransferase serum levels. Altogether, this study revealed that it is possible to replace FM with MBM up to 28% (180 g/kg of FM) without negative effects on the growth and health of juvenile oscar as dietary 110 g/kg of FM impaired fish health. While fish welfare should be considered, we can conclude that mild stress (2Stress) during the farming period, but without adding excessive alternative protein sources, can improve the stress responsiveness of oscar.</t>
  </si>
  <si>
    <t>[Zare, Mahyar] Univ South Bohemia Ceske Budejovice, Inst Aquaculture &amp; Protect Waters, Fac Fisheries &amp; Protect Waters, South Bohemian Res Ctr Aquaculture &amp; Biodivers Hyd, Ceske Budejovice 37005, Czech Republic; [Kazempour, Mohammad; Hosseini, Hossein] Razi Univ, Fac Vet Med, Dept Microbiol Pathobiol &amp; Basic Sci, Kermanshah 6714414971, Iran; [Choupani, Seyedeh Mahsa Hosseini] Tarbiat Modares Univ, Fac Marine Sci, Dept Fisheries, Noor 4641776489, Iran; [Akhavan, Sobhan R.] Nelson Marlborough Inst Technol, 322 Hardy St,Private Bag 19, Nelson 7010, New Zealand; [Rombenso, Artur] Commonwealth Sci &amp; Ind Res Org CSIRO, Bribie Isl Res Ctr, Agr &amp; Food Livestock &amp; Aquaculture Program, Woorim, Qld 4507, Australia; [Esmaeili, Noah] Univ Tasmania, Inst Marine &amp; Antarctic Studies, Hobart, Tas 7053, Australia</t>
  </si>
  <si>
    <t>University of South Bohemia Ceske Budejovice; Razi University; Tarbiat Modares University; Nelson Marlborough Institute of Technology; Queensland Department of Agriculture &amp; Fisheries; Commonwealth Scientific &amp; Industrial Research Organisation (CSIRO); University of Tasmania</t>
  </si>
  <si>
    <t>Esmaeili, N (corresponding author), Univ Tasmania, Inst Marine &amp; Antarctic Studies, Hobart, Tas 7053, Australia.</t>
  </si>
  <si>
    <t>noah.esmaeili@utas.edu.au</t>
  </si>
  <si>
    <t>Zare, Mahyar/IWU-8340-2023; Esmaeili, Noah/Q-4536-2019; Rombenso, Artur/B-6978-2019</t>
  </si>
  <si>
    <t>Zare, Mahyar/0000-0002-4063-0563; Esmaeili, Noah/0000-0001-8704-939X; Rombenso, Artur/0000-0002-4723-0888</t>
  </si>
  <si>
    <t>10.3390/ani13081314</t>
  </si>
  <si>
    <t>E9CO0</t>
  </si>
  <si>
    <t>WOS:000978438400001</t>
  </si>
  <si>
    <t>De Felice, A; Manini, E; Biagiotti, I; Leonori, I</t>
  </si>
  <si>
    <t>De Felice, Andrea; Manini, Elena; Biagiotti, Ilaria; Leonori, Iole</t>
  </si>
  <si>
    <t>Bioenergetics of Euphausia superba and Euphausia crystallorophias in the Ross Sea</t>
  </si>
  <si>
    <t>DIVERSITY-BASEL</t>
  </si>
  <si>
    <t>bioenergetics; Euphausia superba; Euphausia crystallorophias; biochemical composition; fatty acids; Ross Sea</t>
  </si>
  <si>
    <t>ANTARCTIC KRILL; FATTY-ACID; BIOCHEMICAL-COMPOSITION; LIPID-METABOLISM; DIET; INSIGHTS; COPEPODA; STORAGE; DANA; SIZE</t>
  </si>
  <si>
    <t>Krill species are key organisms in the Antarctic food web. Biochemical composition in terms of lipids, proteins, carbohydrates, and fatty acids and its implications for spatial distribution were investigated in specimens of Euphausia superba and Euphausia crystallorophias collected in the Ross Sea and the adjacent Pacific region during an acoustic survey carried out within the framework of the 19th Italian National Program for Research in Antarctica (PNRA) Expedition, to gain insights into their trophic relationships and bioenergetic strategies. In both species, the body biochemical composition (wet) showed a predominance of proteins (62-86%), followed by lipids and carbohydrates, and, among identified lipid classes, the two species did not seem to differ much in fatty acid composition. Results showed the highest dissimilarity in biochemical composition between species relative to differences in latitude (24%) and to inshore/offshore haul (22%). Fatty acid analysis, and particularly PUFA/SFA and 18PUFA/16PUFA ratios, allowed identification of a more pronounced omnivorous kind of diet in E. crystallorophias relative to E. superba.</t>
  </si>
  <si>
    <t>[De Felice, Andrea; Manini, Elena; Biagiotti, Ilaria; Leonori, Iole] Natl Res Council CNR, IRBIM Inst Marine Biol Resources &amp; Biotechnol, Largo Fiera della Pesca 1, I-60125 Ancona, Italy</t>
  </si>
  <si>
    <t>Consiglio Nazionale delle Ricerche (CNR); Istituto per le Risorse Biologiche Biotecnologie Marine (IRBIM-CNR)</t>
  </si>
  <si>
    <t>De Felice, A (corresponding author), Natl Res Council CNR, IRBIM Inst Marine Biol Resources &amp; Biotechnol, Largo Fiera della Pesca 1, I-60125 Ancona, Italy.</t>
  </si>
  <si>
    <t>andrea.defelice@cnr.it</t>
  </si>
  <si>
    <t>Leonori, Iole/AAD-7901-2020; Biagiotti, Ilaria/C-8893-2014; , Andrea/L-9465-2014</t>
  </si>
  <si>
    <t>Leonori, Iole/0000-0001-7673-1684; Biagiotti, Ilaria/0000-0002-5395-6896; , Andrea/0000-0002-0051-2052</t>
  </si>
  <si>
    <t>1424-2818</t>
  </si>
  <si>
    <t>Diversity-Basel</t>
  </si>
  <si>
    <t>10.3390/d15040480</t>
  </si>
  <si>
    <t>E7VR2</t>
  </si>
  <si>
    <t>WOS:000977580900001</t>
  </si>
  <si>
    <t>Sannino, C; Borruso, L; Mezzasoma, A; Turchetti, B; Ponti, S; Buzzini, P; Mimmo, T; Guglielmin, M</t>
  </si>
  <si>
    <t>Sannino, Ciro; Borruso, Luigimaria; Mezzasoma, Ambra; Turchetti, Benedetta; Ponti, Stefano; Buzzini, Pietro; Mimmo, Tanja; Guglielmin, Mauro</t>
  </si>
  <si>
    <t>The Unusual Dominance of the Yeast Genus Glaciozyma in the Deeper Layer in an Antarctic Permafrost Core (Adelie Cove, Northern Victoria Land) Is Driven by Elemental Composition</t>
  </si>
  <si>
    <t>JOURNAL OF FUNGI</t>
  </si>
  <si>
    <t>Antarctica; abiotic parameters; chemical-physical parameters; fungal community; metabarcoding; rock glaciers; ice core</t>
  </si>
  <si>
    <t>FUNGAL COMMUNITIES; COLD; DIVERSITY; PI12; SOIL; DEGRADATION; STRATEGY; NITROGEN; ECOLOGY; CARBON</t>
  </si>
  <si>
    <t>Rock glaciers are relatively common in Antarctic permafrost areas and could be considered postglacial cryogenic landforms. Although the extensive presence of rock glaciers, their chemical-physical and biotic composition remain scarce. Chemical-physical parameters and fungal community (by sequencing the ITS2 rDNA, Illumina MiSeq) parameters of a permafrost core were studied. The permafrost core, reaching a depth of 6.10 m, was divided into five units based on ice content. The five units (U1-U5) of the permafrost core exhibited several significant (p &lt; 0.05) differences in terms of chemical and physical characteristics, and significant (p &lt; 0.05) higher values of Ca, K, Li, Mg, Mn, S, and Sr were found in U5. Yeasts dominated on filamentous fungi in all the units of the permafrost core; additionally, Ascomycota was the prevalent phylum among filamentous forms, while Basidiomycota was the dominant phylum among yeasts. Surprisingly, in U5 the amplicon sequence variants (ASVs) assigned to the yeast genus Glaciozyma represented about two-thirds of the total reads. This result may be considered extremely rare in Antarctic yeast diversity, especially in permafrost habitats. Based on of the chemical-physical composition of the units, the dominance of Glaciozyma in the deepest unit was correlated with the elemental composition of the core.</t>
  </si>
  <si>
    <t>[Sannino, Ciro; Mezzasoma, Ambra; Turchetti, Benedetta; Buzzini, Pietro] Univ Perugia, Dept Agr Food &amp; Environm Sci, Ind Yeasts Collect DBVPG, I-06121 Perugia, Italy; [Borruso, Luigimaria; Mimmo, Tanja] Free Univ Bozen Bolzano, Fac Sci &amp; Technol, I-39100 Bozen Bolzano, Italy; [Ponti, Stefano; Guglielmin, Mauro] Insubria Univ, Dept Theoret &amp; Appl Sci, I-21100 Varese, Italy</t>
  </si>
  <si>
    <t>University of Perugia; Free University of Bozen-Bolzano; University of Insubria</t>
  </si>
  <si>
    <t>Turchetti, B (corresponding author), Univ Perugia, Dept Agr Food &amp; Environm Sci, Ind Yeasts Collect DBVPG, I-06121 Perugia, Italy.</t>
  </si>
  <si>
    <t>benedetta.turchetti@unipg.it</t>
  </si>
  <si>
    <t>Ponti, Stefano/AAB-3484-2021</t>
  </si>
  <si>
    <t>Ponti, Stefano/0000-0002-4718-165X; Borruso, Luigimaria/0000-0002-7445-3454; Buzzini, Pietro/0000-0001-6793-0606; Mimmo, Tanja/0000-0002-2375-8370; turchetti, benedetta/0000-0002-7370-3028</t>
  </si>
  <si>
    <t>Italian National Program for Antarctic Research (PNRA) [PNRA 14_00132, PNRA 18_00015, PNRA18_00186]</t>
  </si>
  <si>
    <t>Italian National Program for Antarctic Research (PNRA)</t>
  </si>
  <si>
    <t>This research was funded by Italian National Program for Antarctic Research (PNRA), grant numbers PNRA 14_00132, PNRA 18_00015, and PNRA18_00186.</t>
  </si>
  <si>
    <t>2309-608X</t>
  </si>
  <si>
    <t>J FUNGI</t>
  </si>
  <si>
    <t>J. Fungi</t>
  </si>
  <si>
    <t>10.3390/jof9040435</t>
  </si>
  <si>
    <t>Microbiology; Mycology</t>
  </si>
  <si>
    <t>E7RJ7</t>
  </si>
  <si>
    <t>WOS:000977469400001</t>
  </si>
  <si>
    <t>Yu, QZ; Wang, RK; Liu, FH; Xiao, JS; An, JC; Liu, J</t>
  </si>
  <si>
    <t>Yu, Qiuze; Wang, Ruikai; Liu, Fanghong; Xiao, Jinsheng; An, Jiachun; Liu, Jin</t>
  </si>
  <si>
    <t>High Precision Mesh-Based Drone Image Stitching Based on Salient Structure Preservation and Regular Boundaries</t>
  </si>
  <si>
    <t>DRONES</t>
  </si>
  <si>
    <t>drone image stitching; bundle adjustment; mesh optimization; boundary constraint; structure preservation; unmanned aerial vehicle images</t>
  </si>
  <si>
    <t>PRESERVING APPROACH; ALGORITHM; WARPS</t>
  </si>
  <si>
    <t>Addressing problems such as obvious ghost, dislocation, and distortion resulting from the traditional stitching method, a novel drone image-stitching method is proposed using mesh-based local double-feature bundle adjustment and salient structure preservation which aims to obtain more natural panoramas.The proposed method is divided into the following steps. First, reducing parallax error is considered from both global and local aspects. Global bundle adjustment is introduced to minimize global transfer error, and then the local mesh-based feature-alignment model is incorporated into the optimization framework to achieve more accurate alignment. Considering the sensitivity of human eyes to linear structure, the global linear structure that runs through the images obtained by segment fusion is introduced to prevent distortions and align matching line segments better. Rectangular panoramas usually have better visual effects. Therefore, regular boundary constraint combined with mesh-based shape-preserving transform can make the results more natural while preserving mesh geometry. Two new evaluation metrics are also developed to quantify the performance of linear structure preservation and the alignment difference of matching line segments. Extensive experiments show that our proposed method can eliminate parallax and preserve global linear structures better than other state-of-the-art stitching methods and obtain more natural-looking stitching results.</t>
  </si>
  <si>
    <t>[Yu, Qiuze; Wang, Ruikai; Liu, Fanghong; Xiao, Jinsheng] Wuhan Univ, Elect Informat Sch, Wuhan 430072, Peoples R China; [An, Jiachun] Wuhan Univ, Chinese Antarctic Ctr Surveying &amp; Mapping, Wuhan 430079, Peoples R China; [Liu, Jin] Wuhan Univ, State Key Lab Informat Engn Surveying Mapping &amp; Re, Wuhan 430079, Peoples R China</t>
  </si>
  <si>
    <t>Wuhan University; Wuhan University; Wuhan University</t>
  </si>
  <si>
    <t>Wang, RK (corresponding author), Wuhan Univ, Elect Informat Sch, Wuhan 430072, Peoples R China.</t>
  </si>
  <si>
    <t>2017301200198@whu.edu.cn</t>
  </si>
  <si>
    <t>Xiao, Jinsheng/AAG-2392-2019; Liu, Fanghong/JXM-6567-2024</t>
  </si>
  <si>
    <t>Xiao, Jinsheng/0000-0002-5403-1895; Liu, Fanghong/0009-0002-0120-6716; An, Jiachun/0000-0002-3106-0714</t>
  </si>
  <si>
    <t>National Key R&amp;D Program of China [2021YFC3000501-01]</t>
  </si>
  <si>
    <t>National Key R&amp;D Program of China</t>
  </si>
  <si>
    <t>This work was supported by the National Key R&amp;D Program of China (2021YFC3000501-01).</t>
  </si>
  <si>
    <t>2504-446X</t>
  </si>
  <si>
    <t>DRONES-BASEL</t>
  </si>
  <si>
    <t>Drones-Basel</t>
  </si>
  <si>
    <t>10.3390/drones7040230</t>
  </si>
  <si>
    <t>Remote Sensing</t>
  </si>
  <si>
    <t>E7WK3</t>
  </si>
  <si>
    <t>WOS:000977600000001</t>
  </si>
  <si>
    <t>Stewart, AL; Neumann, NK; Solodoch, A</t>
  </si>
  <si>
    <t>Stewart, Andrew L.; Neumann, Nicole K.; Solodoch, Aviv</t>
  </si>
  <si>
    <t>?Eddy? Saturation of the Antarctic Circumpolar Current by Standing Waves</t>
  </si>
  <si>
    <t>JOURNAL OF PHYSICAL OCEANOGRAPHY</t>
  </si>
  <si>
    <t>Southern Ocean; Channel flows; Momentum; Ocean dynamics; Eddies; Idealized models</t>
  </si>
  <si>
    <t>MERIDIONAL OVERTURNING CIRCULATION; SOUTHERN-OCEAN; MOMENTUM BALANCE; WIND-DRIVEN; TRANSPORT; FLUX; PARAMETERIZATION; VARIABILITY; TOPOGRAPHY; TURBULENCE</t>
  </si>
  <si>
    <t>It is now well established that changes in the zonal wind stress over the Antarctic Circumpolar Current (ACC) do not lead to changes in its baroclinicity nor baroclinic transport, a phenomenon referred to as eddy satu-ration. Previous studies provide contrasting dynamical mechanisms for this phenomenon: on one extreme, changes in the winds lead to changes in the efficiency with which transient eddies transfer momentum to the sea floor; on the other extreme, structural adjustments of the ACC's standing meanders increase the efficiency of momentum transfer. In this study the authors investigate the relative importance of these mechanisms using an idealized, isopycnal channel model of the ACC. Via separate diagnoses of the model's time-mean flow and eddy diffusivity, the authors decompose the model's response to changes in wind stress into contributions from transient eddies and the mean flow. A key result is that holding the transient eddy diffusivity constant while varying the mean flow very closely compensates for changes in the wind stress, whereas holding the mean flow constant and varying the eddy diffusivity does not. This implies that eddy saturation primarily occurs due to adjustments in the ACC's standing waves/meanders, rather than due to adjust-ments of transient eddy behavior. The authors derive a quasigeostrophic theory for ACC transport saturation by stand-ing waves, in which the transient eddy diffusivity is held fixed, and thus provides dynamical insights into standing wave adjustment to wind changes. These findings imply that representing eddy saturation in global models requires adequate resolution of the ACC's standing meanders, with wind-responsive parameterizations of the transient eddies being of sec-ondary importance.</t>
  </si>
  <si>
    <t>[Stewart, Andrew L.; Solodoch, Aviv] Univ Calif Los Angeles, Dept Atmospher &amp; Ocean Sci, Los Angeles, CA 90095 USA; [Neumann, Nicole K.] Columbia Univ, Columbia Climate Sch, Lamont Doherty Earth Observ, Palisades, NY USA</t>
  </si>
  <si>
    <t>University of California System; University of California Los Angeles; Columbia University</t>
  </si>
  <si>
    <t>Stewart, AL (corresponding author), Univ Calif Los Angeles, Dept Atmospher &amp; Ocean Sci, Los Angeles, CA 90095 USA.</t>
  </si>
  <si>
    <t>astewart@atmos.ucla.edu</t>
  </si>
  <si>
    <t>Stewart, Andrew/0000-0001-5861-4070</t>
  </si>
  <si>
    <t>Aeronautics and Space Administration ROSES Physical Oceanography program [80NSSC19K1192]; National Science Foundation [ACI-1548562]</t>
  </si>
  <si>
    <t>Aeronautics and Space Administration ROSES Physical Oceanography program; National Science Foundation(National Science Foundation (NSF))</t>
  </si>
  <si>
    <t>Aeronautics and Space Administration ROSES Physical Oceanography program under Grant 80NSSC19K1192. This work used the Extreme Science and Engineering Discovery Environment (XSEDE; Towns et al. 2014) , which is supported by National Science Foundation Grant ACI-1548562. The authors thank two anonymous reviewers for comments that improved the submitted manuscript and editor Paola Cessi for handling the peerreview process.</t>
  </si>
  <si>
    <t>0022-3670</t>
  </si>
  <si>
    <t>1520-0485</t>
  </si>
  <si>
    <t>J PHYS OCEANOGR</t>
  </si>
  <si>
    <t>J. Phys. Oceanogr.</t>
  </si>
  <si>
    <t>10.1175/JPO-D-22-0154.1</t>
  </si>
  <si>
    <t>E6FS7</t>
  </si>
  <si>
    <t>WOS:000976484700001</t>
  </si>
  <si>
    <t>Yao, ZQ; Zhang, T; Wu, L; Wang, XY; Huang, JQ</t>
  </si>
  <si>
    <t>Yao, Ziqiang; Zhang, Tao; Wu, Li; Wang, Xiaoying; Huang, Jianqiang</t>
  </si>
  <si>
    <t>Physics-Informed Deep Learning for Reconstruction of Spatial Missing Climate Information in the Antarctic</t>
  </si>
  <si>
    <t>deep learning; missing value reconstruction; numerical climate model; ERA5; Antarctica</t>
  </si>
  <si>
    <t>INTERPOLATION; PREDICTION</t>
  </si>
  <si>
    <t>Understanding the influence of the Antarctic on the global climate is crucial for the prediction of global warming. However, due to very few observation sites, it is difficult to reconstruct the rational spatial pattern by filling in the missing values from the limited site observations. To tackle this challenge, regional spatial gap-filling methods, such as Kriging and inverse distance weighted (IDW), are regularly used in geoscience. Nevertheless, the reconstructing credibility of these methods is undesirable when the spatial structure has massive missing pieces. Inspired by image inpainting, we propose a novel deep learning method that demonstrates a good effect by embedding the physics-aware initialization of deep learning methods for rapid learning and capturing the spatial dependence for the high-fidelity imputation of missing areas. We create the benchmark dataset that artificially masks the Antarctic region with ratios of 30%, 50% and 70%. The reconstructing monthly mean surface temperature using the deep learning image inpainting method RFR (Recurrent Feature Reasoning) exhibits an average of 63% and 71% improvement of accuracy over Kriging and IDW under different missing rates. With regard to wind speed, there are still 36% and 50% improvements. In particular, the achieved improvement is even better for the larger missing ratio, such as under the 70% missing rate, where the accuracy of RFR is 68% and 74% higher than Kriging and IDW for temperature and also 38% and 46% higher for wind speed. In addition, the PI-RFR (Physics-Informed Recurrent Feature Reasoning) method we proposed is initialized using the spatial pattern data simulated by the numerical climate model instead of the unified average. Compared with RFR, PI-RFR has an average accuracy improvement of 10% for temperature and 9% for wind speed. When applied to reconstruct the spatial pattern based on the Antarctic site observations, where the missing rate is over 90%, the proposed method exhibits more spatial characteristics than Kriging and IDW.</t>
  </si>
  <si>
    <t>[Yao, Ziqiang; Wu, Li; Wang, Xiaoying; Huang, Jianqiang] Qinghai Univ, Dept Comp Technol &amp; Applicat, Xining 810016, Peoples R China; [Zhang, Tao] Brookhaven Natl Lab, Upton, NY 11973 USA</t>
  </si>
  <si>
    <t>Qinghai University; United States Department of Energy (DOE); Brookhaven National Laboratory</t>
  </si>
  <si>
    <t>Wu, L (corresponding author), Qinghai Univ, Dept Comp Technol &amp; Applicat, Xining 810016, Peoples R China.;Zhang, T (corresponding author), Brookhaven Natl Lab, Upton, NY 11973 USA.</t>
  </si>
  <si>
    <t>tzhang@bnl.gov; wuli777@qhu.edu.cn</t>
  </si>
  <si>
    <t>Wang, Xiaoying/HQZ-5659-2023</t>
  </si>
  <si>
    <t>Wang, Xiaoying/0000-0003-1029-0358</t>
  </si>
  <si>
    <t>National Natural Science Foundation of China [42265010, 62162053, 62062059, 62166032]; Natural Science Foundation of Qinghai Province [2023-ZJ-906M]; Youth Scientific Research Foundation of Qinghai University [2022-QGY-6]; Open Project of State Key Laboratory of Plateau Ecology and Agriculture, Qinghai University [2020-ZZ-03]; U.S. Department of Energy's Atmospheric System Research, an Office of Science Biological and Environmental Research program; DOE by Brookhaven Science Associates [DE-SC0012704]</t>
  </si>
  <si>
    <t>National Natural Science Foundation of China(National Natural Science Foundation of China (NSFC)); Natural Science Foundation of Qinghai Province; Youth Scientific Research Foundation of Qinghai University; Open Project of State Key Laboratory of Plateau Ecology and Agriculture, Qinghai University; U.S. Department of Energy's Atmospheric System Research, an Office of Science Biological and Environmental Research program(United States Department of Energy (DOE)); DOE by Brookhaven Science Associates</t>
  </si>
  <si>
    <t>This paper is funded by The National Natural Science Foundation of China (No.42265010, No.62162053, No.62062059, No.62166032), Natural Science Foundation of Qinghai Province (No.2023-ZJ-906M), Youth Scientific Research Foundation of Qinghai University (No.2022-QGY-6) and the Open Project of State Key Laboratory of Plateau Ecology and Agriculture, Qinghai University (No.2020-ZZ-03). Tao Zhang was supported primarily by the U.S. Department of Energy's Atmospheric System Research, an Office of Science Biological and Environmental Research program. Brookhaven National Laboratory is operated by the DOE by Brookhaven Science Associates under contract DE-SC0012704.</t>
  </si>
  <si>
    <t>10.3390/atmos14040658</t>
  </si>
  <si>
    <t>F0UE4</t>
  </si>
  <si>
    <t>WOS:000979575600001</t>
  </si>
  <si>
    <t>Becker, B; Pushkareva, E</t>
  </si>
  <si>
    <t>Becker, Burkhard; Pushkareva, Ekaterina</t>
  </si>
  <si>
    <t>Metagenomics Provides a Deeper Assessment of the Diversity of Bacterial Communities in Polar Soils Than Metabarcoding</t>
  </si>
  <si>
    <t>metagenomics; metabarcoding; polar regions; terrestrial communities; microbiomes</t>
  </si>
  <si>
    <t>The diversity of soil bacteria was analyzed via metabarcoding and metagenomic approaches using DNA samples isolated from the biocrusts of 12 different Arctic and Antarctic sites. For the metabarcoding approach, the V3-4 region of the 16S rRNA was targeted. Our results showed that nearly all operational taxonomic units (OTUs = taxa) found in metabarcoding analyses were recovered in metagenomic analyses. In contrast, metagenomics identified a large number of additional OTUs absent in metabarcoding analyses. In addition, we found huge differences in the abundance of OTUs between the two methods. The reasons for these differences seem to be (1) the higher sequencing depth in metagenomics studies, which allows the detection of low-abundance community members in metagenomics, and (2) bias of primer pairs used to amplify the targeted sequence in metabarcoding, which can change the community composition dramatically even at the lower taxonomic levels. We strongly recommend using only metagenomic approaches when establishing the taxonomic profiles of whole biological communities.</t>
  </si>
  <si>
    <t>[Becker, Burkhard; Pushkareva, Ekaterina] Univ Cologne, Inst Plant Sci, D-50923 Cologne, Germany</t>
  </si>
  <si>
    <t>University of Cologne</t>
  </si>
  <si>
    <t>Becker, B (corresponding author), Univ Cologne, Inst Plant Sci, D-50923 Cologne, Germany.</t>
  </si>
  <si>
    <t>b.becker@uni-koeln.de</t>
  </si>
  <si>
    <t>Becker, Burkhard/I-4022-2012</t>
  </si>
  <si>
    <t>Becker, Burkhard/0000-0002-7965-1396</t>
  </si>
  <si>
    <t>DFG [491454339, BE1779/19-1]</t>
  </si>
  <si>
    <t>DFG(German Research Foundation (DFG))</t>
  </si>
  <si>
    <t>The work presented is supported by a DFG grant BE1779/19-1 within the priority program SPP1158 (Antarctic Research) to BB. We acknowledge support for the article processing charge from the DFG (491454339).</t>
  </si>
  <si>
    <t>10.3390/genes14040812</t>
  </si>
  <si>
    <t>F0IM6</t>
  </si>
  <si>
    <t>WOS:000979270200001</t>
  </si>
  <si>
    <t>Wieler, R</t>
  </si>
  <si>
    <t>Wieler, Rainer</t>
  </si>
  <si>
    <t>A Journey in Noble Gas Cosmochemistry and Geochemistry</t>
  </si>
  <si>
    <t>GEOCHEMICAL PERSPECTIVES</t>
  </si>
  <si>
    <t>RAY EXPOSURE AGES; SOLAR ENERGETIC PARTICLES; NUCLIDE PRODUCTION-RATES; PREDOMINANTLY NONSOLAR ORIGIN; GEOMAGNETIC-FIELD INTENSITY; PRESOLAR GRAPHITE GRAINS; NORTHERN VICTORIA LAND; SITU COSMOGENIC C-14; ANTARCTIC ICE-SHEET; HF-W CHRONOMETRY</t>
  </si>
  <si>
    <t>I started my journey in science by studying noble gases implanted by the solar wind in dust grains on the surface of the Moon, and with many colleagues I have studied solar wind implanted noble gases in natural and artificial samples throughout my career, the latter exposed primarily by the Genesis space mission. Major questions are what noble gases in the solar wind can tell us about the present and the past Sun, and how they can contribute to understanding the formation and history of the planets and their building blocks, represented, for example, by meteorites. Since my early years as a postdoc, I have also been inter-ested in noble gases (and radioactive nuclides) produced in meteorites and other extraterrestrial samples by interactions with energetic elementary particles from galactic cosmic radiation (and the Sun). These so called cosmogenic nuclides allow us to study the transport of meteorites to Earth, and the dynamics of the top surface layers (regoliths) on the Moon, asteroids, and comets. Cosmogenic noble gases are also crucial for studying even more exotic topics such as the history of tiny presolar grains that formed in the cooling envelopes of earlier generations of stars towards the end of their lives and were eventually incorpo-rated into the meteoritic matter where they are found today. Cosmogenic noble gases in some tiny phases in meteorites are also likely tracers of our highly active Sun at a very early stage in its history. A few years later, I started my third major research topic in cosmochemistry, the study of primordial noble gases in mete-orites and other extraterrestrial samples. These noble gases were incorporated into meteorites or their precursors in the early solar system or even in a presolar environment. I also participated in studies by colleagues of isotopic anomalies of other elements important in cosmochemistry, my expertise being mainly in aspects of the influence of cosmic rays on these elements. Although working in an Earth Science institution, it took quite a while before I started to also study noble gases (and radionuclides) in terrestrial samples. This is described in the second part of this contribution. A major focus was on cosmogenic noble gases and radionuclides produced in samples near the Earth's surface. Although production rates of cosmogenic nuclides on Earth are several orders of magnitude lower than in space, making their analysis more challenging, they have become an important tool in geomorphology. Because stable noble gas nuclides are particularly well suited to the study of ancient landscapes, much of our work focused on areas with arid climates, such as Antarctica and the Andes in Chile, in collaboration with geoscience colleagues. We also participated in the large multinational CRONUS collaboration, funded by the European Union, a community effort to improve our knowledge of nuclide production rates at the Earth's surface. In another major collaboration with external colleagues we are involved in noble gas analyses of water samples, ranging from lakes to aquifers to tiny inclusions in stalagmites. This research focuses on studying lake and groundwater dynamics, including contributions of mantle-derived noble gases such as in volcanic lakes. Atmospheric noble gases dissolved in suitable samples are also palaeotemperature indicators, supplementing information from other proxies such as oxygen isotopes.</t>
  </si>
  <si>
    <t>[Wieler, Rainer] Swiss Fed Inst Technol, Dept Earth Sci, Zurich, Switzerland</t>
  </si>
  <si>
    <t>Swiss Federal Institutes of Technology Domain; ETH Zurich</t>
  </si>
  <si>
    <t>Wieler, R (corresponding author), Swiss Fed Inst Technol, Dept Earth Sci, Zurich, Switzerland.</t>
  </si>
  <si>
    <t>Wieler, Rainer/A-1355-2010</t>
  </si>
  <si>
    <t>EUROPEAN ASSOC GEOCHEMISTRY</t>
  </si>
  <si>
    <t>PARIS CEDEX 05</t>
  </si>
  <si>
    <t>IPGP-GOPEL-BUREAU 566, 1 RUE JUSSIEU, PARIS CEDEX 05, 75238, FRANCE</t>
  </si>
  <si>
    <t>2223-7755</t>
  </si>
  <si>
    <t>2224-2759</t>
  </si>
  <si>
    <t>GEOCHEM PERSPECT</t>
  </si>
  <si>
    <t>Geochem. Perspect.</t>
  </si>
  <si>
    <t>I</t>
  </si>
  <si>
    <t>10.7185/geochempersp.12.1</t>
  </si>
  <si>
    <t>E2TT7</t>
  </si>
  <si>
    <t>WOS:000974129700001</t>
  </si>
  <si>
    <t>de Abreu, AJ; Correia, E; de Jesus, R; Venkatesh, K; Macho, EP; Roberto, M; Fagundes, PR; Gende, M</t>
  </si>
  <si>
    <t>de Abreu, A. J.; Correia, E.; de Jesus, R.; Venkatesh, K.; Macho, E. P.; Roberto, M.; Fagundes, P. R.; Gende, M.</t>
  </si>
  <si>
    <t>Statistical analysis on the ionospheric response over South American mid- and near high-latitudes during 70 intense geomagnetic storms occurred in the period of two decades</t>
  </si>
  <si>
    <t>Geomagnetic storm; Ionosphere; Antarctic sector; GPS-TEC</t>
  </si>
  <si>
    <t>GPS-TEC MEASUREMENTS; F-REGION; ASCENDING PHASE; SECTOR; THERMOSPHERE; EQUATORIAL; IONOSONDE</t>
  </si>
  <si>
    <t>The first-time statistical response of the positive and negative ionospheric storms phases using Vertical Total Electron Content (VTEC) measurements during 70 geomagnetic storms at near high-and mid-latitudes regions in the Antarctic and Argentine/Chilean sectors in the Southern hemisphere are investigated. The study covers the years between 1999 and 2018 of solar cycles 23 and 24, using the Dst &lt;= -100 nT as a criterion for all 70 storms selected. Significant features of solar cycle, seasonal and local time of ionospheric storms are showed. Our results indicate that the occurrence of geomagnetic storms follows a pattern of solar activity dependence, and also indicate a predominance of positive and positive-negative phases during autumn, winter, and spring at mid-latitudes and winter at near high-latitudes. Negative and negative-positive phases occur during all seasons at near high- and mid-latitudes. In addition, positive phases occur more frequently during the daytime while the negative phases occur predominantly in nighttime. There is also a predominance of positive and positive-negative phases simultaneously at near high-and mid-latitudes in the Antarctic and Argentine/Chilean sectors. The percentages of occurrence of positive and positive-negative phases are of 50% and 19%, respectively, at mid-latitude and 60% and 22%, respectively, at near high-latitudes. Negative and negative-positive phases are below 9% at both latitudes.</t>
  </si>
  <si>
    <t>[de Abreu, A. J.; Correia, E.; de Jesus, R.] Inst Nacl Pesquisas Espaciais INPE, Sao Jose Dos Campos, SP, Brazil; [de Abreu, A. J.; Roberto, M.] Inst Tecnol Aeronaut ITA, Div Cie ncias Fundamentais, Sao Jose Dos Campos, SP, Brazil; [Correia, E.; Macho, E. P.] Univ Presbiteriana Mackenzie, Ctr Radio Astron &amp; Astrofis Mackenzie, Sao Paulo, SP, Brazil; [Venkatesh, K.] Phys Res Lab, Ahmadabad 380009, India; [Fagundes, P. R.] Univ Vale Paraiba UNIVAP, Lab Fis &amp; Astron, Sao Jose Dos Campos, SP, Brazil; [Gende, M.] Univ Nacl La Plata UNLP, Fac Ciencias Astron &amp; Geofis, La Plata, Argentina</t>
  </si>
  <si>
    <t>Instituto Nacional de Pesquisas Espaciais (INPE); Comando-Geral de Tecnologia Aeroespacial (CTA); Instituto Tecnologico de Aeronautica (ITA); Universidade Presbiteriana Mackenzie; Department of Space (DoS), Government of India; Physical Research Laboratory - India; Universidade do Vale do Paraiba; National University of La Plata</t>
  </si>
  <si>
    <t>de Abreu, AJ (corresponding author), Inst Nacl Pesquisas Espaciais INPE, Sao Jose Dos Campos, SP, Brazil.</t>
  </si>
  <si>
    <t>abreu.alessandro@gmail.com</t>
  </si>
  <si>
    <t>Fagundes, Paulo Roberto/G-8758-2011; Correia, Emilia/F-6802-2012</t>
  </si>
  <si>
    <t>Fagundes, Paulo Roberto/0000-0003-3764-2202; Correia, Emilia/0000-0003-4778-3834; Macho, Eduardo/0000-0002-0890-7008</t>
  </si>
  <si>
    <t>Brazilian Conselho Nacional de Desen-volvimento Cientifico e Tecnologico (CNPq, Brazil) [101411/20227]; Sao Paulo Research Foundation - FAPESP [16/249707]; CNPq [442101/20180, 306818/20191]; Fundacao de Amparo a Pesquisa do Estado de Sao Paulo (FAPESP, Brazil) [2019/054552]; Coordenacao de Aperfeicoamento de Pessoal de Nivel Superior Brasil (CAPES) [001]</t>
  </si>
  <si>
    <t>Brazilian Conselho Nacional de Desen-volvimento Cientifico e Tecnologico (CNPq, Brazil)(Conselho Nacional de Desenvolvimento Cientifico e Tecnologico (CNPQ)); Sao Paulo Research Foundation - FAPESP(Fundacao de Amparo a Pesquisa do Estado de Sao Paulo (FAPESP)); CNPq(Conselho Nacional de Desenvolvimento Cientifico e Tecnologico (CNPQ)); Fundacao de Amparo a Pesquisa do Estado de Sao Paulo (FAPESP, Brazil)(Fundacao de Amparo a Pesquisa do Estado de Sao Paulo (FAPESP)); Coordenacao de Aperfeicoamento de Pessoal de Nivel Superior Brasil (CAPES)(Coordenacao de Aperfeicoamento de Pessoal de Nivel Superior (CAPES))</t>
  </si>
  <si>
    <t>A. J. de Abreu thanks the Brazilian Conselho Nacional de Desen-volvimento Cientifico e Tecnologico (CNPq, Brazil grant 101411/2022-7) for the partial financial support, and the Sao Paulo Research Foundation - FAPESP for research support (grant 16/24970-7). E. Correia thanks the CNPq (grant nos.: 442101/2018-0 and 306818/2019-1), Fundacao de Amparo a Pesquisa do Estado de Sao Paulo (FAPESP, Brazil, no.: 2019/05455-2) for individual research support, and the Instituto Nacional de Pesquisas Espaciais (INPE/MCTI). The authors thank the authorities of the Rede Brasileira de Monitoramento Continuo de GPS (RBMC), Brazil; Servico de Referencia Geocentrico para as Americas (SIRGAS) and Rede Argentina de Monitoramento Continuo por Satelite (RAMSAC), Argentina; and International Global Navigation Satellite System (GNSS) Service (IGS) for easy access to their data. E. Macho and R. de Jesus thanks Coordenacao de Aperfeicoamento de Pessoal de Nivel Superior Brasil (CAPES) for the financial support providing scholarship through Financial Code 001.</t>
  </si>
  <si>
    <t>10.1016/j.jastp.2023.106060</t>
  </si>
  <si>
    <t>D8GS7</t>
  </si>
  <si>
    <t>WOS:000971062900001</t>
  </si>
  <si>
    <t>Dyomin, A; Galkina, S; Ilina, A; Gaginskaya, E</t>
  </si>
  <si>
    <t>Dyomin, Alexander; Galkina, Svetlana; Ilina, Arina; Gaginskaya, Elena</t>
  </si>
  <si>
    <t>Single Copies of the 5S rRNA Inserted into 45S rDNA Intergenic Spacers in the Genomes of Nototheniidae (Perciformes, Actinopterygii)</t>
  </si>
  <si>
    <t>INTERNATIONAL JOURNAL OF MOLECULAR SCIENCES</t>
  </si>
  <si>
    <t>toothfish; ribosomal RNA; rDNA amplification; amplified nucleoli; maternal rRNA</t>
  </si>
  <si>
    <t>DISSOSTICHUS-MAWSONI; ANTARCTIC TOOTHFISH; 5-S RNA; GENES; DNA; TRANSCRIPTION; OOGENESIS; EVOLUTION; SEQUENCES; OOCYTE</t>
  </si>
  <si>
    <t>In the vast majority of Animalia genomes, the 5S rRNA gene repeats are located on chromosomes outside of the 45S rDNA arrays of the nucleolar organiser (NOR). We analysed the genomic databases available and found that a 5S rDNA sequence is inserted into the intergenic spacer (IGS) between the 45S rDNA repeats in ten species of the family Nototheniidae (Perciformes, Actinopterigii). We call this sequence the NOR-5S rRNA gene. Along with Testudines and Crocodilia, this is the second case of a close association between four rRNA genes within one repetitive unit in deuterostomes. In both cases, NOR-5S is oriented opposite the 45S rDNA. None of the three nucleotide substitutions compared to the canonical 5S rRNA gene influenced the 5S rRNA secondary structure. In transcriptomes of the Patagonian toothfish, we only found NOR-5S rRNA reads in ovaries and early embryos, but not in testis or somatic tissues of adults. Thus, we consider the NOR-5S gene to be a maternal-type 5S rRNA template. The colocalization of the 5S and 45S ribosomal genes appears to be essential for the equimolar production of all four rRNAs in the species that show rDNA amplification during oogenesis. Most likely, the integration of 5S and NOR rRNA genes occurred prior to Nototheniidae lineage diversification.</t>
  </si>
  <si>
    <t>[Dyomin, Alexander; Galkina, Svetlana; Ilina, Arina; Gaginskaya, Elena] St Petersburg State Univ, Biol Fac, Univ Skaya Emb 7-9, St Petersburg 199034, Russia</t>
  </si>
  <si>
    <t>Saint Petersburg State University</t>
  </si>
  <si>
    <t>Gaginskaya, E (corresponding author), St Petersburg State Univ, Biol Fac, Univ Skaya Emb 7-9, St Petersburg 199034, Russia.</t>
  </si>
  <si>
    <t>a.demin@spbu.ru; svetlana.galkina@spbu.ru; st057025@student.spbu.ru; elena.gaginskaya@spbu.ru</t>
  </si>
  <si>
    <t>Gaginskaya, Elena/C-9963-2013</t>
  </si>
  <si>
    <t>Gaginskaya, Elena/0000-0003-4967-9053</t>
  </si>
  <si>
    <t>Russian Science Foundation [22-24-00538]</t>
  </si>
  <si>
    <t>This research was funded by the Russian Science Foundation, grant number 22-24-00538.</t>
  </si>
  <si>
    <t>1422-0067</t>
  </si>
  <si>
    <t>INT J MOL SCI</t>
  </si>
  <si>
    <t>Int. J. Mol. Sci.</t>
  </si>
  <si>
    <t>10.3390/ijms24087376</t>
  </si>
  <si>
    <t>Biochemistry &amp; Molecular Biology; Chemistry, Multidisciplinary</t>
  </si>
  <si>
    <t>F0JL3</t>
  </si>
  <si>
    <t>WOS:000979294900001</t>
  </si>
  <si>
    <t>Liu, ZY; Jiang, WH; Kim, C; Peng, XY; Fan, C; Wu, YL; Xie, ZX; Peng, F</t>
  </si>
  <si>
    <t>Liu, Zhenyu; Jiang, Wenhui; Kim, Cholsong; Peng, Xiaoya; Fan, Cong; Wu, Yingliang; Xie, Zhixiong; Peng, Fang</t>
  </si>
  <si>
    <t>A Pseudomonas Lysogenic Bacteriophage Crossing the Antarctic and Arctic, Representing a New Genus of Autographiviridae</t>
  </si>
  <si>
    <t>Pseudomonas; prophage; polar regions; comparative genomic; novel viral cluster; Autographiviridae</t>
  </si>
  <si>
    <t>5.5 PROTEIN; H-NS; GENOME; T7; PURIFICATION; ALGORITHM; ENZYME; INITIATION; PROPHAGES; SOFTWARE</t>
  </si>
  <si>
    <t>Polar regions tend to support simple food webs, which are vulnerable to phage-induced gene transfer or microbial death. To further investigate phage-host interactions in polar regions and the potential linkage of phage communities between the two poles, we induced the release of a lysogenic phage, vB_PaeM-G11, from Pseudomonas sp. D3 isolated from the Antarctic, which formed clear phage plaques on the lawn of Pseudomonas sp. G11 isolated from the Arctic. From permafrost metagenomic data of the Arctic tundra, we found the genome with high-similarity to that of vB_PaeM-G11, demonstrating that vB_PaeM-G11 may have a distribution in both the Antarctic and Arctic. Phylogenetic analysis indicated that vB_PaeM-G11 is homologous to five uncultured viruses, and that they may represent a new genus in the Autographiviridae family, named Fildesvirus here. vB_PaeM-G11 was stable in a temperature range (4-40 degrees C) and pH (4-11), with latent and rise periods of about 40 and 10 min, respectively. This study is the first isolation and characterization study of a Pseudomonas phage distributed in both the Antarctic and Arctic, identifying its lysogenic host and lysis host, and thus provides essential information for further understanding the interaction between polar phages and their hosts and the ecological functions of phages in polar regions.</t>
  </si>
  <si>
    <t>[Liu, Zhenyu; Jiang, Wenhui; Kim, Cholsong; Peng, Xiaoya; Fan, Cong; Wu, Yingliang; Xie, Zhixiong; Peng, Fang] Wuhan Univ, Coll Life Sci, Wuhan 430072, Peoples R China</t>
  </si>
  <si>
    <t>Wuhan University</t>
  </si>
  <si>
    <t>Peng, F (corresponding author), Wuhan Univ, Coll Life Sci, Wuhan 430072, Peoples R China.</t>
  </si>
  <si>
    <t>pf-cctcc@whu.edu.cn</t>
  </si>
  <si>
    <t>wang, Xiaoming/KBB-8854-2024; Xie, Zhixong/JBJ-8687-2023</t>
  </si>
  <si>
    <t>Xie, Zhixong/0009-0009-9957-4533; liu, zhen yu/0000-0002-6886-2980; Peng, Fang/0000-0002-6357-2378</t>
  </si>
  <si>
    <t>National Science and Technology Fundamental Resources Investigation Program of China [2021FY100900]; National Key Research and Development Program of China [2022YFC2807501]; R&amp;D Infrastructure and Facility Development Program of the Ministry of Science and Technology of the People's Republic of China [NIMR-2022-8]; National Natural Science Foundation of China [42076230]; Chinese Polar Scientific Strategy Research Fund [IC201706]</t>
  </si>
  <si>
    <t>National Science and Technology Fundamental Resources Investigation Program of China; National Key Research and Development Program of China; R&amp;D Infrastructure and Facility Development Program of the Ministry of Science and Technology of the People's Republic of China; National Natural Science Foundation of China(National Natural Science Foundation of China (NSFC)); Chinese Polar Scientific Strategy Research Fund</t>
  </si>
  <si>
    <t>This work was supported by the National Science and Technology Fundamental Resources Investigation Program of China (2021FY100900), the National Key Research and Development Program of China (2022YFC2807501), the R&amp;D Infrastructure and Facility Development Program of the Ministry of Science and Technology of the People's Republic of China (grant no. NIMR-2022-8), the National Natural Science Foundation of China (grant no. 42076230), and the Chinese Polar Scientific Strategy Research Fund IC201706.</t>
  </si>
  <si>
    <t>10.3390/ijms24087662</t>
  </si>
  <si>
    <t>F0KU1</t>
  </si>
  <si>
    <t>WOS:000979329700001</t>
  </si>
  <si>
    <t>Chen, XF; Yan, D; Yu, LY; Zhang, T</t>
  </si>
  <si>
    <t>Chen, Xiufei; Yan, Dong; Yu, Liyan; Zhang, Tao</t>
  </si>
  <si>
    <t>An Integrative Study of Mycobiome in Different Habitats from a High Arctic Region: Diversity, Distribution, and Functional Role</t>
  </si>
  <si>
    <t>fungal diversity; high arctic; habitat specificity; functional role</t>
  </si>
  <si>
    <t>NY-LESUND REGION; FUNGAL COMMUNITIES; SOIL; SVALBARD; ECTOMYCORRHIZAL; ALESUND; AREA</t>
  </si>
  <si>
    <t>In the Arctic ecosystems, fungi are crucial for interactions between soil and plants, the cycling of nutrients, and the transport of carbon. To date, no studies have been conducted to thoroughly examine the mycobiome and its functional role in various habitats of the High Arctic region. The aim was to unravel the mycobiome in the nine habitats (i.e., soil, lichen, vascular plant, moss, freshwater, seawater, marine sediment, dung, and marine alga) in the Ny-angstrom lesund Region (Svalbard, High Arctic) using a high-throughput sequencing approach. A total of 10,419 ASVs were detected. Among them, 7535 ASVs were assigned to unidentified phyla, while the remaining 2884 ASVs were assigned to 11 phyla, 33 classes, 81 orders, 151 families, 278 genera, and 261 species that were known. The distribution of the mycobiome was driven by habitat specificity, indicating that habitat filtering is a crucial factor influencing the fungal assemblages at a local scale in this High Arctic region. Six growth forms and 19 fungal guilds were found. The ecological guild (e.g., lichenized, ectomycorrhizal) and growth form (e.g., yeast, thallus photosynthetic) varied significantly among various habitats. In addition, the occurrence of 31 fungal species that are considered to be potential pathogens was determined. These results will increase our understanding of fungal diversity and its functional significance in this distinctive High Arctic area and thereby establish the groundwork for prediction about how the mycobiome will alter in various environments as a result of anticipated climate change.</t>
  </si>
  <si>
    <t>[Chen, Xiufei; Yu, Liyan; Zhang, Tao] Chinese Acad Med Sci &amp; Peking Union Med Coll, Inst Med Biotechnol, China Pharmaceut Culture Collect, Beijing 100050, Peoples R China; [Yan, Dong] Xinxiang Med Univ, Sch Basic Med Sci, Dept Pathogen Biol, Xinxiang Key Lab Pathogen Biol, Xinxiang 453003, Peoples R China</t>
  </si>
  <si>
    <t>Chinese Academy of Medical Sciences - Peking Union Medical College; Peking Union Medical College; Xinxiang Medical University</t>
  </si>
  <si>
    <t>Yu, LY; Zhang, T (corresponding author), Chinese Acad Med Sci &amp; Peking Union Med Coll, Inst Med Biotechnol, China Pharmaceut Culture Collect, Beijing 100050, Peoples R China.</t>
  </si>
  <si>
    <t>yly@cpcc.ac.cn; zhangt@cpcc.ac.cn</t>
  </si>
  <si>
    <t>yu, liyan/GYD-2950-2022</t>
  </si>
  <si>
    <t>yu, liyan/0000-0002-8861-9806</t>
  </si>
  <si>
    <t>National Natural Science Foundation of China (NSFC) [32270013]; Chinese Arctic and Antarctic Administration; State Oceanic Administration [2013YR06006, 2013YR05005]; CAMS Innovation Fund for Medical Sciences [2021-I2M-1-055]; National Microbial Resource Center [NMRC-2022-3]; Non-profit Central Research Institute Fund of CAMS [2021-PT350-001]</t>
  </si>
  <si>
    <t>National Natural Science Foundation of China (NSFC)(National Natural Science Foundation of China (NSFC)); Chinese Arctic and Antarctic Administration; State Oceanic Administration; CAMS Innovation Fund for Medical Sciences; National Microbial Resource Center; Non-profit Central Research Institute Fund of CAMS</t>
  </si>
  <si>
    <t>This research was supported by the National Natural Science Foundation of China (NSFC) (No. 32270013); the projects of the Chinese Arctic and Antarctic Administration and State Oceanic Administration (Nos. 2013YR06006 and 2013YR05005); the CAMS Innovation Fund for Medical Sciences (Grant no. 2021-I2M-1-055); the National Microbial Resource Center (Grant no. NMRC-2022-3); and the Non-profit Central Research Institute Fund of CAMS (Grant no. 2021-PT350-001).</t>
  </si>
  <si>
    <t>10.3390/jof9040437</t>
  </si>
  <si>
    <t>F0GY4</t>
  </si>
  <si>
    <t>WOS:000979229800001</t>
  </si>
  <si>
    <t>Tielidze, LG; Cicoira, A; Nosenko, GA; Eaves, SR</t>
  </si>
  <si>
    <t>Tielidze, Levan G. G.; Cicoira, Alessandro; Nosenko, Gennady A. A.; Eaves, Shaun R. R.</t>
  </si>
  <si>
    <t>The First Rock Glacier Inventory for the Greater Caucasus</t>
  </si>
  <si>
    <t>rock glacier; glacier inventory; Caucasus Mountains; permafrost</t>
  </si>
  <si>
    <t>PERMAFROST DISTRIBUTION; DESTABILIZATION; CREEP; VARIABILITY; TIMESCALES; EVOLUTION; DYNAMICS; VELOCITY; HOLOCENE; COLORADO</t>
  </si>
  <si>
    <t>Rock glaciers are an integral part of the periglacial environment. At the regional scale in the Greater Caucasus, there have been no comprehensive systematic efforts to assess the distribution of rock glaciers, although some individual parts of ranges have been mapped before. In this study we produce the first inventory of rock glaciers from the entire Greater Caucasus region-Russia, Georgia, and Azerbaijan. A remote sensing survey was conducted using Geo-Information System (GIS) and Google Earth Pro software based on high-resolution satellite imagery-SPOT, Worldview, QuickBird, and IKONOS, based on data obtained during the period 2004-2021. Sentinel-2 imagery from the year 2020 was also used as a supplementary source. The ASTER GDEM (2011) was used to determine location, elevation, and slope for all rock glaciers. Using a manual approach to digitize rock glaciers, we discovered that the mountain range contains 1461 rock glaciers with a total area of 297.8 +/- 23.0 km(2). Visual inspection of the morphology suggests that 1018 rock glaciers with a total area of 199.6 +/- 15.9 km(2) (67% of the total rock glacier area) are active, while the remaining rock glaciers appear to be relict. The average maximum altitude of all rock glaciers is found at 3152 +/- 96 m above sea level (a.s.l.) while the mean and minimum altitude are 3009 +/- 91 m and 2882 +/- 87 m a.s.l., respectively. We find that the average minimum altitude of active rock glaciers is higher (2955 +/- 98 m a.s.l.) than in relict rock glaciers (2716 +/- 83 m a.s.l.). No clear difference is discernible between the surface slope of active (41.4 +/- 3 degrees) and relict (38.8 +/- 4 degrees) rock glaciers in the entire mountain region. This inventory provides a database for understanding the extent of permafrost in the Greater Caucasus and is an important basis for further research of geomorphology and palaeoglaciology in this region. The inventory will be submitted to the Global Land Ice Measurements from Space (GLIMS) database and can be used for future studies.</t>
  </si>
  <si>
    <t>[Tielidze, Levan G. G.; Eaves, Shaun R. R.] Victoria Univ Wellington, Antarctic Res Ctr, POB 600, Wellington 6140, New Zealand; [Tielidze, Levan G. G.; Eaves, Shaun R. R.] Victoria Univ Wellington, Sch Geog Environm &amp; Earth Sci, PO 600, Wellington 6140, New Zealand; [Tielidze, Levan G. G.] Ilia State Univ, Sch Nat Sci &amp; Med, Cholokashvili Ave 3-5, Tbilisi 0162, Georgia; [Cicoira, Alessandro] Univ Zurich, Dept Geog, Winterthurerstr 190, CH-8057 Zurich, Switzerland; [Nosenko, Gennady A. A.] Russian Acad Sci, Inst Geog, Dept Glaciol, 29 Staromonetniy Pereulok, Moscow 119017, Russia</t>
  </si>
  <si>
    <t>Victoria University Wellington; Victoria University Wellington; Ilia State University; University of Zurich; Russian Academy of Sciences; Institute of Geography, Russian Academy of Sciences</t>
  </si>
  <si>
    <t>Tielidze, LG (corresponding author), Victoria Univ Wellington, Antarctic Res Ctr, POB 600, Wellington 6140, New Zealand.;Tielidze, LG (corresponding author), Victoria Univ Wellington, Sch Geog Environm &amp; Earth Sci, PO 600, Wellington 6140, New Zealand.;Tielidze, LG (corresponding author), Ilia State Univ, Sch Nat Sci &amp; Med, Cholokashvili Ave 3-5, Tbilisi 0162, Georgia.</t>
  </si>
  <si>
    <t>tielidzelevan@gmail.com</t>
  </si>
  <si>
    <t>Tielidze, Levan G/E-2690-2018</t>
  </si>
  <si>
    <t>Tielidze, Levan G/0000-0002-4646-5458; Cicoira, Alessandro/0000-0002-0065-4464</t>
  </si>
  <si>
    <t>10.3390/geosciences13040117</t>
  </si>
  <si>
    <t>E7XU2</t>
  </si>
  <si>
    <t>WOS:000977635900001</t>
  </si>
  <si>
    <t>Tang, PM; Habib, S; Abd Shukor, MY; Alias, SA; Smykla, J; Yasid, NA</t>
  </si>
  <si>
    <t>Tang, Pui Mun; Habib, Syahir; Abd Shukor, Mohd Yunus; Alias, Siti Aisyah; Smykla, Jerzy; Yasid, Nur Adeela</t>
  </si>
  <si>
    <t>Evaluation of the Deterioration of Untreated Commercial Polystyrene by Psychrotrophic Antarctic Bacterium</t>
  </si>
  <si>
    <t>POLYMERS</t>
  </si>
  <si>
    <t>polystyrene microplastics utilisation; weight loss; additives; Antarctic soil; Brevundimonas sp</t>
  </si>
  <si>
    <t>MICROPLASTICS; BIODEGRADATION; DEGRADATION; IMPACT; BIOREMEDIATION; PLASTICS; STRAINS; HIPS</t>
  </si>
  <si>
    <t>Polystyrene (PS) and microplastic production pose persistent threats to the ecosystem. Even the pristine Antarctic, which is widely believed to be pollution-free, was also affected by the presence of microplastics. Therefore, it is important to comprehend the extent to which biological agents such as bacteria utilise PS microplastics as a carbon source. In this study, four soil bacteria from Greenwich Island, Antarctica, were isolated. A preliminary screening of the isolates for PS microplastics utilisation in the Bushnell Haas broth was conducted with the shake-flask method. The isolate AYDL1 identified as Brevundimonas sp. was found to be the most efficient in utilising PS microplastics. An assay on PS microplastics utilisation showed that the strain AYDL1 tolerated PS microplastics well under prolonged exposure with a weight loss percentage of 19.3% after the first interval (10 days of incubation). Infrared spectroscopy showed that the bacteria altered the chemical structure of PS while a deformation of the surface morphology of PS microplastics was observed via scanning electron microscopy after being incubated for 40 days. The obtained results may essentially indicate the utilisation of liable polymer additives or leachates and thus, validate the mechanistic approach for a typical initiation process of PS microplastics biodeterioration by the bacteria (AYDL1)-the biotic process.</t>
  </si>
  <si>
    <t>[Tang, Pui Mun; Habib, Syahir; Abd Shukor, Mohd Yunus; Yasid, Nur Adeela] Univ Putra Malaysia, Fac Biotechnol &amp; Biomol Sci, Dept Biochem, Serdang 43400, Malaysia; [Alias, Siti Aisyah] Univ Malaya, Inst Ocean &amp; Earth Sci, Inst Postgrad Studies C308, Kuala Lumpur 50603, Malaysia; [Alias, Siti Aisyah] Univ Malaya, Natl Antarctic Res Ctr, Inst Postgrad Studies B303, Kuala Lumpur 50603, Malaysia; [Smykla, Jerzy] Polish Acad Sci, Inst Nat Conservat, Mickiewicza 33, PL-31120 Krakow, Poland</t>
  </si>
  <si>
    <t>Universiti Putra Malaysia; Universiti Malaya; Universiti Malaya; Polish Academy of Sciences</t>
  </si>
  <si>
    <t>Yasid, NA (corresponding author), Univ Putra Malaysia, Fac Biotechnol &amp; Biomol Sci, Dept Biochem, Serdang 43400, Malaysia.</t>
  </si>
  <si>
    <t>adeela@upm.edu.my</t>
  </si>
  <si>
    <t>shukor, yunus/AAB-7087-2020; Yasid, Nur Adeela/AAL-8044-2020; FASc, SITI AISYAH A. HJ ALIAS/B-9785-2010; Smykla, Jerzy/N-3288-2014</t>
  </si>
  <si>
    <t>shukor, yunus/0000-0002-6150-2114; FASc, SITI AISYAH A. HJ ALIAS/0000-0002-6759-5745; Yasid, Nur Adeela/0000-0002-1278-0206; Smykla, Jerzy/0000-0001-8228-6695</t>
  </si>
  <si>
    <t>Yayasan Penyelidikan Antartika Sultan Mizan (YPASM) Research Grant [6300303]; Higher Education Ministry [IOES-2014g]</t>
  </si>
  <si>
    <t>Yayasan Penyelidikan Antartika Sultan Mizan (YPASM) Research Grant; Higher Education Ministry(Ministry of Higher Education &amp; Scientific Research (MHESR))</t>
  </si>
  <si>
    <t>This research was funded by Yayasan Penyelidikan Antartika Sultan Mizan (YPASM) Research Grant (6300303) under Smart Partnership Initiative 2020 and Research Grant IOES-2014g. Higher Education Ministry.</t>
  </si>
  <si>
    <t>2073-4360</t>
  </si>
  <si>
    <t>POLYMERS-BASEL</t>
  </si>
  <si>
    <t>Polymers</t>
  </si>
  <si>
    <t>10.3390/polym15081841</t>
  </si>
  <si>
    <t>Polymer Science</t>
  </si>
  <si>
    <t>E9SD1</t>
  </si>
  <si>
    <t>WOS:000978844200001</t>
  </si>
  <si>
    <t>Vittuari, L; Zanutta, A; Lugli, A; Martelli, L; Dubbini, M</t>
  </si>
  <si>
    <t>Vittuari, Luca; Zanutta, Antonio; Lugli, Andrea; Martelli, Leonardo; Dubbini, Marco</t>
  </si>
  <si>
    <t>Sea Tide Influence on Ice Flow of David Drygalski's Ice Tongue Inferred from Geodetic GNSS Observations and SAR Offset Tracking Analysis</t>
  </si>
  <si>
    <t>Antarctic glaciology; kinematic precise point positioning; GNSS time series; ice dynamics; synthetic aperture radar; COSMO-SkyMed</t>
  </si>
  <si>
    <t>MASS-BALANCE; GLACIER; ANTARCTICA; VELOCITY; MOTION; SHELVES</t>
  </si>
  <si>
    <t>David Glacier and Drygalski Ice Tongue are massive glaciers in Victoria Land, Antarctica. The ice from the East Antarctic Ice Sheet is drained through the former, and then discharged into the western Ross Sea through the latter. David Drygalski is the largest outlet glacier in Northern Victoria Land, floating kilometers out to sea. The floating and grounded part of the David Glacier are the main focus of this article. During the XXI Italian Antarctic Expedition (2005-2006), within the framework of the National Antarctic Research Programme (PNRA), two GNSS stations were installed at different points: the first close to the grounding line of David Glacier, and the second approximately 40 km downstream of the first one. Simultaneous data logging was performed by both GNSS stations for 24 days. In the latest data processing, the kinematic PPP technique was adopted to evaluate the dominant diurnal components and the very small semi-diurnal variations in ice motion induced by the ocean tide and the mean ice flow rates of both GNSS stations. Comparison of the GNSS time series with predicted ocean tide calculated from harmonic coefficients of the nearest tide gauge stations, installed at Cape Roberts and Mario Zucchelli Station, highlight different local response of the glacier to ocean tide, with a minor amplitude of vertical motion at a point partially anchored at the bedrock close to the grounding line. During low tide, the velocity of the ice flow reaches its daily maximum, in accordance with the direction of seawater outflow from the fjord into the ocean, while the greatest daily tidal excursion generates an increase in the horizontal ice flow velocity. With the aim to extend the analysis in spatial terms, five COSMO-SkyMED Stripmap scenes were processed. The comparison of the co-registered offset tracking rates, obtained from SAR images, with the GNSS estimation shows good agreement.</t>
  </si>
  <si>
    <t>[Vittuari, Luca; Zanutta, Antonio; Lugli, Andrea] Univ Bologna, Dept Civil Chem Environm &amp; Mat Engn, Viale Risorgimento 2, I-40136 Bologna, Italy; [Martelli, Leonardo] Ist Nazl Geofis &amp; Vulcanol INGV, Viale Carlo Berti Pichat 6-2, I-40127 Bologna, Italy; [Dubbini, Marco] Univ Bologna, Dept Hist &amp; Cultures, Via Guerrazzi 20, I-40124 Bologna, Italy</t>
  </si>
  <si>
    <t>University of Bologna; Istituto Nazionale Geofisica e Vulcanologia (INGV); University of Bologna</t>
  </si>
  <si>
    <t>Zanutta, A (corresponding author), Univ Bologna, Dept Civil Chem Environm &amp; Mat Engn, Viale Risorgimento 2, I-40136 Bologna, Italy.</t>
  </si>
  <si>
    <t>luca.vittuari@unibo.it; antonio.zanutta@unibo.it; andrea.lugli8@unibo.it; leonardo.martelli@ingv.it; marco.dubbini@unibo.it</t>
  </si>
  <si>
    <t>Dubbini, Marco/J-1765-2016</t>
  </si>
  <si>
    <t>Dubbini, Marco/0000-0001-6158-2727; ZANUTTA, ANTONIO/0000-0003-4872-5222; /0000-0003-4698-9996; Vittuari, Luca/0000-0002-9815-1004</t>
  </si>
  <si>
    <t>10.3390/rs15082037</t>
  </si>
  <si>
    <t>E7CE3</t>
  </si>
  <si>
    <t>WOS:000977072200001</t>
  </si>
  <si>
    <t>Zhong, B; Li, XP; Chen, JL; Li, Q</t>
  </si>
  <si>
    <t>Zhong, Bo; Li, Xianpao; Chen, Jianli; Li, Qiong</t>
  </si>
  <si>
    <t>WHU-GRACE-GPD01s: A Series of Constrained Monthly Gravity Field Solutions Derived From GRACE-Based Geopotential Differences</t>
  </si>
  <si>
    <t>EARTH AND SPACE SCIENCE</t>
  </si>
  <si>
    <t>monthly gravity field solution; GRACE; geopotential difference; Kaula regularization; variance component estimation</t>
  </si>
  <si>
    <t>GLACIAL-ISOSTATIC-ADJUSTMENT; SATELLITE GRAVITY; ICE-SHEET; REGULARIZATION; VARIABILITY</t>
  </si>
  <si>
    <t>To suppress the correlated noise of Gravity Recovery and Climate Experiment (GRACE) spherical harmonic (SH) solutions, we developed a series of constrained monthly gravity field solutions named WHU-GRACE-GPD01s from August 2002 to July 2016 using GRACE-based geopotential differences. The constrained solutions were estimated using Kaula regularization, and the optimal regularization parameters were adaptively determined from the GRACE data itself through variance component estimation. The performance of the constrained WHU-GRACE-GPD01s solutions was validated against the official SH solutions (GFZ, JPL, and CSR RL06) and mass concentration (mascon) solutions (CSR RL06M) at global and regional scales. The results demonstrate that mass changes derived from the constrained solutions and official SH solutions with DDK4 filtering are in good agreement, but the constrained solutions present weaker longitudinal stripes and have a lower noise level at regional scales (e.g., in the Middle Pacific Ocean and Sahara Desert). Furthermore, regional mass changes (e.g., major river basins, Greenland, and Antarctic ice sheet) inferred from the constrained solutions agree with the ones derived from the official SH solutions with DDK4 filtering. The constrained solutions also have a higher signal intensity and smaller spatial leakages as compared to the CSR RL06 SH solutions with spatial filtering (Gaussian filtering plus de-striping). For the problematic months, the constrained solutions are more reliable than the official SH solutions using spatial filtering or DDK4 filtering, and are closer to CSR RL06M mascon solutions. These validations demonstrate that our constrained solutions are comparable to the official SH solutions and can be used without postprocessing.</t>
  </si>
  <si>
    <t>[Zhong, Bo; Li, Xianpao] Wuhan Univ, Sch Geodesy &amp; Geomat, MOE Key Lab Geospace Environm &amp; Geodesy, Wuhan, Peoples R China; [Zhong, Bo] Hubei Luojia Lab, Wuhan, Peoples R China; [Chen, Jianli] Hong Kong Polytech Univ, Dept Land Surveying &amp; Geoinformat, Hong Kong, Peoples R China; [Li, Qiong] Southwest Petr Univ, Sch Civil Engn &amp; Geomat, Chengdu, Peoples R China</t>
  </si>
  <si>
    <t>Wuhan University; Hong Kong Polytechnic University; Southwest Petroleum University</t>
  </si>
  <si>
    <t>Zhong, B; Li, XP (corresponding author), Wuhan Univ, Sch Geodesy &amp; Geomat, MOE Key Lab Geospace Environm &amp; Geodesy, Wuhan, Peoples R China.;Zhong, B (corresponding author), Hubei Luojia Lab, Wuhan, Peoples R China.</t>
  </si>
  <si>
    <t>bzhong@sgg.whu.edu.cn; lixianpao@whu.edu.cn</t>
  </si>
  <si>
    <t>Zhong, Bo/GZN-0880-2022</t>
  </si>
  <si>
    <t>Zhong, Bo/0000-0002-0875-4937; Li, Xianpao/0000-0002-9067-9664; Chen, Jianli/0000-0001-5405-8441</t>
  </si>
  <si>
    <t>National Natural Science Foundation of China [41974015, 41931074, 42061134007]; Special Fund of Hubei Luojia Laboratory [220100004]</t>
  </si>
  <si>
    <t>National Natural Science Foundation of China(National Natural Science Foundation of China (NSFC)); Special Fund of Hubei Luojia Laboratory</t>
  </si>
  <si>
    <t>Acknowledgments We are grateful to the following data providers for making the data products available: GRACE Level-1B data, monthly SH solutions, and mascon solutions from CSR, JPL, and GFZ. This work was supported by the National Natural Science Foundation of China (Grant 41974015, 41931074, and 42061134007) and the Project Supported by the Special Fund of Hubei Luojia Laboratory (Grant 220100004). We would like to thank the editors and two anonymous reviewers for their insightful comments and suggestions that helped improve the quality of this manuscript.</t>
  </si>
  <si>
    <t>2333-5084</t>
  </si>
  <si>
    <t>EARTH SPACE SCI</t>
  </si>
  <si>
    <t>Earth Space Sci.</t>
  </si>
  <si>
    <t>e2022EA002699</t>
  </si>
  <si>
    <t>10.1029/2022EA002699</t>
  </si>
  <si>
    <t>Astronomy &amp; Astrophysics; Geosciences, Multidisciplinary</t>
  </si>
  <si>
    <t>Astronomy &amp; Astrophysics; Geology</t>
  </si>
  <si>
    <t>E1SL9</t>
  </si>
  <si>
    <t>WOS:000973417300001</t>
  </si>
  <si>
    <t>Strutton, PG; Trull, TW; Phillips, HE; Duran, ER; Pump, S</t>
  </si>
  <si>
    <t>Strutton, Peter G. G.; Trull, Thomas W. W.; Phillips, Helen E. E.; Duran, Earl R. R.; Pump, Sylvia</t>
  </si>
  <si>
    <t>Biogeochemical Argo Floats Reveal the Evolution of Subsurface Chlorophyll and Particulate Organic Carbon in Southeast Indian Ocean Eddies</t>
  </si>
  <si>
    <t>eddies; Indian Ocean; photoacclimation; chlorophyll; particulate organic carbon; Leeuwin</t>
  </si>
  <si>
    <t>MESOSCALE EDDIES; PHYTOPLANKTON BIOMASS; SURFACE CHLOROPHYLL; SCATTERING; PRODUCTIVITY; IMPACT; WATERS; OXYGEN</t>
  </si>
  <si>
    <t>Eddies modulate open ocean productivity, and this influence depends on both eddy source and evolution. Southeast Indian Ocean eddies are important pathways for the westward transport of biogeochemical anomalies from the Leeuwin current into the central oligotrophic South Indian Ocean (SIO). Eddy processes at the base of the mixed layer may stimulate and sustain phytoplankton, allowing these eddy impacts to persist over thousands of kilometers. We present 4 months of high-frequency profiles from autonomous floats in one anticyclonic and one cyclonic eddy in the SIO. At the start of observations, from September to October, particulate organic carbon (POC) and especially chlorophyll were higher in the cyclone, and evenly distributed throughout the mixed layers in both eddies. As spring progressed and the eddies were transported westward, chlorophyll and POC concentrated at the base of the mixed layer at depths invisible to satellites, likely reflecting nutrient depletion in overlying waters. In the anticyclone, the increased chlorophyll at depth occurred as POC decreased, suggesting photo-acclimation and thus both light and nutrient stress. In contrast, in the cyclone chlorophyll to POC ratios remained close to constant as their subsurface maxima formed. In both eddies, the subsurface biomass maxima exhibited no significant change in oxygen saturation state over several months suggesting these communities are sustained by low ongoing productivity in balance with community respiration. Thus, deep biomass layers may represent a mechanism for long-distance transfer of eddy plankton communities which is not reflected in satellite remote sensing.Plain Language Summary Eddies are spinning vortices of water about 100-200 km across. They are everywhere in the ocean, and they move heat, salt, nutrients, and biomass both vertically and horizontally. In the southeast Indian Ocean, eddies are created in the Leeu win Current along the coast of Western Australia. These eddies are unusual because the clockwise-spinning (cyclonic) eddies have lower surface productivity than their anticyclonic counterparts. Both types of eddies last for months to years and move westward over time. Satellite measurements of surface chlorophyll, a proxy for ocean productivity, indicate decreased chlorophyll in both types of eddies, during the transition to summer. Our measurements from robotic floats show that the satellites see decreased chlorophyll because it is redistributing deeper (&gt;30-50 m) out of view of the satellites. This redistribution appears to also affect other components of the ecosystem, because particulate organic carbon levels, estimated from light scattering sensors, also become focused into subsurface layers. At the base of the ocean surface mixed layer, about 100-150 m, these layers of plankton biomass exhibit a balance between oxygen production from photosynthesis and oxygen consumption by other trophic levels, suggesting the layers remain active over long periods.</t>
  </si>
  <si>
    <t>[Strutton, Peter G. G.; Trull, Thomas W. W.; Phillips, Helen E. E.; Duran, Earl R. R.; Pump, Sylvia] Univ Tasmania, Inst Marine &amp; Antarctic Studies, Hobart, Tas, Australia; [Strutton, Peter G. G.] Univ Tasmania, Australian Res Council Ctr Excellence Climate Extr, Hobart, Tas, Australia; [Trull, Thomas W. W.] Environm Commonwealth Sci &amp; Ind Res Org, Hobart, Tas, Australia; [Phillips, Helen E. E.] Univ Tasmania, Australian Antarctic Program Partnership, Hobart, Tas, Australia; [Phillips, Helen E. E.] Univ Tasmania, Australian Ctr Excellence Antarctic Sci, Hobart, Tas, Australia; [Duran, Earl R. R.] Global Sustainable Energy Solut Pty Ltd, Sydney, NSW, Australia</t>
  </si>
  <si>
    <t>University of Tasmania; University of Tasmania; University of Tasmania; University of Tasmania</t>
  </si>
  <si>
    <t>Strutton, PG (corresponding author), Univ Tasmania, Inst Marine &amp; Antarctic Studies, Hobart, Tas, Australia.;Strutton, PG (corresponding author), Univ Tasmania, Australian Res Council Ctr Excellence Climate Extr, Hobart, Tas, Australia.</t>
  </si>
  <si>
    <t>peter.strutton@utas.edu.au</t>
  </si>
  <si>
    <t>Strutton, Peter/C-4466-2011</t>
  </si>
  <si>
    <t>Strutton, Peter/0000-0002-2395-9471</t>
  </si>
  <si>
    <t>CSIRO-UTas Quantitative Marine Science Program; Australian Research Council Centre of Excellence for Climate System Science (ARCCSS); ARC Centre of Excellence for Climate Extremes (CLEX); Antarctic Climate and Ecosystems Cooperative Research Centre (ACE-CRC); Marine National Facility</t>
  </si>
  <si>
    <t>CSIRO-UTas Quantitative Marine Science Program(Commonwealth Scientific &amp; Industrial Research Organisation (CSIRO)); Australian Research Council Centre of Excellence for Climate System Science (ARCCSS)(Australian Research Council); ARC Centre of Excellence for Climate Extremes (CLEX); Antarctic Climate and Ecosystems Cooperative Research Centre (ACE-CRC)(Australian GovernmentDepartment of Industry, Innovation and ScienceCooperative Research Centres (CRC) Programme); Marine National Facility(Commonwealth Scientific &amp; Industrial Research Organisation (CSIRO))</t>
  </si>
  <si>
    <t>Earl Duran and Sylvia Pump were supported by the CSIRO-UTas Quantitative Marine Science Program and the Australian Research Council Centre of Excellence for Climate System Science (ARCCSS) as summer undergraduate researchers. Peter Strutton and Helen Phillips acknowledge support from the ARC Centre of Excellence for Climate Extremes (CLEX). Tom Trull acknowledges support from the Antarctic Climate and Ecosystems Cooperative Research Centre (ACE-CRC). Float deployments and associated CTD casts onboard RV Investigator were supported by the Marine National Facility. Float, CTD, and SSH data were sourced from Australia's Integrated Marine Observing System (IMOS). IMOS is enabled by the National Collaborative Research Infrastructure Strategy (NCRIS). Open access publishing facilitated by University of Tasmania, as part of the Wiley - University of Tasmania agreement via the Council of Australian University Librarians.</t>
  </si>
  <si>
    <t>e2022JC018984</t>
  </si>
  <si>
    <t>10.1029/2022JC018984</t>
  </si>
  <si>
    <t>E1UD5</t>
  </si>
  <si>
    <t>WOS:000973460900001</t>
  </si>
  <si>
    <t>Mace, GG; Protat, A; Benson, S; Mcglynn, P</t>
  </si>
  <si>
    <t>Mace, Gerald G.; Protat, Alain; Benson, Sally; Mcglynn, Paul</t>
  </si>
  <si>
    <t>Inferring the Properties of Snow in Southern Ocean Shallow Convection and Frontal Systems Using Dual-Polarization C-Band Radar</t>
  </si>
  <si>
    <t>JOURNAL OF APPLIED METEOROLOGY AND CLIMATOLOGY</t>
  </si>
  <si>
    <t>Mixed precipitation; Secondary ice production; Storm environments; Radars; radar observations; Remote sensing</t>
  </si>
  <si>
    <t>POLARIMETRIC RADAR; ICE PARTICLES; PRECIPITATION; SATELLITE; MASS; RETRIEVAL; WINTER</t>
  </si>
  <si>
    <t>We use dual-polarization C-band data collected in the Southern Ocean to examine the properties of snow observed during a voyage in the austral summer of 2018. Using existing forward modeling formalisms based on an assump-tion of Rayleigh scattering by soft spheroids, an optimal estimation algorithm is implemented to infer snow properties from horizontally polarized radar reflectivity, the differential radar reflectivity, and the specific differential phase. From the dual-polarization observables, we estimate ice water content qi, the mass-mean particle size Dm, and the exponent of the mass-dimensional relationship bm that, with several assumptions, allow for evaluation of snow bulk density, and snow num-ber concentration. Upon evaluating the uncertainties associated with measurement and forward model errors, we deter-mine that the algorithm can retrieve qi, Dm, and bm within single-pixel uncertainties conservatively estimated in the range 120%, 60%, and 40%, respectively. Applying the algorithm to open-cellular convection in the Southern Ocean, we find evi-dence for secondary ice formation processes within multicellular complexes. In stratiform precipitation systems we find snow properties and infer processes that are distinctly different from the shallow convective systems with evidence for rim-ing and aggregation being common. We also find that embedded convection within the frontal system produces precipita-tion properties consistent with graupel. Examining 5 weeks of data, we show that snow in open-cellular cumulus has higher overall bulk density than snow in stratiform precipitation systems with implications for interpreting measurements from space-based active remote sensors.</t>
  </si>
  <si>
    <t>[Mace, Gerald G.; Benson, Sally; Mcglynn, Paul] Univ Utah, Dept Atmospher Sci, Salt Lake City, UT 84112 USA; [Protat, Alain] Australian Bur Meteorol, Melbourne, Vic, Australia; [Protat, Alain] Univ Tasmania, Inst Marine &amp; Antarctic Studies, Australian Antarctic Partnership Program, Hobart, Tas, Australia</t>
  </si>
  <si>
    <t>Utah System of Higher Education; University of Utah; Bureau of Meteorology - Australia; University of Tasmania</t>
  </si>
  <si>
    <t>Mace, GG (corresponding author), Univ Utah, Dept Atmospher Sci, Salt Lake City, UT 84112 USA.</t>
  </si>
  <si>
    <t>jay.mace@utah.edu</t>
  </si>
  <si>
    <t>NASA [80NSSC19K1251, 80NSSC19K1084]; Australian Government as part of the Antarctic Science Collaboration Initiative program; Australian government</t>
  </si>
  <si>
    <t>NASA(National Aeronautics &amp; Space Administration (NASA)); Australian Government as part of the Antarctic Science Collaboration Initiative program(Australian Government); Australian government(Australian Government)</t>
  </si>
  <si>
    <t>This research was supported by NASA Grants 80NSSC19K1251 and 80NSSC19K1084 (authors G. Mace and S. Benson) . This project received grant funding from the Australian Government as part of the Antarctic Science Collaboration Initiative program (author A. Protat) .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 (Protat) . The authors thank the staff of the Marine National Facility for providing the infrastructure and logistical and financial support for the voyage of the R/V Investigator . Funding for these voyages was provided by the Australian government. The authors gratefully acknowledge the effort made by participants in the OLYMPEX field program.</t>
  </si>
  <si>
    <t>1558-8424</t>
  </si>
  <si>
    <t>1558-8432</t>
  </si>
  <si>
    <t>J APPL METEOROL CLIM</t>
  </si>
  <si>
    <t>J. Appl. Meteorol. Climatol.</t>
  </si>
  <si>
    <t>10.1175/JAMC-D-22-0097.1</t>
  </si>
  <si>
    <t>D7GC5</t>
  </si>
  <si>
    <t>WOS:000970363800001</t>
  </si>
  <si>
    <t>Ertel, AF; Fry, BJ; Fields, BD; Ellis, J</t>
  </si>
  <si>
    <t>Ertel, Adrienne F.; Fry, Brian J.; Fields, Brian D.; Ellis, John</t>
  </si>
  <si>
    <t>Supernova Dust Evolution Probed by Deep-sea 60Fe Time History</t>
  </si>
  <si>
    <t>ASTROPHYSICAL JOURNAL</t>
  </si>
  <si>
    <t>GALACTIC COSMIC-RAYS; LOCAL BUBBLE; GRAINS; EJECTA; OCEAN; ACCELERATION; DEPOSITION; REMNANTS; ORIGIN; CLOUD</t>
  </si>
  <si>
    <t>There is a wealth of data on live, undecayed Fe-60 (t (1/2) = 2.6 Myr) in deep-sea deposits, the lunar regolith, cosmic rays, and Antarctic snow, which is interpreted as originating from the recent explosions of at least two near-Earth supernovae. We use the Fe-60 profiles in deep-sea sediments to estimate the timescale of supernova debris deposition beginning similar to 3 Myr ago. The available data admits a variety of different profile functions, but in all cases the best-fit Fe-60 pulse durations are &gt;1.6 Myr when all the data is combined. This timescale far exceeds the less than or similar to 0.1 Myr pulse that would be expected if Fe-60 was entrained in the supernova blast wave plasma. We interpret the long signal duration as evidence that Fe-60 arrives in the form of supernova dust, whose dynamics are separate from but coupled to the evolution of the blast plasma. In this framework, the &gt;1.6 Myr is that for dust stopping due to drag forces. This scenario is consistent with the simulations in Fry et al. (2020), where the dust is magnetically trapped in supernova remnants and thereby confined around regions of the remnant dominated by supernova ejects, where magnetic fields are low. This picture fits naturally with models of cosmic-ray injection of refractory elements as sputtered supernova dust grains and implies that the recent Fe-60 detections in cosmic rays complement the fragments of grains that survived to arrive on the Earth and Moon. Finally, we present possible tests for this scenario.</t>
  </si>
  <si>
    <t>[Ertel, Adrienne F.; Fields, Brian D.] Univ Illinois, Dept Astron, Urbana, IL 61801 USA; [Ertel, Adrienne F.; Fields, Brian D.] Univ Illinois, Illinois Ctr Adv Study Universe, Urbana, IL 61801 USA; [Fry, Brian J.] US Air Force Acad, Dept Phys &amp; Meteorol, Colorado Springs, CO 80840 USA; [Fields, Brian D.] Univ Illinois, Dept Phys, Urbana, IL 61801 USA; [Ellis, John] Kings Coll London, Dept Phys, Theoret Phys &amp; Cosmol Grp, London WC2R 2LS, England; [Ellis, John] NICPB, Ravala Pst 10, EE-10143 Tallinn, Estonia; [Ellis, John] CERN, Theoret Phys Dept, CH-1211 Geneva 23, Switzerland</t>
  </si>
  <si>
    <t>University of Illinois System; University of Illinois Urbana-Champaign; University of Illinois System; University of Illinois Urbana-Champaign; United States Department of Defense; United States Air Force; United States Air Force Academy; University of Illinois System; University of Illinois Urbana-Champaign; University of London; King's College London; National Institute of Chemical Physics &amp; Biophysics (NICPB); European Organization for Nuclear Research (CERN)</t>
  </si>
  <si>
    <t>Fields, BD (corresponding author), Univ Illinois, Dept Astron, Urbana, IL 61801 USA.;Fields, BD (corresponding author), Univ Illinois, Illinois Ctr Adv Study Universe, Urbana, IL 61801 USA.;Fields, BD (corresponding author), Univ Illinois, Dept Phys, Urbana, IL 61801 USA.</t>
  </si>
  <si>
    <t>bdfields@illinois.edu</t>
  </si>
  <si>
    <t>Ertel, Adrienne/0000-0002-3876-2057; Fry, Brian/0000-0002-2786-5667; Fields, Brian/0000-0002-4188-7141</t>
  </si>
  <si>
    <t>NSF [AST-2108589, PHY-1430152]; United Kingdom STFC [ST/P000258/1, ST/T000759/1]; Estonian Research Council via a Mobilitas Pluss</t>
  </si>
  <si>
    <t>NSF(National Science Foundation (NSF)); United Kingdom STFC(UK Research &amp; Innovation (UKRI)Science &amp; Technology Facilities Council (STFC)); Estonian Research Council via a Mobilitas Pluss</t>
  </si>
  <si>
    <t>We remember Shawn Bishop as a friend and colleague who made pioneering contributions to this field. We are particularly indebted to J. Ertel and M. Goni for illuminating discussions of geochemical, geophysical, and biological effects. We are grateful to Shawn Bishop, Thomas Faestermann, Caroline Fitoussi, Gunther Korschinek, Peter Ludwig, and Toni Wallner for answering our questions about their data. It is a pleasure to acknowledge many constructive comments from the anonomyous referee, and useful discussions with Evgenii Chaikin, Bruce Draine, Charles Gammie, Dieter Hartmann, Sasha Kaurov, Ashvini Krishnan, Xin Liu, Danny Milisavljevic, Jesse Miller, Paul Ricker, Danylo Sovgut, Rebecca Surman, Alexandra Trauth, and Xilu Wang. B.D.F. is grateful for fruitful discussions with all of the participants of the Historical Supernovae, Novae, and Other Transients workshop held in 2019 October, and to the Lorentz Center at the University of Leiden for their hospitality in hosting this event. The work of A.F.E. and B.D.F. was supported in part by the NSF under grant No. AST-2108589, and benefited from grant No. PHY-1430152 (JINA Center for the Evolution of the Elements). The work of J.E. was supported by the United Kingdom STFC grants ST/P000258/1 and ST/T000759/1, and by the Estonian Research Council via a Mobilitas Pluss grant.</t>
  </si>
  <si>
    <t>0004-637X</t>
  </si>
  <si>
    <t>1538-4357</t>
  </si>
  <si>
    <t>ASTROPHYS J</t>
  </si>
  <si>
    <t>Astrophys. J.</t>
  </si>
  <si>
    <t>10.3847/1538-4357/acb699</t>
  </si>
  <si>
    <t>E0SW3</t>
  </si>
  <si>
    <t>WOS:000972748300001</t>
  </si>
  <si>
    <t>Feltracco, M; Zangrando, R; Barbaro, E; Becagli, S; Park, KT; Vecchiato, M; Caiazzo, L; Traversi, R; Severi, M; Barbante, C; Gambaro, A</t>
  </si>
  <si>
    <t>Feltracco, Matteo; Zangrando, Roberta; Barbaro, Elena; Becagli, Silvia; Park, Ki-Tae; Vecchiato, Marco; Caiazzo, Laura; Traversi, Rita; Severi, Mirko; Barbante, Carlo; Gambaro, Andrea</t>
  </si>
  <si>
    <t>Characterization of free L- and D-amino acids in size-segregated background aerosols over the Ross Sea, Antarctica</t>
  </si>
  <si>
    <t>Amino acids; Aerosol; Antarctica; Phytoplankton bloom</t>
  </si>
  <si>
    <t>DISSOLVED ORGANIC NITROGEN; TERRA-NOVA BAY; OXIDATION; SEAWATER; ICE; DMS; PRODUCTS; MARKERS; ORIGIN; MATTER</t>
  </si>
  <si>
    <t>The study of airborne chemical markers is crucial for identifying sources of aerosols, and their atmospheric processes of transport and transformation. The investigation of free amino acids and their differentiation between the L-and D- en-antiomers are even more important to understand their sources and atmospheric fate. Aerosol samples were collected with a high-volume sampler with cascade impactor at Mario Zucchelli Station (MZS) on the coast of the Ross Sea (Antarctica) for two summer campaigns (2018/19 and 2019/20). The total mean concentration of free amino acids in PM10 was 4 +/- 2 pmol m-3 for both campaigns and most of free amino acids were distributed in fine particles. The coarse mode of airborne D-Alanine and dimethylsufoniopropionate in seawater showed a similar trend during both Antarctic campaigns. Thus, the study of D/L Ala ratio in fine, coarse and PM10 fractions indicated the microlayer as the local source. This paper demonstrated that free amino acids follow the trend of DMS and MSA release occurred in the Ross Sea, confirming their applicability as markers for phytoplankton bloom also in paleoclimatic studies.</t>
  </si>
  <si>
    <t>[Feltracco, Matteo; Zangrando, Roberta; Barbaro, Elena; Vecchiato, Marco; Barbante, Carlo; Gambaro, Andrea] Ca Foscari Univ Venice, Dept Environm Sci Informat &amp; Stat, Via Torino, 155, I-30172 Venice Mestre, Italy; [Zangrando, Roberta; Barbaro, Elena; Becagli, Silvia; Vecchiato, Marco; Traversi, Rita; Severi, Mirko; Barbante, Carlo; Gambaro, Andrea] Natl Res Council CNR ISP, Inst Polar Sci, Via Torino, 155, I-30172 Venice Mestre, Italy; [Becagli, Silvia; Traversi, Rita; Severi, Mirko] Univ Florence, Dept Chem, Via Lastruccia 3, I-50019 Florence, Italy; [Park, Ki-Tae] Korea Polar Res Inst KOPRI, Incheon 21990, South Korea; [Caiazzo, Laura] ENEA Lab Observat &amp; Measurements Environm &amp; Climat, Rome, Italy</t>
  </si>
  <si>
    <t>Universita Ca Foscari Venezia; Consiglio Nazionale delle Ricerche (CNR); Istituto di Scienze Polari (ISP-CNR); University of Florence; Korea Polar Research Institute (KOPRI)</t>
  </si>
  <si>
    <t>Feltracco, M (corresponding author), Ca Foscari Univ Venice, Dept Environm Sci Informat &amp; Stat, Via Torino, 155, I-30172 Venice Mestre, Italy.</t>
  </si>
  <si>
    <t>matteo.feltracco@unive.it</t>
  </si>
  <si>
    <t>Becagli, Silvia/GNW-2665-2022; Park, Ki-Tae/CAF-2480-2022; Severi, Mirko/J-2508-2012</t>
  </si>
  <si>
    <t>Vecchiato, Marco/0000-0002-5112-8472; BARBARO, ELENA/0000-0003-2639-7475</t>
  </si>
  <si>
    <t>MIUR (Italian Ministry of University and Research); PNRA (Programma Nazionale di Ricerca in Antartide) [PNRA16_00065-A1]; PNRA [PNRA14_00019]</t>
  </si>
  <si>
    <t>MIUR (Italian Ministry of University and Research)(Ministry of Education, Universities and Research (MIUR)); PNRA (Programma Nazionale di Ricerca in Antartide); PNRA</t>
  </si>
  <si>
    <t>The research was financially supported by the MIUR (Italian Ministry of University and Research) and PNRA (Programma Nazionale di Ricerca in Antartide) through the PNRA16_00065-A1 Project Correlation between biogenic aerosol and primary production in the Ross Sea-BioAPRoS. Me-teorological data are furnished by the Meteo-Climatological Observatory at MZS and Victoria Land project funded by the PNRA (PNRA14_00019) and managed by staff of the Italian National Agency for New Technologies, Energy and Sustainable Economic Development (ENEA). Finally, a special thanks to the logistic and scientific staff at Mario Zucchelli Station in the Antarctic campaigns 2018-19 and 2019-20, without them this work could not have been accomplished. The authors gratefully acknowledge the NOAA Air Resources Laboratory (ARL) for the provision of the HYSPLIT transport and dispersion model and READY website (http://www.ready.noaa.gov) used in this publication. The authors are grateful to Elga LabWater (Veolia Water VWS Ltd., High Wycombe, UK) for supplying the Purelab Ultra System used in this study.</t>
  </si>
  <si>
    <t>10.1016/j.scitotenv.2023.163070</t>
  </si>
  <si>
    <t>E2IY9</t>
  </si>
  <si>
    <t>WOS:000973848100001</t>
  </si>
  <si>
    <t>Lei, JT; Li, WH; Zhang, SK</t>
  </si>
  <si>
    <t>Lei, Jintao; Li, Wenhao; Zhang, Shengkai</t>
  </si>
  <si>
    <t>Improving Consistency of GNSS-IR Reflector Height Estimates between Different Frequencies Using Multichannel Singular Spectrum Analysis</t>
  </si>
  <si>
    <t>GNSS-IR; M-SSA; data-adaptive; multi-frequency</t>
  </si>
  <si>
    <t>GPS MULTIPATH</t>
  </si>
  <si>
    <t>Previous studies of GNSS-IR mainly focused on the legacy L1C signal; the potential of modernized signals (L2C and L5Q) has not yet been fully exploited. In this paper, we applied the Multichannel Singular Spectrum Analysis (M-SSA) method to extract common interference patterns from different frequencies simultaneously. The three-frequency (L1C, L2C, and L5Q) signal-to-noise ratio (SNR) measurements from a total of 840 satellite rising and setting arcs, occurring between day of year 250 to 279 in year 2020 and 2021, were used. By comparing GNSS-IR reflector heights obtained from the original and M-SSA-reconstructed SNR time series, we found that M-SSA significantly improves the between-frequency consistency, as shown by an increase in the values of R-squared of linear regression from (0.69, 0.67, 0.89) to (0.95, 0.96, 0.98), and a decrease in RMSE from (0.10 m, 0.10 m, 0.06 m) to (0.04 m, 0.04 m, 0.02 m) for S1C-S2C, S1C-S5Q, and S2C-S5Q pair, respectively. Our results validate (1) the effectiveness of the M-SSA method in extracting common interference patterns from multi-frequency SNR time series, and (2) the superiority of modernized civil signals L2C and L5Q over the legacy L1C signal in GNSS-IR studies. We also emphasize the important role that the L5 signal will play in future GNSS-IR research because of its compatibility and interoperability among different satellite navigation systems.</t>
  </si>
  <si>
    <t>[Lei, Jintao] Guangxi Univ, Sch Civil Engn &amp; Architecture, Nanning 530004, Peoples R China; [Lei, Jintao; Zhang, Shengkai] Wuhan Univ, Chinese Antarctic Ctr Surveying &amp; Mapping, Wuhan 430079, Peoples R China; [Li, Wenhao] Nanjing Tech Univ, Sch Geomatics Sci &amp; Technol, Nanjing 211816, Peoples R China</t>
  </si>
  <si>
    <t>Guangxi University; Wuhan University; Nanjing Tech University</t>
  </si>
  <si>
    <t>Li, WH (corresponding author), Nanjing Tech Univ, Sch Geomatics Sci &amp; Technol, Nanjing 211816, Peoples R China.</t>
  </si>
  <si>
    <t>jintao.lei@gxu.edu.cn; wh_li@whu.edu.cn; zskai@whu.edu.cn</t>
  </si>
  <si>
    <t>Zhang, Shengkai/0000-0001-7436-2504</t>
  </si>
  <si>
    <t>National Key Research and Development Program of China [2017YFA0603104]; National Natural Science Foundation of China [42074006]</t>
  </si>
  <si>
    <t>National Key Research and Development Program of China; National Natural Science Foundation of China(National Natural Science Foundation of China (NSFC))</t>
  </si>
  <si>
    <t>This research was funded by the National Key Research and Development Program of China [2017YFA0603104] and the National Natural Science Foundation of China [42074006].</t>
  </si>
  <si>
    <t>10.3390/rs15071779</t>
  </si>
  <si>
    <t>D5HP7</t>
  </si>
  <si>
    <t>WOS:000969046000001</t>
  </si>
  <si>
    <t>Liang, ZY; Ji, Q; Pang, XP; Fan, P; Yao, XD; Chen, YZ; Chen, Y; Yan, ZN</t>
  </si>
  <si>
    <t>Liang, Zeyu; Ji, Qing; Pang, Xiaoping; Fan, Pei; Yao, Xuedong; Chen, Yizhuo; Chen, Ying; Yan, Zhongnan</t>
  </si>
  <si>
    <t>Estimation of Daily Arctic Winter Sea Ice Thickness from Thermodynamic Parameters Using a Self-Attention Convolutional Neural Network</t>
  </si>
  <si>
    <t>sea ice thickness; thermodynamic parameters; neural network; Arctic</t>
  </si>
  <si>
    <t>SATELLITE; RETRIEVAL; MODEL; VARIABILITY; ALGORITHM; CRYOSAT-2; RECORD</t>
  </si>
  <si>
    <t>Thermodynamic parameters play a crucial role in determining polar sea ice thickness (SIT); however, modeling their relationship is difficult due to the complexity of the influencing mechanisms. In this study, we propose a self-attention convolutional neural network (SAC-Net), which aims to model the relationship between thermodynamic parameters and SIT more parsimoniously, allowing us to estimate SIT directly from these parameters. SAC-Net uses a fully convolutional network as a baseline model to detect the spatial information of the thermodynamic parameters. Furthermore, a self-attention block is introduced to enhance the correlation among features. SAC-Net was trained on a dataset of SIT observations and thermodynamic data from the 2012-2019 freeze-up period, including surface upward sensible heat flux, surface upward latent heat flux, 2 m temperature, skin temperature, and surface snow temperature. The results show that our neural network model outperforms two thermodynamic-based SIT products in terms of accuracy and can provide reliable estimates of SIT. This study demonstrates the potential of the neural network to provide accurate and automated predictions of Arctic winter SIT from thermodynamic data, and, thus, the network can be used to support decision-making in certain fields, such as polar shipping, environmental protection, and climate science.</t>
  </si>
  <si>
    <t>[Liang, Zeyu; Ji, Qing; Pang, Xiaoping; Fan, Pei; Chen, Yizhuo; Chen, Ying; Yan, Zhongnan] Wuhan Univ, Chinese Antarctic Ctr Surveying &amp; Mapping, Wuhan 430079, Peoples R China; [Ji, Qing; Pang, Xiaoping] Minist Nat Resources, Key Lab Polar Surveying &amp; Mapping Sci, Wuhan 430079, Peoples R China; [Yao, Xuedong] Wuhan Univ, State Key Lab Informat Engn Surveying Mapping &amp; Re, Wuhan 430079, Peoples R China</t>
  </si>
  <si>
    <t>Wuhan University; Ministry of Natural Resources of the People's Republic of China; Wuhan University</t>
  </si>
  <si>
    <t>Pang, XP (corresponding author), Wuhan Univ, Chinese Antarctic Ctr Surveying &amp; Mapping, Wuhan 430079, Peoples R China.;Pang, XP (corresponding author), Minist Nat Resources, Key Lab Polar Surveying &amp; Mapping Sci, Wuhan 430079, Peoples R China.</t>
  </si>
  <si>
    <t>pxp@whu.edu.cn</t>
  </si>
  <si>
    <t>Yao, Xuedong/HSE-8532-2023</t>
  </si>
  <si>
    <t>Ji, Qing/0000-0003-1386-5604</t>
  </si>
  <si>
    <t>National Natural Science Foundation of China [42076235]; Fundamental Research Funds for the Central Universities [2042022kf0018]</t>
  </si>
  <si>
    <t>National Natural Science Foundation of China(National Natural Science Foundation of China (NSFC)); Fundamental Research Funds for the Central Universities(Fundamental Research Funds for the Central Universities)</t>
  </si>
  <si>
    <t>This work was partly supported by the National Natural Science Foundation of China (Grant NO. 42076235) and the Fundamental Research Funds for the Central Universities (Grant NO. 2042022kf0018).</t>
  </si>
  <si>
    <t>10.3390/rs15071887</t>
  </si>
  <si>
    <t>D4YK4</t>
  </si>
  <si>
    <t>WOS:000968804300001</t>
  </si>
  <si>
    <t>Hellmann, JL; Schneider, JM; Wölfer, E; Drazkowska, J; Jansen, CA; Hopp, T; Burkhardt, C; Kleine, T</t>
  </si>
  <si>
    <t>Hellmann, Jan L.; Schneider, Jonas M.; Woelfer, Elias; Drazkowska, Joanna; Jansen, Christian A.; Hopp, Timo; Burkhardt, Christoph; Kleine, Thorsten</t>
  </si>
  <si>
    <t>Origin of Isotopic Diversity among Carbonaceous Chondrites</t>
  </si>
  <si>
    <t>ASTROPHYSICAL JOURNAL LETTERS</t>
  </si>
  <si>
    <t>PARENT BODIES; REFRACTORY INCLUSIONS; GENETIC HERITAGE; ACCRETION AGES; CHROMIUM; SYSTEMATICS; CHONDRULES; TITANIUM; INSIGHTS; HETEROGENEITY</t>
  </si>
  <si>
    <t>Carbonaceous chondrites are some of the most primitive meteorites and derive from planetesimals that formed a few million years after the beginning of the solar system. Here, using new and previously published Cr, Ti, and Te isotopic data, we show that carbonaceous chondrites exhibit correlated isotopic variations that can be accounted for by mixing among three major constituents having distinct isotopic compositions, namely refractory inclusions, chondrules, and CI chondrite-like matrix. The abundances of refractory inclusions and chondrules are coupled and systematically decrease with increasing amount of matrix. We propose that these correlated abundance variations reflect trapping of chondrule precursors, including refractory inclusions, in a pressure maximum in the disk, which is likely related to the water ice line and the ultimate formation location of Jupiter. The variable abundance of refractory inclusions/chondrules relative to matrix is the result of their distinct aerodynamical properties resulting in differential delivery rates and their preferential incorporation into chondrite parent bodies during the streaming instability, consistent with the early formation of matrix-poor and the later accretion of matrix-rich carbonaceous chondrites. Our results suggest that chondrules formed locally from isotopically heterogeneous dust aggregates, which themselves derive from a wide area of the disk, implying that dust enrichment in a pressure trap was an important step to facilitate the accretion of carbonaceous chondrite parent bodies or, more generally, planetesimals in the outer solar system.</t>
  </si>
  <si>
    <t>[Hellmann, Jan L.; Schneider, Jonas M.; Woelfer, Elias; Jansen, Christian A.; Hopp, Timo; Burkhardt, Christoph; Kleine, Thorsten] Univ Munster, Inst Planetol, Wilhelm Klemm Str 10, D-48149 Munster, Germany; [Hellmann, Jan L.] Univ Maryland, Dept Geol, 8000 Regents Dr, College Pk, MD 20742 USA; [Schneider, Jonas M.; Woelfer, Elias; Drazkowska, Joanna; Hopp, Timo; Burkhardt, Christoph; Kleine, Thorsten] Max Planck Inst Solar Syst Res, Justus von Liebig Weg 3, D-37077 Gottingen, Germany</t>
  </si>
  <si>
    <t>University of Munster; University System of Maryland; University of Maryland College Park</t>
  </si>
  <si>
    <t>Hellmann, JL (corresponding author), Univ Munster, Inst Planetol, Wilhelm Klemm Str 10, D-48149 Munster, Germany.;Hellmann, JL (corresponding author), Univ Maryland, Dept Geol, 8000 Regents Dr, College Pk, MD 20742 USA.</t>
  </si>
  <si>
    <t>hellmann@umd.edu</t>
  </si>
  <si>
    <t>Kleine, Thorsten/S-2792-2017; Drazkowska, Joanna/AAG-8682-2020</t>
  </si>
  <si>
    <t>Drazkowska, Joanna/0000-0002-9128-0305; Hopp, Timo/0000-0002-4056-5431; Hellmann, Jan L./0000-0001-5365-492X; Burkhardt, Christoph/0000-0002-6952-5783; Schneider, Jonas Michel/0000-0002-8278-6400; Wolfer, Elias/0000-0001-9147-0646; Jansen, Christian A./0000-0001-6750-6354</t>
  </si>
  <si>
    <t>NSF; NASA; European Research Council Advanced [101019380]; European Union [101040037]; Deutsche Forschungsgemeinschaft(DFG,German Research Foundation) [263649064]; European Research Council (ERC) [101040037, 101019380] Funding Source: European Research Council (ERC)</t>
  </si>
  <si>
    <t>NSF(National Science Foundation (NSF)); NASA(National Aeronautics &amp; Space Administration (NASA)); European Research Council Advanced(European Research Council (ERC)); European Union(European Union (EU)); Deutsche Forschungsgemeinschaft(DFG,German Research Foundation)(German Research Foundation (DFG)); European Research Council (ERC)(European Research Council (ERC)Spanish Government)</t>
  </si>
  <si>
    <t>We gratefully acknowledge the constructive review by Conel Alexander and efficient editorial handling by Faith Vilas. We thank J. Zipfel (Senckenberg) for providing a sample of Essebi. The meteorite sample GRO 95577 was provided by NASA, which is also gratefully acknowledged.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work was funded by the European Research Council Advanced Grant 101019380 (HOLYEARTH) and by the European Union under the European Union's Horizon Europe Research &amp; Innovation Programme 101040037 (PLANETOIDS). Views and opinions expressed are, however, those of the authors only and do not necessarily reflect those of the European Union or the European Research Council. Neither the European Union nor the granting authority can be held responsible for them. Funded by the Deutsche Forschungsgemeinschaft (DFG, German Research Foundation)-Project-ID 263649064-TRR 170. This is TRR170 publication No. 182.</t>
  </si>
  <si>
    <t>2041-8205</t>
  </si>
  <si>
    <t>2041-8213</t>
  </si>
  <si>
    <t>ASTROPHYS J LETT</t>
  </si>
  <si>
    <t>Astrophys. J. Lett.</t>
  </si>
  <si>
    <t>L34</t>
  </si>
  <si>
    <t>10.3847/2041-8213/acc102</t>
  </si>
  <si>
    <t>C5VR2</t>
  </si>
  <si>
    <t>WOS:000962594300001</t>
  </si>
  <si>
    <t>Paz, JMA; Mendoza, LPO; Fernández, LI</t>
  </si>
  <si>
    <t>Paz, Juan Manuel Aragon; Mendoza, Luciano Pedro Oscar; Fernandez, Laura Isabel</t>
  </si>
  <si>
    <t>Near-real-time GNSS tropospheric IWV monitoring system for South America</t>
  </si>
  <si>
    <t>GPS SOLUTIONS</t>
  </si>
  <si>
    <t>GNSS meteorology; South America; Near-real-time; Service; IWV; ZTD; Troposphere</t>
  </si>
  <si>
    <t>VARIATIONAL DATA ASSIMILATION; WATER-VAPOR; PRECIPITABLE WATER; GPS METEOROLOGY; DELAYS; RAINFALL; NETWORK; MODELS; FUTURE; STATE</t>
  </si>
  <si>
    <t>Water vapor (WV) is a key component in the hydrological cycle. Changes in the distribution of WV and the rate of these changes influence the evolution of the climate. In addition, near-real-time (NRT) observations of WV have important applications through their assimilation into Numerical Weather Predictions (NWP). In South America, the only operational WV measurements have been those obtained by radiosonde (RS). Here we present a regional NRT WV monitoring system based on GNSS observations. It relies exclusively on data produced by existing geodetic and meteorological infrastructure, and uses only surface meteorological observations. Coverage extends from central Brazil to the Antarctic Peninsula, including Argentina and Uruguay, and produces hourly estimates of both Zenith Total Delay (ZTD) and Integrated Water Vapor (IWV). As part of the development of the system, we assessed the quality of the products by means of a comprehensive two-year comparison, between April 2018 and March 2020, with independent GNSS products, RS measurements, ECMWF Reanalysis v5 (ERA5) hourly estimates and Atmospheric Infrared Sounder (AIRS) observations. The obtained biases and inter-technique dispersions confirm the good quality of the NRT products. This is especially important since the development of this NRT monitoring system is ultimately aimed at generating an accurate product that could be used, by the regional meteorological services, in their NWP. In addition, a preliminary study was conducted on the representativeness of the NRT product during a mesoscale convective system event in the region, particularly associated with severe weather.</t>
  </si>
  <si>
    <t>[Paz, Juan Manuel Aragon; Mendoza, Luciano Pedro Oscar; Fernandez, Laura Isabel] Univ Nacl La Plata UNLP, Fac Ciencias Astron &amp; Geofis FCAG, Lab Meteorol Espacial Atmosfera Terr Geodesia Geo, Paseo Bosque S-N,B1900FWA, La Plata, Argentina; [Paz, Juan Manuel Aragon; Mendoza, Luciano Pedro Oscar; Fernandez, Laura Isabel] Consejo Nacl Invest Cient &amp; Tecn CONICET, Godoy Cruz 2290,C1425FQB, Buenos Aires, Argentina</t>
  </si>
  <si>
    <t>National University of La Plata; Consejo Nacional de Investigaciones Cientificas y Tecnicas (CONICET)</t>
  </si>
  <si>
    <t>Mendoza, LPO (corresponding author), Univ Nacl La Plata UNLP, Fac Ciencias Astron &amp; Geofis FCAG, Lab Meteorol Espacial Atmosfera Terr Geodesia Geo, Paseo Bosque S-N,B1900FWA, La Plata, Argentina.;Mendoza, LPO (corresponding author), Consejo Nacl Invest Cient &amp; Tecn CONICET, Godoy Cruz 2290,C1425FQB, Buenos Aires, Argentina.</t>
  </si>
  <si>
    <t>lmendoza@fcaglp.unlp.edu.ar</t>
  </si>
  <si>
    <t>Agencia Nacional de Promocion de la Investigacion, el Desarrollo Tecnologico y la Innovacion (Argentina) [PICT 2019-01834]; Universidad Nacional de La Plata (Argentina) [G169/2020]; Consejo Nacional de Investigaciones Cientificas y Tecnicas (Argentina)</t>
  </si>
  <si>
    <t>Agencia Nacional de Promocion de la Investigacion, el Desarrollo Tecnologico y la Innovacion (Argentina); Universidad Nacional de La Plata (Argentina)(National University of La Plata); Consejo Nacional de Investigaciones Cientificas y Tecnicas (Argentina)(Consejo Nacional de Investigaciones Cientificas y Tecnicas (CONICET))</t>
  </si>
  <si>
    <t>The authors thank the institutions that provided the data and observations needed to carry out this work. In particular the Instituto Geografico Nacional (IGN, Argentina), the Instituto Brasileiro de Geografia e Estatistica (IBGE, Brazil), the Instituto Geografico Militar (IGM, Uruguay), the Servicio Meteorologico Nacional (SMN, Argentina), the International GNSS Service (IGS), the Center for Orbit Determination in Europe (CODE, Germany and Switzerland). This work was funded by Agencia Nacional de Promocion de la Investigacion, el Desarrollo Tecnologico y la Innovacion (Argentina) with grant PICT 2019-01834 and by Universidad Nacional de La Plata (Argentina) with grant G169/2020. JMAP was also funded by Consejo Nacional de Investigaciones Cientificas y Tecnicas (Argentina) through a doctoral scholarship. We thank two anonymous reviewers for their insightful comments and positive feedback, which helped to greatly improve the final work.</t>
  </si>
  <si>
    <t>1080-5370</t>
  </si>
  <si>
    <t>1521-1886</t>
  </si>
  <si>
    <t>GPS SOLUT</t>
  </si>
  <si>
    <t>GPS Solut.</t>
  </si>
  <si>
    <t>10.1007/s10291-023-01436-2</t>
  </si>
  <si>
    <t>C4XE6</t>
  </si>
  <si>
    <t>WOS:000961954000001</t>
  </si>
  <si>
    <t>Berman, E</t>
  </si>
  <si>
    <t>Berman, Elizabeth</t>
  </si>
  <si>
    <t>Climate change and the new polar aesthetics: Artists reimagine the Arctic and Antarctic</t>
  </si>
  <si>
    <t>JOURNAL OF POSTCOLONIAL WRITING</t>
  </si>
  <si>
    <t>Book Review</t>
  </si>
  <si>
    <t>[Berman, Elizabeth] Brown Univ, Providence, RI 02912 USA</t>
  </si>
  <si>
    <t>Brown University</t>
  </si>
  <si>
    <t>Berman, E (corresponding author), Brown Univ, Providence, RI 02912 USA.</t>
  </si>
  <si>
    <t>elizabeth.j.berman@gmail.com</t>
  </si>
  <si>
    <t>ROUTLEDGE JOURNALS, TAYLOR &amp; FRANCIS LTD</t>
  </si>
  <si>
    <t>2-4 PARK SQUARE, MILTON PARK, ABINGDON OX14 4RN, OXON, ENGLAND</t>
  </si>
  <si>
    <t>1744-9855</t>
  </si>
  <si>
    <t>1744-9863</t>
  </si>
  <si>
    <t>J POSTCOLONIAL WRIT</t>
  </si>
  <si>
    <t>J. Postcolonial Writ.</t>
  </si>
  <si>
    <t>NOV 2</t>
  </si>
  <si>
    <t>10.1080/17449855.2023.2175950</t>
  </si>
  <si>
    <t>Literature</t>
  </si>
  <si>
    <t>Arts &amp; Humanities Citation Index (A&amp;HCI)</t>
  </si>
  <si>
    <t>HD3W1</t>
  </si>
  <si>
    <t>WOS:000961929000001</t>
  </si>
  <si>
    <t>Douce, P; Mermillod-Blondin, F; Simon, L; Dolédec, S; Eymar-Dauphin, P; Renault, D; Sulmon, C; Vallier, F; Bittebiere, AK</t>
  </si>
  <si>
    <t>Douce, P.; Mermillod-Blondin, F.; Simon, L.; Doledec, S.; Eymar-Dauphin, P.; Renault, D.; Sulmon, C.; Vallier, F.; Bittebiere, A. -k.</t>
  </si>
  <si>
    <t>Biotic and abiotic drivers of aquatic plant communities in shallow pools and wallows on the sub-Antarctic Iles Kerguelen</t>
  </si>
  <si>
    <t>Aquatic plants; Ponds; Seasonality; Plant community structure; Habitat; Spatio-temporal variability</t>
  </si>
  <si>
    <t>CO-INERTIA ANALYSIS; CLIMATE-CHANGE; LANDSCAPE VARIABLES; MACQUARIE ISLAND; SMALL LAKES; ECOSYSTEM; WATER; ASSEMBLAGES; ECOLOGY; TERRESTRIAL</t>
  </si>
  <si>
    <t>In the sub-Antarctic region, climate change is particularly rapid, while their freshwater ecosystems, such as ponds, host plant species with limited spatial distributions. These particular systems and their plant communities remain however poorly known and the context of their changing habitat calls for deeper insights into these systems. We performed an extensive survey of 45 ponds over three locations of the Iles Kerguelen during the winter and summer seasons of two years, which included the measurement of 12 abiotic parameters and the assessment of the plant community composition. Overall, our results showed that Iles Kerguelen ponds are shallow freshwater ecosystems harbouring species-poor plant communities with high evenness, of which structure did not vary among the sampled locations. Three different habitats were identified among ponds in relation with nutrient supply by marine animals, which ultimately influenced plant community structure and cover. We highlight that these habitats are mostly determined by water depth, nutrients, and temperature (mean and variance). Present plant community composition was more strongly correlated with plant community composition in the previous year than with abiotic conditions. Overall, this study provides new knowledge on the aquatic plant communities and the functioning of Iles Kerguelen freshwater ecosystems, which can serve as a basis for future studies dealing with the impact of climate change in the sub-Antarctic region.</t>
  </si>
  <si>
    <t>[Douce, P.; Mermillod-Blondin, F.; Simon, L.; Doledec, S.; Eymar-Dauphin, P.; Vallier, F.; Bittebiere, A. -k.] Univ Lyon, Univ Claude Bernard Lyon 1, CNRS, ENTPE,UMR 5023 LEHNA, 6 Rue Raphael Dubois, F-69622 Villeurbanne, France; [Renault, D.; Sulmon, C.] Univ Rennes, CNRS, EcoBio Ecosyst Biodivers Evolut, UMR 6553, F-35000 Rennes, France; [Renault, D.] Inst Univ France, 1 Rue Descartes, F-75231 Paris 05, France</t>
  </si>
  <si>
    <t>Centre National de la Recherche Scientifique (CNRS); CNRS - Institute of Ecology &amp; Environment (INEE); Universite Claude Bernard Lyon 1; Centre National de la Recherche Scientifique (CNRS); CNRS - Institute of Ecology &amp; Environment (INEE); Universite de Rennes; Institut Universitaire de France</t>
  </si>
  <si>
    <t>Bittebiere, AK (corresponding author), Univ Lyon, Univ Claude Bernard Lyon 1, CNRS, ENTPE,UMR 5023 LEHNA, 6 Rue Raphael Dubois, F-69622 Villeurbanne, France.</t>
  </si>
  <si>
    <t>anne-kristel.bittebiere@univ-lyon1.fr</t>
  </si>
  <si>
    <t>Institut Polaire Francais Paul-Emile Victor [IPEV 136]; BiodivERsA ASICS' [ANR-20-EBI5-0004]; French National program EC2CO (Ecosphere Continentale et Cptiere); ANR PONDS' [ANR-21-CE02-0003-01]; Universite de Lyon (UdL), within the program Investissements d'Avenir [ANR-17-EURE-0018]; Agence Nationale de la Recherche (ANR) [ANR-21-CE02-0003] Funding Source: Agence Nationale de la Recherche (ANR)</t>
  </si>
  <si>
    <t>Institut Polaire Francais Paul-Emile Victor; BiodivERsA ASICS'; French National program EC2CO (Ecosphere Continentale et Cptiere); ANR PONDS'(Agence Nationale de la Recherche (ANR)); Universite de Lyon (UdL), within the program Investissements d'Avenir(Agence Nationale de la Recherche (ANR)); Agence Nationale de la Recherche (ANR)(Agence Nationale de la Recherche (ANR))</t>
  </si>
  <si>
    <t>The authors thank all civil volunteers that participated to the field survey from 2017 to 2022. This research was supported by the Institut Polaire Francais Paul-Emile Victor (project IPEV 136 SUBANTECO), by the BiodivERsA ASICS' (ANR-20-EBI5-0004, BiodivClim call 2019-2020), the French National program EC2CO (Ecosphere Continentale et Cptiere), and by the ANR PONDS' (ANR-21-CE02-0003-01, JCJC call 2021) projects, and the long-term research network on biodiversity in Antarctic and sub-Antarctic ecosystems (Zone Atelier InEE-CNRS Antarctique et Terres Australes). Finally, the study was performed within the framework of the EUR H2O' Lyon (ANR-17-EURE-0018) of Universite de Lyon (UdL), within the program Investissements d'Avenir operated by the French National Research Agency (ANR).</t>
  </si>
  <si>
    <t>10.1007/s00300-023-03122-y</t>
  </si>
  <si>
    <t>WOS:000961679600001</t>
  </si>
  <si>
    <t>Lopatka, A</t>
  </si>
  <si>
    <t>Lopatka, Alex</t>
  </si>
  <si>
    <t>Melting underneath Thwaites Glacier is more complicated than expected</t>
  </si>
  <si>
    <t>PHYSICS TODAY</t>
  </si>
  <si>
    <t>A robot exploring beneath the vulnerable Antarctic glacier has found new features that affect its melt rate.</t>
  </si>
  <si>
    <t>AMER INST PHYSICS</t>
  </si>
  <si>
    <t>1305 WALT WHITMAN RD ,STE 300, MELVILLE, NY 11747 USA</t>
  </si>
  <si>
    <t>0031-9228</t>
  </si>
  <si>
    <t>1945-0699</t>
  </si>
  <si>
    <t>PHYS TODAY</t>
  </si>
  <si>
    <t>Phys. Today</t>
  </si>
  <si>
    <t>10.1063/PT.3.5213</t>
  </si>
  <si>
    <t>Physics, Multidisciplinary</t>
  </si>
  <si>
    <t>Physics</t>
  </si>
  <si>
    <t>C4ZA5</t>
  </si>
  <si>
    <t>WOS:000962001900001</t>
  </si>
  <si>
    <t>Ren, XD; Li, Y; Mei, DK; Zhu, W; Zhang, XH</t>
  </si>
  <si>
    <t>Ren, Xiaodong; Li, Yan; Mei, Dengkui; Zhu, Wei; Zhang, Xiaohong</t>
  </si>
  <si>
    <t>Improving topside ionospheric empirical model using FORMOSAT-7/COSMIC-2 data</t>
  </si>
  <si>
    <t>JOURNAL OF GEODESY</t>
  </si>
  <si>
    <t>Electron density; Ionospheric empirical model; Topside ionospheric model; Radio occultation</t>
  </si>
  <si>
    <t>ELECTRON-DENSITY; NEQUICK; IRI; BOTTOMSIDE</t>
  </si>
  <si>
    <t>The precise description of the topside ionosphere using an ionospheric empirical model has always been a work in progress. The NeQuick topside model is greatly enhanced by adopting radio occultation data from the FORMOSAT-7/COSMIC-2 constellation. The topside scale height H formulation in the NeQuick model is simplified into a linear combination of an empirically deduced parameter H-0 and a gradient parameter g. The two-dimensional grid maps for the H-0 and g parameters are generated as a function of the foF2 and hmF2 parameters. Corrected H-0 and g values can be interpolated easily from two grid maps, allowing a more accurate description of the topside ionosphere than the original NeQuick model. The improved NeQuick model (namely NeQuick_GRID model) is statistically validated by comparing it to Total Electron Content (TEC) integrated from COSMIC-2 electron density profiles and space-borne TEC derived from onboard Global Navigation Satellite System observations, respectively. The results show that the NeQuick_GRID model can reduce relative errors by 38% approximately when compared to the integrated TEC from COSMIC profiles and by 15% approximately when compared to the space-borne TEC. Furthermore, a long-term statistical analysis during years of both high and low solar activities reveals that grid maps of the scale factor H-0 and the gradient parameter g have very similar features, allowing rapid and efficient acquisition of high-precision electron density during different solar activity.</t>
  </si>
  <si>
    <t>[Ren, Xiaodong; Li, Yan; Mei, Dengkui; Zhu, Wei; Zhang, Xiaohong] Wuhan Univ, Sch Geodesy &amp; Geomatics, Wuhan 430079, Peoples R China; [Ren, Xiaodong; Zhang, Xiaohong] Hubei Luojia Lab, Wuhan 430079, Peoples R China; [Zhang, Xiaohong] Wuhan Univ, Chinese Antarctic Ctr Surveying &amp; Mapping, Wuhan 430079, Peoples R China</t>
  </si>
  <si>
    <t>Ren, XD (corresponding author), Wuhan Univ, Sch Geodesy &amp; Geomatics, Wuhan 430079, Peoples R China.;Ren, XD (corresponding author), Hubei Luojia Lab, Wuhan 430079, Peoples R China.</t>
  </si>
  <si>
    <t>Zhang, Xiaohong/A-3060-2015; REN, XIAODONG/HJP-2991-2023</t>
  </si>
  <si>
    <t>REN, XIAODONG/0000-0002-3213-0067</t>
  </si>
  <si>
    <t>National Natural Science Foundation of China [42174031, 41904026, 42230104]; Fundamental Research Funds for the Central Universities</t>
  </si>
  <si>
    <t>This work was funded by the National Natural Science Foundation of China (NO.42174031, NO.41904026, NO.42230104) and supported by the Fundamental Research Funds for the Central Universities. The numerical calculations have been done on the supercomputing system in the Supercomputing Center of Wuhan University, Wuhan, China. The source code of the NeQuick model is available from https://t-ict4d.ictp.it/nequick2.</t>
  </si>
  <si>
    <t>0949-7714</t>
  </si>
  <si>
    <t>1432-1394</t>
  </si>
  <si>
    <t>J GEODESY</t>
  </si>
  <si>
    <t>J. Geodesy</t>
  </si>
  <si>
    <t>10.1007/s00190-023-01710-8</t>
  </si>
  <si>
    <t>Geochemistry &amp; Geophysics; Remote Sensing</t>
  </si>
  <si>
    <t>A8MO4</t>
  </si>
  <si>
    <t>WOS:000957605600002</t>
  </si>
  <si>
    <t>Purich, A; England, MH</t>
  </si>
  <si>
    <t>Purich, Ariaan; England, Matthew H.</t>
  </si>
  <si>
    <t>Projected Impacts of Antarctic Meltwater Anomalies over the Twenty-First Century</t>
  </si>
  <si>
    <t>Southern Ocean; Ice shelves; Sea ice; Atmosphere-ocean interaction; Ocean dynamics; Coupled models</t>
  </si>
  <si>
    <t>SEA-LEVEL RISE; SOUTHERN-OCEAN; BOTTOM WATER; ICE SHELVES; FRESH-WATER; CONVECTION; SALINITIES; DRIVEN; NORTH; CYCLE</t>
  </si>
  <si>
    <t>Antarctic margin and Southern Ocean surface freshening has been observed in recent decades and is pro-jected to continue over the twenty-first century. Surface freshening due to precipitation and sea ice changes is represented in coupled climate models; however, Antarctic ice sheet/shelf meltwater contributions are not. Because Antarctic melting is projected to accelerate over the twenty-first century, this constitutes a fundamental shortcoming in present-day projec-tions of high-latitude climate. Southern Ocean surface freshening has been shown to cause surface cooling by reducing both ocean convection and the entrainment of warm subsurface waters to the surface. Over the twenty-first century, Ant-arctic meltwater is expected to alter the pattern of projected surface warming as well as having other climatic effects. How-ever, there remains considerable uncertainty in projected Antarctic meltwater amounts, and previous findings could be model dependent. Here, we use the ACCESS-ESM1.5 coupled model to investigate global climate responses to low and high Antarctic meltwater additions over the twenty-first century under a high-emissions climate scenario. Our high-meltwater simulations produce anomalous surface cooling, increased Antarctic sea ice, subsurface ocean warming, and hemispheric dif-ferences in precipitation. Our low-meltwater simulations suggest that the magnitude of surface temperature and Antarctic sea ice responses is strongly dependent on the applied meltwater amount. Taken together, these findings highlight the importance of constraining projections of Antarctic ice sheet/shelf melt to better project global surface climate changes over the twenty-first century.</t>
  </si>
  <si>
    <t>[Purich, Ariaan] ARC Ctr Excellence Climate Extremes, Sydney, NSW, Australia; [Purich, Ariaan; England, Matthew H.] Univ New South Wales, Climate Change Res Ctr, Sydney, NSW, Australia; [England, Matthew H.] Australian Ctr Excellence Antarctic Sci, Sydney, NSW, Australia</t>
  </si>
  <si>
    <t>Purich, A (corresponding author), ARC Ctr Excellence Climate Extremes, Sydney, NSW, Australia.;Purich, A (corresponding author), Univ New South Wales, Climate Change Res Ctr, Sydney, NSW, Australia.</t>
  </si>
  <si>
    <t>ariaan.purich@monash.edu</t>
  </si>
  <si>
    <t>England, Matthew/A-7539-2011</t>
  </si>
  <si>
    <t>England, Matthew/0000-0001-9696-2930; Purich, Ariaan/0000-0003-2248-5937</t>
  </si>
  <si>
    <t>Australian Research Council (ARC); ARC Center of Excellence for Climate Extremes [CE17010023]; ARC Centre for Excellence in Antarctic Science [SR200100008]</t>
  </si>
  <si>
    <t>Australian Research Council (ARC)(Australian Research Council); ARC Center of Excellence for Climate Extremes; ARC Centre for Excellence in Antarctic Science</t>
  </si>
  <si>
    <t>This work was supported by the Australian Research Council (ARC) including the ARC Center of Excellence for Climate Extremes (CE17010023) and the ARC Centre for Excellence in Antarctic Science (SR200100008) . This research was undertaken with the assistance of resources and services from the National Computational Infrastructure (NCI) , which is supported by the Australian government. Figures were produced using the NCAR Command Language (https://doi.org/10.5065/D6WD3XH5) . We thank the CMS team at the ARC Center of Excellence for Climate Extremes and Tilo Ziehn and Chloe Mackallah at CSIRO for their help in con figuring ACCESS-ESM1.5. We thank Kaitlin Naughten and Nick Golledge for helpful discussions. We also thank Shaina Sadai and two anonymous reviewers for their constructive comments.</t>
  </si>
  <si>
    <t>10.1175/JCLI-D-22-0457.1</t>
  </si>
  <si>
    <t>A4AY3</t>
  </si>
  <si>
    <t>WOS:000954583900001</t>
  </si>
  <si>
    <t>Liu, W; Tang, H; Nyatchouba Nsangue, BT; Zhang, F; Yin, LQ; Xu, LX; Hu, FX; Liu, PF</t>
  </si>
  <si>
    <t>Liu, Wei; Tang, Hao; Nyatchouba Nsangue, Bruno Thierry; Zhang, Feng; Yin, Liqiang; Xu, Liuxiong; Hu, Fuxiang; Liu, Pengfei</t>
  </si>
  <si>
    <t>Revealing the Fluttering Motions of Mid-Water Trawl Codend Through Sea Trials: Case Study of Antarctic Krill Trawl Codend</t>
  </si>
  <si>
    <t>JOURNAL OF OCEAN UNIVERSITY OF CHINA</t>
  </si>
  <si>
    <t>codend; fluttering motions; sea trials; Morlet wavelet; periodicity</t>
  </si>
  <si>
    <t>NUMERICAL-SIMULATION; EUPHAUSIA-SUPERBA; FLOW; DRAG; END; FLUORIDE; BEHAVIOR; DEVICE; NETS</t>
  </si>
  <si>
    <t>The dynamic coupling between the fluttering motions and hydrodynamic characteristics of codend is essential in understanding the trawl selectivity through fish response and the drag force acting on the whole trawl. This study investigated the effect of towing speed, warp length, warp tension, and catch size on the fluttering motions of Antarctic krill trawl codend during net shooting, towing, and hauling by using sea trial data. The time-periodicity of codend oscillation was analyzed by the Morlet wavelet transform method. Results indicated that the period of codend oscillation was between 50 s and 90 s and showed an increasing trend with the warp tension but a decreased value at the towing stage. The coefficient amplitude of codend oscillation was between 0 and 4 at the net shooting and hauling stages, and between 0.2 and 0.6 at the towing stage. The amplitude of codend oscillation increased with the warp tension, towing speed, and catch size, but decreased with the increase of the warp length. In addition, the period of codend oscillation increased with the towing speed at the net shooting and hauling stages, but decreased at the towing stage. These results from codend fluttering motions can improve the understanding of fish behavior and gear shape that modify the hydrodynamic force on the codend instantaneously.</t>
  </si>
  <si>
    <t>[Liu, Wei; Tang, Hao; Nyatchouba Nsangue, Bruno Thierry; Zhang, Feng; Yin, Liqiang; Xu, Liuxiong] Shanghai Ocean Univ, Coll Marine Sci, Shanghai 201306, Peoples R China; [Tang, Hao; Xu, Liuxiong] Natl Engn Res Ctr Ocean Fisheries, Shanghai 201306, Peoples R China; [Tang, Hao; Xu, Liuxiong] Minist Agr &amp; Rural Affairs, Key Lab Ocean Fisheries Explorat, Shanghai 201306, Peoples R China; [Tang, Hao; Xu, Liuxiong] Shanghai Ocean Univ, Key Lab Sustainable Exploitat Ocean Fisheries Reso, Minist Educ, Shanghai 201306, Peoples R China; [Tang, Hao; Xu, Liuxiong] Minist Agr &amp; Rural Affairs, Sci Observing &amp; Expt Stn Ocean Fishery Resources, Shanghai 201306, Peoples R China; [Hu, Fuxiang] Tokyo Univ Marine Sci &amp; Technol, Fac Marine Sci, Tokyo 1088477, Japan; [Liu, Pengfei] Shanghai Ocean Univ, Tendering Off, Shanghai 201306, Peoples R China</t>
  </si>
  <si>
    <t>Shanghai Ocean University; National Engineering Research Center for Oceanic Fisheries; Ministry of Agriculture &amp; Rural Affairs; Shanghai Ocean University; Ministry of Agriculture &amp; Rural Affairs; Tokyo University of Marine Science &amp; Technology; Shanghai Ocean University</t>
  </si>
  <si>
    <t>Tang, H (corresponding author), Shanghai Ocean Univ, Coll Marine Sci, Shanghai 201306, Peoples R China.;Tang, H (corresponding author), Natl Engn Res Ctr Ocean Fisheries, Shanghai 201306, Peoples R China.;Tang, H (corresponding author), Minist Agr &amp; Rural Affairs, Key Lab Ocean Fisheries Explorat, Shanghai 201306, Peoples R China.;Tang, H (corresponding author), Shanghai Ocean Univ, Key Lab Sustainable Exploitat Ocean Fisheries Reso, Minist Educ, Shanghai 201306, Peoples R China.;Tang, H (corresponding author), Minist Agr &amp; Rural Affairs, Sci Observing &amp; Expt Stn Ocean Fishery Resources, Shanghai 201306, Peoples R China.</t>
  </si>
  <si>
    <t>htang@shou.edu.cn</t>
  </si>
  <si>
    <t>Wang, Ling/KBA-9814-2024; xu, liu/KCL-1154-2024; XIE, WANYING/JNR-9259-2023; Zhang, Wenli/JXL-4317-2024; wang, yingying/JSK-6741-2023; Wang, Ling/AGR-4917-2022; Liu, min/JXW-8493-2024; lei, lei/JSL-3106-2023; Wang, Xiaojun/JUU-9683-2023; wen, liang/JNR-7720-2023; Liu, Liu/JXM-8208-2024; LU, CX/KFB-9510-2024</t>
  </si>
  <si>
    <t>Wang, Ling/0000-0003-0272-2974; Wang, Ling/0000-0003-0272-2974;</t>
  </si>
  <si>
    <t>National Natural Science Foundation of China [31902426]; Shanghai Sailing Program [19YF1419800]; Special Project for Exploitation and Utilization of Antarctic Biological Resources of the Ministry of Agriculture and Rural Affairs [D-8002-18-0097]</t>
  </si>
  <si>
    <t>National Natural Science Foundation of China(National Natural Science Foundation of China (NSFC)); Shanghai Sailing Program; Special Project for Exploitation and Utilization of Antarctic Biological Resources of the Ministry of Agriculture and Rural Affairs</t>
  </si>
  <si>
    <t>AcknowledgementsThis study was supported by the National Natural Science Foundation of China (No. 31902426), the Shanghai Sailing Program (No. 19YF1419800), and the Special Project for Exploitation and Utilization of Antarctic Biological Resources of the Ministry of Agriculture and Rural Affairs (No. D-8002-18-0097).</t>
  </si>
  <si>
    <t>OCEAN UNIV CHINA</t>
  </si>
  <si>
    <t>QINGDAO</t>
  </si>
  <si>
    <t>5 YUSHAN RD, QINGDAO, 266003, PEOPLES R CHINA</t>
  </si>
  <si>
    <t>1672-5182</t>
  </si>
  <si>
    <t>1993-5021</t>
  </si>
  <si>
    <t>J OCEAN U CHINA</t>
  </si>
  <si>
    <t>J. OCEAN UNIV.</t>
  </si>
  <si>
    <t>10.1007/s11802-023-5301-6</t>
  </si>
  <si>
    <t>9V4VW</t>
  </si>
  <si>
    <t>WOS:000948393000024</t>
  </si>
  <si>
    <t>Rao, J; Garfinkel, CI; Ren, RC; Wu, TW; Lu, YX</t>
  </si>
  <si>
    <t>Rao, Jian; Garfinkel, Chaim I.; Ren, Rongcai; Wu, Tongwen; Lu, Yixiong</t>
  </si>
  <si>
    <t>Southern Hemisphere Response to the Quasi-Biennial Oscillation in the CMIP5/6 Models</t>
  </si>
  <si>
    <t>KEYWORDS; Stratosphere -troposphere coupling; Southern Hemisphere; Quasibiennial oscillation</t>
  </si>
  <si>
    <t>WINTER; QBO; NORTHERN; STRATOSPHERE; IMPACT; CIRCULATION; MODULATION; WAVES; VARIABILITY; TROPOSPHERE</t>
  </si>
  <si>
    <t>Using 25 quasi-biennial oscillation (QBO)-resolving models from phases 5 and 6 of the Coupled Model Intercomparison Project (CMIP5/6), this study systematically explores the Southern Hemisphere (SH) extratropical response to the QBO. The observed maximum stratospheric polar vortex-weakening response to the 20-hPa easterly QBO appears in the austral spring, which is reproduced qualitatively by seven models. The Eliassen-Palm (EP) flux convergence associated with enhanced upward propagation of waves from the SH midlatitude troposphere is also reason-ably simulated following easterly QBO in these seven models. The Brewer-Dobson (BD) circulation response, especially its deep branch, has a large bias among models. The anomalous upwelling of the deep branch of the BD circulation and the cold anomalies are confined to midlatitudes above 20 hPa in reanalyses, while this deep branch is simulated to expand to the Antarctic stratosphere with unrealistically cold anomalies for some models. Models with a decent stratospheric path-way tend to simulate the observed negative Southern Annular Mode (SAM)-like response in the troposphere. Further, the largest enhanced convection center is observed over the tropical Indo-Pacific Ocean and simulated by 12 models, most of which also simulate a more reasonable height anomaly pattern in the troposphere. The near-surface response to the QBO also resembles the SAM pattern with warm anomalies over eastern Antarctic, which are simulated by only five models. Seven models simulate the observed wet signals in the midlatitude southern Indo-Pacific Ocean, where an anomalous low develops. Overall, models with a better reproduction of the SH stratospheric polar vortex response exhibit a more reason-able near-surface response, though for all models the response is too weak.</t>
  </si>
  <si>
    <t>[Rao, Jian; Ren, Rongcai; Wu, Tongwen] Nanjing Univ Informat Sci &amp; Technol, Minist Educ, Key Lab Meteorol Disaster, Collaborat Innovat Ctr Forecast &amp; Evaluat Meteorol, Nanjing, Peoples R China; [Garfinkel, Chaim I.] Hebrew Univ Jerusalem, Fredy &amp; Nadine Herrmann Inst Earth Sci, Jerusalem, Israel; [Ren, Rongcai] Chinese Acad Sci, Inst Atmospher Phys, State Key Lab Numer Modeling Atmospher Sci &amp; Geoph, Beijing, Peoples R China; [Wu, Tongwen; Lu, Yixiong] China Meteorol Adm, Ctr Earth Syst Modeling &amp; Predict, Beijing, Peoples R China</t>
  </si>
  <si>
    <t>Nanjing University of Information Science &amp; Technology; Hebrew University of Jerusalem; Chinese Academy of Sciences; Institute of Atmospheric Physics, CAS; China Meteorological Administration</t>
  </si>
  <si>
    <t>Rao, J (corresponding author), Nanjing Univ Informat Sci &amp; Technol, Minist Educ, Key Lab Meteorol Disaster, Collaborat Innovat Ctr Forecast &amp; Evaluat Meteorol, Nanjing, Peoples R China.</t>
  </si>
  <si>
    <t>raojian@nuist.edu.cn</t>
  </si>
  <si>
    <t>Rao, Jian/O-3392-2019; garfinkel, chaim I/AAA-1134-2020</t>
  </si>
  <si>
    <t>Rao, Jian/0000-0001-5030-0288; garfinkel, chaim I/0000-0001-7258-666X; Lu, Yixiong/0000-0001-9823-9367</t>
  </si>
  <si>
    <t>Na-tional Natural Science Foundation of China [42175069]; Qing Lan Project of Jiangsu Province; ISF-NSFC joint research program [3259/19]</t>
  </si>
  <si>
    <t>Na-tional Natural Science Foundation of China(National Natural Science Foundation of China (NSFC)); Qing Lan Project of Jiangsu Province; ISF-NSFC joint research program</t>
  </si>
  <si>
    <t>This work was sponsored by the National Natural Science Foundation of China (Grant 42175069) , the Qing Lan Project of Jiangsu Province, and the ISF-NSFC joint research program (3259/19) . The authors thank the WCRP and ESGF for their freely providing the CMIP5/6 datasets. We also acknowledge ECMWF and JMA for providing three modern reanalyses (ERAI, ERA5, and JRA55) .</t>
  </si>
  <si>
    <t>10.1175/JCLI-D-22-0675.1</t>
  </si>
  <si>
    <t>A3PF5</t>
  </si>
  <si>
    <t>WOS:000954278000001</t>
  </si>
  <si>
    <t>D'Agostino, VC; Heredia, FM; Crespo, EA; Fioramonti, A; Fioramonti, P; Vélez, A; Degrati, M</t>
  </si>
  <si>
    <t>D'Agostino, Valeria C.; Heredia, Federico M.; Crespo, Enrique A.; Fioramonti, Alexis; Fioramonti, Pablo; Velez, Angel; Degrati, Mariana</t>
  </si>
  <si>
    <t>Long-term monitoring of southern right whale feeding behavior indicates that Peninsula Valdes is more than a calving ground</t>
  </si>
  <si>
    <t>Right whale; Feeding ecology; Copepods; Habitat use; Patagonia</t>
  </si>
  <si>
    <t>ATLANTIC RIGHT WHALE; EUBALAENA-AUSTRALIS; CALANUS-AUSTRALIS; ZOOPLANKTON BIOMASS; FORAGING ECOLOGY; PATAGONIAN SHELF; ANTARCTIC KRILL; ARGENTINA; COPEPOD; GLACIALIS</t>
  </si>
  <si>
    <t>Peninsula Valdes, Patagonia, Argentina, is recognized as a calving ground for the southern right whale (SRW, Eubalaena australis) population from the southwestern Atlantic Ocean. Previous studies have reported that SRWs feed during their calving season, but little is known about their foraging ecology in this area. Here, we collected photo data of SRWs at Peninsula Valdes from 2007 to 2019 to monitor and investigate the SRW feeding frequency and to know whether calves also feed on zooplankton (i.e., the diet composed of both milk and solid food). In addition, we systematically reviewed studies on the composition and abundance of zooplankton to assess the available prey for SRWs in the area. Finally, we examined satellite-derived chlorophyll-a (chl-a) to study if the chl-a variability shows any relationship with SRW feeding. Observations show that at Peninsula Valdes, SRWs feed at and below the surface, primarily on calanoid copepods. We also found evidence that SRWs feed near-bottom. In addition, we report calves feeding at surface including the first-ever photographs documentation. Whales feed mainly during austral spring, with a higher mean frequency in November. A time lag of 1 month was found between highest chl-a levels and the highest number of feeding events observed. Over the 12-year study period, we observed that whales were foraging yearly, which indicates that feeding in this calving area is more frequent than prior studies suggested. These data reveal the importance of the waters off Peninsula Valdes as a multi-use habitat for SRW.</t>
  </si>
  <si>
    <t>[D'Agostino, Valeria C.; Heredia, Federico M.; Crespo, Enrique A.; Degrati, Mariana] Consejo Nacl Invest Cient &amp; Tecn, CCT CENPAT, Ctr Estudio Sistemas Marinos CESIMAR, Blvd Brown 2915,U9120ACV, Puerto Madryn, Chubut, Argentina; [Fioramonti, Alexis; Fioramonti, Pablo; Velez, Angel] Proyecto Patagonia Documental, Ave Ballenas 1 Er Bajada,U9121XAQ, Puerto Piramides, Chubut, Argentina; [Degrati, Mariana] Univ Nacl Patagonia San Juan Bosco, Blvd Brown 3150,U9120ACV, Puerto Madryn, Chubut, Argentina</t>
  </si>
  <si>
    <t>Consejo Nacional de Investigaciones Cientificas y Tecnicas (CONICET); Centro Nacional Patagonico (CENPAT); Universidad Nacional de la Patagonia San Juan Bosco</t>
  </si>
  <si>
    <t>D'Agostino, VC (corresponding author), Consejo Nacl Invest Cient &amp; Tecn, CCT CENPAT, Ctr Estudio Sistemas Marinos CESIMAR, Blvd Brown 2915,U9120ACV, Puerto Madryn, Chubut, Argentina.</t>
  </si>
  <si>
    <t>dagostino@cenpat-conicet.gob.ar</t>
  </si>
  <si>
    <t>D'Agostino, Valeria C./0000-0002-2931-5618</t>
  </si>
  <si>
    <t>Agencia Nacional de Promocion Cientifica y Tecnologica (MINCYT, Argentina) [PICT-2018-02550]; PADI Foundation</t>
  </si>
  <si>
    <t>Agencia Nacional de Promocion Cientifica y Tecnologica (MINCYT, Argentina); PADI Foundation</t>
  </si>
  <si>
    <t>This work was supported by PICT-2018-02550 grant from the Agencia Nacional de Promocion Cientifica y Tecnologica (MINCYT, Argentina) and the PADI Foundation to Dr. V. C. D'Agostino.</t>
  </si>
  <si>
    <t>10.1007/s00227-023-04181-9</t>
  </si>
  <si>
    <t>A0ID6</t>
  </si>
  <si>
    <t>WOS:000952042300001</t>
  </si>
  <si>
    <t>Yang, QK; Wu, XQ; Qing, C; Luo, T; Li, XB; Cui, SC; Wu, PF; Qian, XM; Wang, ZY; Hu, XD; Guo, YM; Yan, C; Qiao, Z</t>
  </si>
  <si>
    <t>Yang, Qike; Wu, Xiaoqing; Qing, Chun; Luo, Tao; Li, Xuebin; Cui, Shengcheng; Wu, Pengfei; Qian, Xianmei; Wang, Zhiyuan; Hu, Xiaodan; Guo, Yiming; Yan, Chong; Qiao, Zhi</t>
  </si>
  <si>
    <t>Discovery of Calm Astronomical Sites Over the Antarctic Continent</t>
  </si>
  <si>
    <t>ASTRONOMICAL JOURNAL</t>
  </si>
  <si>
    <t>POLAR WEATHER RESEARCH; ROSS ICE SHELF; OPTICAL TURBULENCE SIMULATIONS; ATMOSPHERIC BOUNDARY-LAYER; DOME-C; SEEING MEASUREMENTS; SURFACE-LAYER; SOUTH-POLE; MODEL; WRF</t>
  </si>
  <si>
    <t>A calm astronomical site means a site where astronomical observation would be less likely to be interfered with by optical turbulence. Previous turbulence measurements at a few sites in Antarctica have demonstrated very calm atmospheric conditions here. So far, to realize a wide range of measurements of the turbulence conditions above the Antarctic plateau will be a great hardship. Thus, in this study, the numerical weather model outputs provided by the Antarctic Mesoscale Prediction System (AMPS) have been used. Based on the AMPS outputs, the boundary layer height and the atmospheric Richardson number were obtained, from which the turbulence conditions above the Antarctic plateau have been evaluated. Finally, a statistical conclusion evaluating the total atmospheric turbulence above the whole Antarctic continent for an entire year is first reported. We find some sites (or regions) have a calmer atmosphere than Dome A; this is of great instructional significance for planning the next generation of ground-based optical astronomical telescopes.</t>
  </si>
  <si>
    <t>[Yang, Qike; Wu, Xiaoqing; Qing, Chun; Luo, Tao; Li, Xuebin; Cui, Shengcheng; Wu, Pengfei; Qian, Xianmei; Wang, Zhiyuan; Hu, Xiaodan; Guo, Yiming; Yan, Chong; Qiao, Zhi] Chinese Acad Sci, Anhui Inst Opt &amp; Fine Mech, HFIPS, Key Lab Atmospher Opt, Hefei 230031, Peoples R China; [Yang, Qike; Wu, Xiaoqing; Qing, Chun; Luo, Tao; Li, Xuebin; Cui, Shengcheng; Wu, Pengfei; Qian, Xianmei; Hu, Xiaodan; Guo, Yiming; Qiao, Zhi] Univ Sci &amp; Technol China, Sci Isl Branch, Grad Sch, Hefei 230026, Peoples R China; [Yang, Qike; Wu, Xiaoqing; Qing, Chun; Luo, Tao; Li, Xuebin; Cui, Shengcheng; Wu, Pengfei; Qian, Xianmei; Wang, Zhiyuan; Hu, Xiaodan; Guo, Yiming; Yan, Chong; Qiao, Zhi] Adv Laser Technol Lab Anhui Prov, Hefei 230037, Peoples R China; [Wang, Zhiyuan; Yan, Chong] Anhui Univ, Inst Phys Sci &amp; Informat Technol, Hefei 230601, Peoples R China</t>
  </si>
  <si>
    <t>Chinese Academy of Sciences; Hefei Institutes of Physical Science, CAS; Anhui Institute of Optics &amp; Fine Mechanics (AIOFM), CAS; Chinese Academy of Sciences; University of Science &amp; Technology of China, CAS; Anhui University</t>
  </si>
  <si>
    <t>Yang, QK (corresponding author), Chinese Acad Sci, Anhui Inst Opt &amp; Fine Mech, HFIPS, Key Lab Atmospher Opt, Hefei 230031, Peoples R China.;Yang, QK (corresponding author), Univ Sci &amp; Technol China, Sci Isl Branch, Grad Sch, Hefei 230026, Peoples R China.;Yang, QK (corresponding author), Adv Laser Technol Lab Anhui Prov, Hefei 230037, Peoples R China.</t>
  </si>
  <si>
    <t>xqwu@aiofm.ac.cn; chunqing@aiofm.ac.cn</t>
  </si>
  <si>
    <t>Cui, Shengcheng/JFB-5409-2023; Yang, Qike/ISB-4960-2023</t>
  </si>
  <si>
    <t>Yang, Qike/0000-0001-9440-0037; qing, chun/0000-0003-2456-1366; Cui, Shengcheng/0000-0002-7949-6170</t>
  </si>
  <si>
    <t>National Natural Science Foundation of China [91752103, 41576185]; Foundation of Key Laboratory of Science and Technology Innovation of Chinese Academy of Sciences [CXJJ-21S028]; Foundation of Advanced Laser Technology Laboratory of Anhui Province [AHL2021QN02]</t>
  </si>
  <si>
    <t>National Natural Science Foundation of China(National Natural Science Foundation of China (NSFC)); Foundation of Key Laboratory of Science and Technology Innovation of Chinese Academy of Sciences; Foundation of Advanced Laser Technology Laboratory of Anhui Province</t>
  </si>
  <si>
    <t>This work was supported by the National Natural Science Foundation of China (grant Nos. 91752103, 41576185), Foundation of Key Laboratory of Science and Technology Innovation of Chinese Academy of Sciences (grant No. CXJJ-21S028) and the Foundation of Advanced Laser Technology Laboratory of Anhui Province (grant No. AHL2021QN02). The authors also appreciate Kevin Manning (a member of the AMPS support team) for the technical support in downloading the AMPS outputs.</t>
  </si>
  <si>
    <t>0004-6256</t>
  </si>
  <si>
    <t>1538-3881</t>
  </si>
  <si>
    <t>ASTRON J</t>
  </si>
  <si>
    <t>Astron. J.</t>
  </si>
  <si>
    <t>10.3847/1538-3881/acbb02</t>
  </si>
  <si>
    <t>9V0KL</t>
  </si>
  <si>
    <t>WOS:000948090400001</t>
  </si>
  <si>
    <t>Shiomi, K; Sato, K; Bost, CA; Handrich, Y</t>
  </si>
  <si>
    <t>Shiomi, Kozue; Sato, Katsufumi; Bost, Charles A.; Handrich, Yves</t>
  </si>
  <si>
    <t>Stay the course: maintenance of consistent orientation by commuting penguins both underwater and at the water surface</t>
  </si>
  <si>
    <t>Bearing; Compass; Diving bird; Navigation; Orientation</t>
  </si>
  <si>
    <t>KING PENGUINS; APTENODYTES-PATAGONICUS; DIVING BEHAVIOR; COMPASS; STRATEGIES; ENERGETICS; MIGRATION; SUMMER</t>
  </si>
  <si>
    <t>Many marine vertebrates traverse more than hundreds of kilometres of the ocean. To efficiently achieve such long-distance movements, the ability to maintain orientation in a three-dimensional space is essential; however, it remains unevaluated in most species. In this study, we examined the bearing distributions of penguins undertaking long-distance foraging trips and compared their bearing consistency between underwater and at the water surface, as well as between night and day, to quantify their orientation ability. The subject species, king penguins, Aptenodytes patagonicus, from Possession Island, Crozet archipelago (46 degrees 25 ' S, 51 degrees 45 ' E; January to March 2011), showed high bearing consistency both during dives and at the water surface whilst commuting towards/from their main foraging area, the Antarctic polar front. Their bearing consistency was particularly high during and after shallow dives, irrespective of the time of day. Meanwhile, their bearings tended to vary during and after deep dives, particularly in the middle of the trip, probably owing to underwater foraging movements. However, the overall directions of deep dives during the commuting phases were similar to those of shallow dives and post-dive periods at the water surface. These findings indicate that king penguins employ compass mechanism(s) that are equivalently reliable both underwater and at the water surface, at any time of the day. This orientation ability appears to enable them to achieve long-distance trips under strong temporal constraints. Further studies on the fine-scale bearing distributions of other diving vertebrates are needed to better understand movement strategies in marine environments.</t>
  </si>
  <si>
    <t>[Shiomi, Kozue] Tohoku Univ, Frontier Res Inst Interdisciplinary Sci, 6-3 Aoba,Aoba Ku, Sendai, Miyagi 9808578, Japan; [Shiomi, Kozue] Tohoku Univ, Grad Sch Life Sci, Dept Ecol Dev Adaptabil Life Sci, 6-3 Aoba,Aoba Ku, Sendai, Miyagi 9808578, Japan; [Sato, Katsufumi] Univ Tokyo, Atmosphere &amp; Ocean Res Inst, 5-1-5 Kashiwanoha, Kashiwa, Chiba 2778564, Japan; [Bost, Charles A.] Univ Rochelle, CNRS, UMR 7372, Ctr Etud Biol Chize, 405 Route Prisse Charriere, F-79360 Villiers En Bois, France; [Handrich, Yves] Univ Strasbourg, CNRS, UMR 7178, IPHC, F-67000 Strasbourg, France</t>
  </si>
  <si>
    <t>Tohoku University; Tohoku University; University of Tokyo; Centre National de la Recherche Scientifique (CNRS); CNRS - Institute of Ecology &amp; Environment (INEE); Universites de Strasbourg Etablissements Associes; Universite de Strasbourg; Centre National de la Recherche Scientifique (CNRS); CNRS - National Institute of Nuclear and Particle Physics (IN2P3)</t>
  </si>
  <si>
    <t>Shiomi, K (corresponding author), Tohoku Univ, Frontier Res Inst Interdisciplinary Sci, 6-3 Aoba,Aoba Ku, Sendai, Miyagi 9808578, Japan.;Shiomi, K (corresponding author), Tohoku Univ, Grad Sch Life Sci, Dept Ecol Dev Adaptabil Life Sci, 6-3 Aoba,Aoba Ku, Sendai, Miyagi 9808578, Japan.</t>
  </si>
  <si>
    <t>shiomikozue@gmail.com</t>
  </si>
  <si>
    <t>Shiomi, Kozue/GSO-1403-2022</t>
  </si>
  <si>
    <t>Shiomi, Kozue/0000-0002-2614-9538</t>
  </si>
  <si>
    <t>Institut Polaire Francais Paul-Emile Victor (IPEV, programme Oiseaux Plongeurs) [394]; Terres Australes et Antarctiques Francaises; Bio-Logging Science at the University of Tokyo (UTBLS); JSPS KAKENHI [JP16H06541, 21H02557]; Frontier Research Institute for Interdisciplinary Sciences, Tohoku University</t>
  </si>
  <si>
    <t>Institut Polaire Francais Paul-Emile Victor (IPEV, programme Oiseaux Plongeurs); Terres Australes et Antarctiques Francaises; Bio-Logging Science at the University of Tokyo (UTBLS); JSPS KAKENHI(Ministry of Education, Culture, Sports, Science and Technology, Japan (MEXT)Japan Society for the Promotion of ScienceGrants-in-Aid for Scientific Research (KAKENHI)); Frontier Research Institute for Interdisciplinary Sciences, Tohoku University</t>
  </si>
  <si>
    <t>Data collection was supported financially and logistically by the Institut Polaire Francais Paul-Emile Victor (IPEV, programme Oiseaux Plongeurs, No. 394, Leadership C.A.B.), the Terres Australes et Antarctiques Francaises, and Bio-Logging Science at the University of Tokyo (UTBLS). Manuscript preparation was financially supported by JSPS KAKENHI (JP16H06541, 21H02557) and Frontier Research Institute for Interdisciplinary Sciences, Tohoku University.</t>
  </si>
  <si>
    <t>10.1007/s00227-023-04186-4</t>
  </si>
  <si>
    <t>9V5QX</t>
  </si>
  <si>
    <t>WOS:000948448000001</t>
  </si>
  <si>
    <t>Paxman, GJG; Lau, HCP; Austermann, J; Holtzman, BK; Havlin, C</t>
  </si>
  <si>
    <t>Paxman, Guy J. G.; Lau, Harriet C. P.; Austermann, Jacqueline; Holtzman, Benjamin K. K.; Havlin, C.</t>
  </si>
  <si>
    <t>Inference of the Timescale-Dependent Apparent Viscosity Structure in the Upper Mantle Beneath Greenland</t>
  </si>
  <si>
    <t>Greenland; anelastic deformation; sea level change; mantle viscosity; lithosphere thickness; glacial isostatic adjustment</t>
  </si>
  <si>
    <t>GLACIAL ISOSTATIC-ADJUSTMENT; RELATIVE SEA-LEVEL; RAPID BEDROCK UPLIFT; ICE-SHEET; ANTARCTIC PENINSULA; LATERAL VARIATIONS; EARTH STRUCTURE; WEST GREENLAND; MODEL; LITHOSPHERE</t>
  </si>
  <si>
    <t>Contemporary crustal uplift and relative sea level (RSL) change in Greenland is caused by the response of the solid Earth to ongoing and historical ice mass change. Glacial isostatic adjustment (GIA) models, which seek to match patterns of land surface displacement and RSL change, typically employ a linear Maxwell viscoelastic model for the Earth's mantle. In Greenland, however, upper mantle viscosities inferred from ice load changes and other geophysical phenomena occurring over a range of timescales vary by up to two orders of magnitude. Here, we use full-spectrum rheological models to examine the influence of transient deformation within the Greenland upper mantle, which may account for these differing viscosity estimates. We use observations of shear wave velocity combined with constitutive rheological models to self-consistently calculate mechanical properties including the apparent upper mantle viscosity and lithosphere thickness across a broad spectrum of frequencies. We find that the contribution of transient behavior is most significant over loading timescales of 10(2)-10(3) years, which corresponds to the timeframe of ice mass loss over recent centuries. Predicted apparent lithosphere thicknesses are also in good agreement with inferences made across seismic, GIA, and flexural timescales. Our results indicate that full-spectrum constitutive models that more fully capture broadband mantle relaxation provide a means of reconciling seemingly contradictory estimates of Greenland's upper mantle viscosity and lithosphere thickness made from observations spanning a range of timescales.</t>
  </si>
  <si>
    <t>[Paxman, Guy J. G.; Austermann, Jacqueline; Holtzman, Benjamin K. K.] Columbia Univ, Lamont Doherty Earth Observ, Palisades, NY 10964 USA; [Paxman, Guy J. G.; Austermann, Jacqueline; Holtzman, Benjamin K. K.] Univ Durham, Dept Geog, Durham, England; [Lau, Harriet C. P.] Brown Univ, Dept Earth Environm &amp; Planetary Sci, Providence, RI USA; [Havlin, C.] Univ Illinois, Sch Informat Sci, Champaign, IL USA</t>
  </si>
  <si>
    <t>Columbia University; Durham University; Brown University; University of Illinois System; University of Illinois Urbana-Champaign</t>
  </si>
  <si>
    <t>Paxman, GJG (corresponding author), Columbia Univ, Lamont Doherty Earth Observ, Palisades, NY 10964 USA.;Paxman, GJG (corresponding author), Univ Durham, Dept Geog, Durham, England.</t>
  </si>
  <si>
    <t>guy.j.paxman@durham.ac.uk</t>
  </si>
  <si>
    <t>Havlin, Christopher/0000-0003-0585-8236; Paxman, Guy/0000-0003-1787-7442; Holtzman, Benjamin/0000-0002-6226-7689; Austermann, Jacqueline/0000-0003-3754-5082</t>
  </si>
  <si>
    <t>U.S. National Science Foundation [ICER 19-28146]; Gordon and Betty Moore Foundation [GBMF9123]; NIH Research Facility Improvement Grant [1G20RR030893-01]; New York State Empire State Development, Division of Science Technology and Innovation (NYSTAR) [C090171]</t>
  </si>
  <si>
    <t>U.S. National Science Foundation(National Science Foundation (NSF)); Gordon and Betty Moore Foundation(Gordon and Betty Moore Foundation); NIH Research Facility Improvement Grant(United States Department of Health &amp; Human ServicesNational Institutes of Health (NIH) - USAOffice of the Administrator (NIH)); New York State Empire State Development, Division of Science Technology and Innovation (NYSTAR)</t>
  </si>
  <si>
    <t>This research was supported by the U.S. National Science Foundation (Navigating the New Arctic; Grant ICER 19-28146) and in part by the Gordon and Betty Moore Foundation through Grant GBMF9123 to the University of Illinois at Urbana-Champaign. The authors acknowledge computing resources from the Columbia University's Shared Research Computing Facility project, which is supported by the NIH Research Facility Improvement Grant 1G20RR030893-01, and associated funds from the New York State Empire State Development, Division of Science Technology and Innovation (NYSTAR) Contract C090171, both awarded 15 April 2010. The authors would like to extend thanks to Andrew Lloyd for providing input on the global adjoint tomography model. The authors would also like to thank Thorsten Becker, Wouter van der Wal, and two anonymous reviewers, whose constructive feedback helped us to improve and clarify several important aspects of the manuscript.</t>
  </si>
  <si>
    <t>e2022AV000751</t>
  </si>
  <si>
    <t>10.1029/2022AV000751</t>
  </si>
  <si>
    <t>9T9IS</t>
  </si>
  <si>
    <t>Green Accepted, gold, Green Published</t>
  </si>
  <si>
    <t>WOS:000947335200001</t>
  </si>
  <si>
    <t>Nimkande, VD; Sivanesan, S; Bafana, A</t>
  </si>
  <si>
    <t>Nimkande, Vijay D. D.; Sivanesan, Saravanadevi; Bafana, Amit</t>
  </si>
  <si>
    <t>Screening, identification, and characterization of lipase-producing halotolerant Bacillus altitudinis Ant19 from Antarctic soil</t>
  </si>
  <si>
    <t>ARCHIVES OF MICROBIOLOGY</t>
  </si>
  <si>
    <t>Bacillus altitudinis; Lipase; Halotolerant; Antarctica; Detergent; Immobilization</t>
  </si>
  <si>
    <t>ORGANIC-SOLVENT-TOLERANT; ALKALINE LIPASE; CANDIDA-ANTARCTICA; PURIFICATION; BACTERIUM; IMMOBILIZATION; OPTIMIZATION; EXPRESSION; ESTERASE</t>
  </si>
  <si>
    <t>Potent lipase-producing and halotolerant Bacillus altitudinis Ant19 strain was screened and isolated from Antarctic soil. The isolate showed broad-range lipase activity against different lipid substrates. Presence of lipase activity was confirmed by PCR amplification and sequencing of the lipase gene from Ant19. The study attempted to establish the use of crude extracellular lipase extract as cheap alternative to purified enzyme by characterizing the crude lipase activity and testing it in certain practical applications. Crude lipase extract from Ant19 showed high stability at 5-28 celcius (&gt; 97%), while lipase activity was noted in a wide temperature range of 20-60 celcius (&gt; 69%), with optimum activity at 40 celcius (117.6%). The optimum lipolytic activity was noted at pH 8 with good activity and stability in alkaline conditions (pH 7-10). Moreover, the lipase activity was substantially stable in various solvents, commercial detergents, and surfactants. It retained 97.4% activity in 1% solution of commercial Nirma detergent. Besides, it was non-regiospecific, and active against substrates having different fatty acid chain lengths with preference for shorter chain length. Further, the crude lipase enhanced the oil stain removal efficiency of commercial detergent from 52 to 77.9%, while 66% oil stain was removed using crude lipase alone. Immobilization process improved the storage stability of crude lipase for 90 days. In our knowledge, it is the first study on characterization of lipase activity from B. altitudinis, which has promising applications in various fields.</t>
  </si>
  <si>
    <t>[Nimkande, Vijay D. D.; Sivanesan, Saravanadevi; Bafana, Amit] CSIR Natl Environm Engn Res Inst CSIR NEERI, Nehru Marg, Nagpur 440020, India; [Nimkande, Vijay D. D.; Bafana, Amit] Acad Sci &amp; Innovat Res AcSIR, Ghaziabad 201002, India</t>
  </si>
  <si>
    <t>Council of Scientific &amp; Industrial Research (CSIR) - India; CSIR - National Environmental Engineering Research Institute (NEERI); Academy of Scientific &amp; Innovative Research (AcSIR)</t>
  </si>
  <si>
    <t>Bafana, A (corresponding author), CSIR Natl Environm Engn Res Inst CSIR NEERI, Nehru Marg, Nagpur 440020, India.;Bafana, A (corresponding author), Acad Sci &amp; Innovat Res AcSIR, Ghaziabad 201002, India.</t>
  </si>
  <si>
    <t>a_bafana@neeri.res.in</t>
  </si>
  <si>
    <t>Bafana, Amit/0000-0002-7104-6220</t>
  </si>
  <si>
    <t>0302-8933</t>
  </si>
  <si>
    <t>1432-072X</t>
  </si>
  <si>
    <t>ARCH MICROBIOL</t>
  </si>
  <si>
    <t>Arch. Microbiol.</t>
  </si>
  <si>
    <t>10.1007/s00203-023-03453-8</t>
  </si>
  <si>
    <t>9V4FG</t>
  </si>
  <si>
    <t>WOS:000948349700001</t>
  </si>
  <si>
    <t>Hosseini, H; Esmaeili, N; Sepehr, A; Zare, M; Rombenso, A; Badierah, R; Redwan, EM</t>
  </si>
  <si>
    <t>Hosseini, Hossein; Esmaeili, Noah; Sepehr, Aref; Zare, Mahyar; Rombenso, Artur; Badierah, Raied; Redwan, Elrashdy M.</t>
  </si>
  <si>
    <t>Does supplementing laying hen diets with a herb mixture mitigate the negative impacts of excessive inclusion of extruded flaxseed?</t>
  </si>
  <si>
    <t>ANIMAL BIOSCIENCE</t>
  </si>
  <si>
    <t>Cholesterol Level; Egg Enrichment; Flaxseed; Herbal Medicine; Lipid-lowering Effect</t>
  </si>
  <si>
    <t>FATTY-ACID-COMPOSITION; ONCORHYNCHUS-MYKISS WALBAUM; TURMERIC CURCUMA-LONGA; ALLIUM-SATIVUM POWDER; BLOOD PARAMETERS; EGG-PRODUCTION; HEAT-STRESS; CHOLESTEROL; PERFORMANCE; GINGER</t>
  </si>
  <si>
    <t>Objective: This study investigated the effects of extruded flaxseed with and without herbs mixture on egg performance, yolk fatty acids (FAs), lipid components, blood biochemistry, serological enzymes, antioxidants, and immune system of Hy-Line W-36 hens for nine weeks. Methods: Two hundred forty laying hens were randomly distributed to eight treatments, resulting in six replicates with five hens. Graded levels of dietary extruded flaxseed (0, 90, 180, and 270 g/kg) with and without herbs mixture (24 g/kg: garlic, ginger, green tea, and turmeric 6 g/kg each) were designed as treatments. Results: The two-way analysis of variance indicated that hens fed herbs mixture had a higher value of egg production, yolk high-density lipoprotein (HDL), superoxide dismutase, glutathione peroxidase, and white blood cell and lower contents of yolk cholesterol, glucose, and blood low-density lipoprotein than those fed diets without herb mixtures (p&lt;0.05). The Flx27 (270 g/kg flaxseed) (153.5 g/kg n-3 FAs) and Flx27+H (270 g/kg flaxseed plus 24 g/kg herbs mixture) (150.5 g/kg n-3 FAs) groups were the most promising treatments in terms of yolk n-3 FAs content. In-teraction effect (herbs-flaxseed) for blood cholesterol, HDL, malondialdehyde, glutaredoxin, alanine transaminase, (ALT), aspartate transaminase (AST), haemoglobin and immune parameters was significant (p&lt;0.05). The results showed layers fed herbs mixture (Flx9+H, Flx18+H, and Flx27+H) had a better value of total antibody, immunoglobulin M, immunoglobulin G, ALT, AST, and blood HDL as compared with representative flaxseed levels without herbs. Conclusion: High inclusion levels of extruded flaxseed (270 g/kg) without herbs to enrich eggs with n-3 appears to impair the antioxidant system, immunohematological parameters, and sero-logical enzymes. Interestingly, the herbs mixture supplementation corrected those effects. Therefore, feeding layers with flaxseed-rich diets (270 g/kg) and herbs mixture can be a promising strategy to enrich eggs with n-3 FAs.</t>
  </si>
  <si>
    <t>[Hosseini, Hossein] Razi Univ, Fac Vet Med, Dept Microbiol Pathobiol &amp; Basic Sci, Kermanshah 6714967346, Iran; [Esmaeili, Noah] Univ Tasmania, Inst Marine Antarctic Studies, Hobart, Tas 7053, Australia; [Sepehr, Aref] Univ Padua, Dept Land Environm Agr &amp; Forestry, Padua, Italy; [Zare, Mahyar] Univ South Bohemia, Inst Aquaculture &amp; Protect Waters, Fac Fisheries &amp; Protect Waters, South Bohemian Res Ctr Aquaculture &amp; Biodivers Hy, Ceske Budejovice 38925, Czech Republic; [Rombenso, Artur] Bribie Isl Res Ctr, CSIRO, Agr &amp; Food Livestock &amp; Aquaculture Program, Bribie Island, Qld 4507, Australia; [Badierah, Raied; Redwan, Elrashdy M.] King Abdulaziz Univ, Fac Sci, Biol Sci Dept, Jeddah 21589, Saudi Arabia; [Badierah, Raied] King Abdulaziz Univ Hosp, King Abdulaziz Univ, Med Lab, Jeddah 21589, Saudi Arabia; [Redwan, Elrashdy M.] City Sci Res &amp; Technol Applicat SRTA City, Genet Engn &amp; Biotechnol Res Inst, Prot Res Dept, New Borg EL Arab, Alexan Dria 21934, Egypt</t>
  </si>
  <si>
    <t>Razi University; University of Tasmania; University of Padua; University of South Bohemia Ceske Budejovice; Commonwealth Scientific &amp; Industrial Research Organisation (CSIRO); King Abdulaziz University; King Abdulaziz University; Egyptian Knowledge Bank (EKB); City of Scientific Research &amp; Technological Applications (SRTA-City)</t>
  </si>
  <si>
    <t>Esmaeili, N (corresponding author), Univ Tasmania, Inst Marine Antarctic Studies, Hobart, Tas 7053, Australia.</t>
  </si>
  <si>
    <t>moha.esmaeili@utas.edu.au</t>
  </si>
  <si>
    <t>Uversky, Vladimir N./F-4515-2011; Esmaeili, Noah/Q-4536-2019; Zare, Mahyar/IWU-8340-2023; Rombenso, Artur/B-6978-2019; Redwan, Elrashdy M./I-1769-2012</t>
  </si>
  <si>
    <t>Uversky, Vladimir N./0000-0002-4037-5857; Esmaeili, Noah/0000-0001-8704-939X; Zare, Mahyar/0000-0002-4063-0563; Rombenso, Artur/0000-0002-4723-0888; Redwan, Elrashdy M./0000-0001-8246-0075; Badierah, Raied/0000-0001-6720-5885</t>
  </si>
  <si>
    <t>Morghineh Markazi Farm</t>
  </si>
  <si>
    <t>The authors wish to thank Morghineh Markazi Farm for financial and other support. Thanks are also extended to all involved people in this project for their valuable practical assistance.</t>
  </si>
  <si>
    <t>ASIAN-AUSTRALASIAN ASSOC ANIMAL PRODUCTION SOC</t>
  </si>
  <si>
    <t>SEOUL</t>
  </si>
  <si>
    <t>ROOM 708 SAMMO SPOREX, 1638-32, SEOWON-DONG, GWANAK-GU, SEOUL 151-730, SOUTH KOREA</t>
  </si>
  <si>
    <t>2765-0189</t>
  </si>
  <si>
    <t>2765-0235</t>
  </si>
  <si>
    <t>ANIM BIOSCI</t>
  </si>
  <si>
    <t>Anim. Biosci.</t>
  </si>
  <si>
    <t>10.5713/ab.22.0183</t>
  </si>
  <si>
    <t>Agriculture, Dairy &amp; Animal Science</t>
  </si>
  <si>
    <t>9N1JN</t>
  </si>
  <si>
    <t>WOS:000942674900010</t>
  </si>
  <si>
    <t>Udyawer, V; Huveneers, C; Jaine, F; Babcock, RC; Brodie, S; Buscot, MJ; Campbell, HA; Harcourt, RG; Hoenner, X; Lédée, EJI; Simpfendorfer, CA; Taylor, MD; Armstrong, A; Barnett, A; Brown, C; Bruce, B; Butcher, PA; Cadiou, G; Couturier, LIE; Currey-Randall, L; Drew, M; Dudgeon, CL; Dwyer, RG; Espinoza, M; Ferreira, LC; Fowler, A; Harasti, D; Harborne, AR; Knott, NA; Lee, KT; Lloyd, M; Lowry, M; Marzullo, T; Matley, J; McAllister, JD; McAuley, R; McGregor, F; Meekan, M; Mills, K; Norman, BM; Oh, B; Payne, NL; Peddemors, V; Piddocke, T; Pillans, RD; Reina, RD; Rogers, P; Semmens, JM; Smoothey, A; Speed, CW; van der Meulen, D; Heupel, MR</t>
  </si>
  <si>
    <t>Udyawer, Vinay; Huveneers, Charlie; Jaine, Fabrice; Babcock, Russell C.; Brodie, Stephanie; Buscot, Marie-Jeanne; Campbell, Hamish A.; Harcourt, Robert G.; Hoenner, Xavier; Ledee, Elodie J. I.; Simpfendorfer, Colin A.; Taylor, Matthew D.; Armstrong, Asia; Barnett, Adam; Brown, Culum; Bruce, Barry; Butcher, Paul A.; Cadiou, Gwenael; Couturier, Lydie I. E.; Currey-Randall, Leanne; Drew, Michael; Dudgeon, Christine L.; Dwyer, Ross G.; Espinoza, Mario; Ferreira, Luciana C.; Fowler, Anthony; Harasti, David; Harborne, Alastair R.; Knott, Nathan A.; Lee, Kate; Lloyd, Matt; Lowry, Michael; Marzullo, Teagan; Matley, Jordan; McAllister, Jaime D.; McAuley, Rory; McGregor, Frazer; Meekan, Mark; Mills, Kade; Norman, Bradley M.; Oh, Beverly; Payne, Nicholas L.; Peddemors, Vic; Piddocke, Toby; Pillans, Richard D.; Reina, Richard D.; Rogers, Paul; Semmens, Jayson M.; Smoothey, Amy; Speed, Conrad W.; van der Meulen, Dylan; Heupel, Michelle R.</t>
  </si>
  <si>
    <t>Scaling of Activity Space in Marine Organisms across Latitudinal Gradients</t>
  </si>
  <si>
    <t>AMERICAN NATURALIST</t>
  </si>
  <si>
    <t>acoustic telemetry; Brownian bridge kernel utilization distribution (KUD); continental network; Integrated Marine Observing System (IMOS); metabolic theory; spatial ecology</t>
  </si>
  <si>
    <t>HOME-RANGE; HABITAT USE; BODY-SIZE; PATCH USE; EVOLUTION; PREDATOR; MOVEMENT; ECOLOGY; WEIGHT; ENERGY</t>
  </si>
  <si>
    <t>Unifying models have shown that the amount of space used by animals (e.g., activity space, home range) scales allometrically with body mass for terrestrial taxa; however, such relationships are far less clear for marine species. We compiled movement data from 1,596 individuals across 79 taxa collected using a continental passive acoustic telemetry network of acoustic receivers to assess allometric scaling of activity space. We found that ectothermic marine taxa do exhibit allometric scaling for activity space, with an overall scaling exponent of 0.64. However, body mass alone explained only 35% of the variation, with the remaining variation best explained by trophic position for teleosts and latitude for sharks, rays, and marine reptiles. Taxon-specific allometric relationships highlighted weaker scaling exponents among teleost fish species (0.07) than sharks (0.96), rays (0.55), and marine reptiles (0.57). The allometric scaling relationship and scaling exponents for the marine taxonomic groups examined were lower than those reported from studies that had collated both marine and terrestrial species data derived using various tracking methods. We propose that these disparities arise because previous work integrated summarized data across many studies that used differing methods for collecting and quantifying activity space, introducing considerable uncertainty into slope estimates. Our findings highlight the benefit of using large-scale, coordinated animal biotelemetry networks to address cross-taxa evolutionary and ecological questions.</t>
  </si>
  <si>
    <t>[Udyawer, Vinay] Australian Inst Marine Sci, Arafura Timor Res Facil, Darwin, NT 0810, Australia; [Huveneers, Charlie; Lloyd, Matt] Flinders Univ S Australia, Coll Sci &amp; Engn, Adelaide, SA 5042, Australia; [Jaine, Fabrice; Harcourt, Robert G.] Sydney Inst Marine Sci, Integrated Marine Observing Syst (IMOS) Anim Trac, Mosman, NSW 2088, Australia; [Jaine, Fabrice; Harcourt, Robert G.; Brown, Culum; Lee, Kate] Macquarie Univ, Sch Nat Sci, N Ryde, NSW 2109, Australia; [Babcock, Russell C.; Pillans, Richard D.] Queensland Biosci Precinct, CSIRO Oceans &amp; Atmosphere, St Lucia, Qld 4011, Australia; [Brodie, Stephanie] Univ Calif Santa Cruz, Inst Marine Sci, Santa Cruz, CA 95064 USA; [Buscot, Marie-Jeanne] Univ Tasmania, Menzies Inst Med Res, Hobart, Tas 7001, Australia; [Campbell, Hamish A.] Charles Darwin Univ, Res Inst Environm &amp; Livelihoods, Darwin, NT 0909, Australia; [Hoenner, Xavier; Bruce, Barry] CSIRO Oceans &amp; Atmosphere, 3-4 Castray Esplanade, Hobart, Tas 7000, Australia; [Ledee, Elodie J. I.] Carleton Univ, Fish Ecol &amp; Conservat Physiol Lab, Ottawa, ON K1S 5B6, Canada; [Ledee, Elodie J. I.; Simpfendorfer, Colin A.; Heupel, Michelle R.] James Cook Univ, Coll Sci &amp; Engn, Townsville, Qld 4811, Australia; [Taylor, Matthew D.; Cadiou, Gwenael; Harasti, David; Lowry, Michael] New South Wales Dept Primary Ind, Port Stephens Fisheries Inst, Taylors Beach, NSW 2315, Australia; [Armstrong, Asia] Univ Queensland, Sch Biomed Sci, Project Manta, St Lucia, Qld 4072, Australia; [Barnett, Adam] James Cook Univ, Coll Sci &amp; Engn, Marine Data Technol Hub, Townsville, Qld 4811, Australia; [Butcher, Paul A.] New South Wales Fisheries, Dept Primary Ind, Coffs Harbour, NSW 2450, Australia; [Cadiou, Gwenael] Univ Technol, Sch Life Sci, Fish Ecol Lab, Sydney, NSW 2007, Australia; [Couturier, Lydie I. E.] Univ Brest, CNRS, IRD, Ifremer,UMR 6539,LEMAR, Plouzane, France; [Currey-Randall, Leanne; Heupel, Michelle R.] Australian Inst Marine Sci, Townsville, Qld 4810, Australia; [Drew, Michael] Flinders Univ S Australia, Coll Sci &amp; Engn, Adelaide, SA 5042, Australia; [Drew, Michael; Fowler, Anthony; Rogers, Paul] South Australian Res &amp; Dev Inst, West Beach, SA 5024, Australia; [Dudgeon, Christine L.] Univ Queensland, Sch Biomed Sci, St Lucia, Qld 4072, Australia; [Dudgeon, Christine L.] Univ Sunshine Coast, Sch Sci Technol &amp; Engn, Petrie, Qld 4502, Australia; [Dwyer, Ross G.] Univ Sunshine Coast, Sch Sci &amp; Engn, Maroochydore, Qld 4558, Australia; [Espinoza, Mario] Univ Costa Rica, Ctr Invest Ciencias Mar &amp; Limnol, San Jose 206011501, Costa Rica; [Espinoza, Mario] Univ Costa Rica, Escuela Biol, San Jose 206011501, Costa Rica; [Ferreira, Luciana C.; Meekan, Mark; Speed, Conrad W.] Indian Ocean Marine Res Ctr, Australian Inst Marine Sci, Crawley, WA 6009, Australia; [Harborne, Alastair R.] Florida Int Univ, Inst Environm, North Miami, FL 33181 USA; [Harborne, Alastair R.] Florida Int Univ, Dept Biol Sci, North Miami, FL 33181 USA; [Knott, Nathan A.] New South Wales Dept Primary Ind, Marine Ecosyst Unit, Huskisson, NSW 2540, Australia; [Lee, Kate] Sydney Inst Marine Sci, Mosman, NSW 2088, Australia; [Marzullo, Teagan; Payne, Nicholas L.; van der Meulen, Dylan] Univ New South Wales, Sch Biol Earth &amp; Environm Sci, Sydney, NSW 2052, Australia; [Matley, Jordan] Univ Windsor, Great Lakes Inst Environm Res, Windsor, ON N9B 9P4, Canada; [McAllister, Jaime D.] Univ Tasmania, Inst Marine &amp; Antarctic Studies, Fisheries &amp; Aquaculture Ctr, Hobart, Tas 7001, Australia; [McAuley, Rory] Univ Western Australia, Sch Biol Sci, Crawley, WA 6009, Australia; [McGregor, Frazer] Murdoch Univ, Field Stn, Coral Bay, WA 6701, Australia; [Mills, Kade] Victorian Natl Pk Assoc, Carlton, Vic 3053, Australia; [Norman, Bradley M.] Murdoch Univ, Harry Butler Inst, Ctr Sustainable Aquat Ecosyst, Murdoch, WA 6150, Australia; [Norman, Bradley M.] ECOCEAN, Serpentine, WA 6125, Australia; [Oh, Beverly] Univ Western Australia, Sch Biol Sci, Crawley, WA 6009, Australia; [Oh, Beverly] Univ Western Australia, Oceans Inst, Crawley, WA 6009, Australia; [Payne, Nicholas L.] Trinity Coll Dublin, Sch Nat Sci, Dublin, Ireland; [Peddemors, Vic; Smoothey, Amy] New South Wales Dept Primary Ind, Fisheries, Mosman, NSW 2088, Australia; [Piddocke, Toby] Southern Cross Univ, Natl Marine Sci Ctr, Coffs Harbour, NSW 2450, Australia; [Reina, Richard D.] Monash Univ, Sch Biol Sci, Clayton, Vic 3800, Australia; [Semmens, Jayson M.] Univ Tasmania, Inst Marine &amp; Antarctic Studies, Fisheries &amp; Aquaculture Ctr, Hobart, Tas 7001, Australia; [Heupel, Michelle R.] New South Wales Dept Primary Ind, Batemans Bay Fisheries Ctr, Batemans Bay, NSW 2516, Australia; [Heupel, Michelle R.] Univ Tasmania, Integrated Marine Observing Syst, Hobart, Tas 7001, Australia</t>
  </si>
  <si>
    <t>Australian Institute of Marine Science; Flinders University South Australia; Sydney Institute of Marine Science; Macquarie University; Commonwealth Scientific &amp; Industrial Research Organisation (CSIRO); University of California System; University of California Santa Cruz; University of Tasmania; Menzies Institute for Medical Research; Charles Darwin University; Commonwealth Scientific &amp; Industrial Research Organisation (CSIRO); Carleton University; James Cook University; NSW Department of Primary Industries; University of Queensland; James Cook University; NSW Department of Primary Industries; University of Technology Sydney; Universite de Bretagne Occidentale; Centre National de la Recherche Scientifique (CNRS); Ifremer; Institut de Recherche pour le Developpement (IRD); CNRS - Institute of Ecology &amp; Environment (INEE); Australian Institute of Marine Science; Flinders University South Australia; South Australian Research &amp; Development Institute (SARDI); University of Queensland; University of the Sunshine Coast; University of the Sunshine Coast; Universidad Costa Rica; Universidad Costa Rica; University of Western Australia; Australian Institute of Marine Science; State University System of Florida; Florida International University; State University System of Florida; Florida International University; NSW Department of Primary Industries; Sydney Institute of Marine Science; University of New South Wales Sydney; University of Windsor; University of Tasmania; University of Western Australia; Murdoch University; Murdoch University; University of Western Australia; University of Western Australia; Trinity College Dublin; NSW Department of Primary Industries; Southern Cross University; Monash University; University of Tasmania; NSW Department of Primary Industries; University of Tasmania</t>
  </si>
  <si>
    <t>Udyawer, V (corresponding author), Australian Inst Marine Sci, Arafura Timor Res Facil, Darwin, NT 0810, Australia.</t>
  </si>
  <si>
    <t>v.udyawer@aims.gov.au</t>
  </si>
  <si>
    <t>Couturier, Lydie/J-9695-2014; Payne, Nicholas L/E-7811-2013; Pillans, Richard D/F-2458-2012; Peddemors, Victor M/Q-4281-2016; Simpfendorfer, Colin A/G-9681-2011; Babcock, Russell C/A-3794-2012; Brown, Culum/S-9826-2017; Harborne, Alastair R/F-6155-2013; Dudgeon, Christine L/A-1633-2017; Knott, Nathan/AAA-8888-2019; Dwyer, Ross/IQR-5509-2023; Lédée, Elodie/X-1537-2019; Jaine, Fabrice/D-1622-2016; van der Meulen, Dylan/A-8449-2017</t>
  </si>
  <si>
    <t>Couturier, Lydie/0000-0002-3885-3397; Brown, Culum/0000-0002-0210-1820; Knott, Nathan/0000-0002-7873-0412; Lédée, Elodie/0000-0001-8495-7827; Campbell, Hamish/0000-0003-1428-1686; Cerqueira Ferreira, Luciana/0000-0001-6755-2799; Payne, Nicholas/0000-0002-5274-471X; Harcourt, Robert/0000-0003-4666-2934; Dwyer, Ross/0000-0003-1136-5489; Matley, Jordan/0000-0003-4286-597X; Semmens, Jayson/0000-0003-1742-6692; Huveneers, Charlie/0000-0001-8937-1358; Meekan, Mark/0000-0002-3067-9427; Jaine, Fabrice/0000-0002-9304-5034; van der Meulen, Dylan/0000-0002-9777-7670</t>
  </si>
  <si>
    <t>Fisheries Research and Development Corporation (FRDC) [2018-091]; ARC Linkage [LP110200572, LP0883720, LP10010036, LP120100652, LP150100669, LP110100712]; ARC Future Fellowship [FT099172, FT100101004]; ARC DECRA [DE120102459]; NERP Tropical Ecosystems Hub; Fisheries Research and Development Corporation [2010/062, 2012/020]; LabexMER [ANR-10-LABX-19]; PRESTIGE program [PCOFUND-GA-2013-609102]; Sea World Research and Rescue Foundation; Save Our Seas Foundation; Oceania Chondrichthyan Society/Passions of Paradise; ECOCEAN; Winifred Violet Scott Estate; Holsworth Wildlife Research Endowment; Ningaloo Whale Shark Industry; Caring for Coasts; Department of the Environment, Water and Natural Resources; New SouthWales Department of Primary Industries; Sydney Aquarium Conservation; Neiser Foundation; Adelaide and Mount Lofty Ranges Natural Resources Management Board; Nature Foundation of South Australia; Tracking Research for Animal Conservation Society (TRACS); Australian Academy of Science; Thyne Reid Trust Doctoral Fellowship; Earth-watch Australia; Lady Elliot Island Eco Resort; Manta Lodge and Scuba Centre; Redland City Council; SE QLD Catchments; Kaufmann Productions; West Australian Marine Science Institution; Western Australian Department of Biodiversity Conservation and Attractions; Gorgon Barrow Island Net Conservation Benefits Fund; BHP-CSIRO Ningaloo Outlook Marine Research Partnership; Gas Industry Social and Environmental Research Alliance; University of Queensland Research Scholarship; Australian Research Council [LP110200572, LP0883720, LP110100712, LP120100652, LP150100669] Funding Source: Australian Research Council</t>
  </si>
  <si>
    <t>Fisheries Research and Development Corporation (FRDC)(Fisheries R&amp;D Corp); ARC Linkage(Australian Research Council); ARC Future Fellowship(Australian Research Council); ARC DECRA(Australian Research Council); NERP Tropical Ecosystems Hub; Fisheries Research and Development Corporation; LabexMER; PRESTIGE program; Sea World Research and Rescue Foundation; Save Our Seas Foundation; Oceania Chondrichthyan Society/Passions of Paradise; ECOCEAN; Winifred Violet Scott Estate; Holsworth Wildlife Research Endowment; Ningaloo Whale Shark Industry; Caring for Coasts; Department of the Environment, Water and Natural Resources; New SouthWales Department of Primary Industries; Sydney Aquarium Conservation; Neiser Foundation; Adelaide and Mount Lofty Ranges Natural Resources Management Board; Nature Foundation of South Australia; Tracking Research for Animal Conservation Society (TRACS); Australian Academy of Science; Thyne Reid Trust Doctoral Fellowship; Earth-watch Australia; Lady Elliot Island Eco Resort; Manta Lodge and Scuba Centre; Redland City Council; SE QLD Catchments; Kaufmann Productions; West Australian Marine Science Institution; Western Australian Department of Biodiversity Conservation and Attractions; Gorgon Barrow Island Net Conservation Benefits Fund; BHP-CSIRO Ningaloo Outlook Marine Research Partnership; Gas Industry Social and Environmental Research Alliance; University of Queensland Research Scholarship(University of Queensland); Australian Research Council(Australian Research Council)</t>
  </si>
  <si>
    <t>Data were sourced from Australia's Integrated Marine Observing System (IMOS). IMOS is enabled by the National Collaborative Research Infrastructure Strategy (NCRIS). It is operated by a consortium of institutions as an unincorporated joint venture, with the University of Tasmania as lead agent. Quality-checked telemetry data used in this study were accessed via the Australian Ocean Data Network portal (https://portal.aodn.org.au/) and the IMOS Australian Animal Acoustic Telemetry database (https://animaltracking.aodn.org.au). We thank M. Braccini, R. Bradford,M. Davidson, A. Hobday, I. Keay, M. Lansdell, P. McDowall,S. Mountford, J. van den Broek, B. Walker, and J. Welch for their contributions. We thank S. O'Donnell and two anonymous reviewers for their insightful suggestions on the manuscript and C. Mull for advice during the reanalysis. We also acknowledge the contributions of all collaborators and their institutions to the contents of the IMOS Australian Animal Acoustic Telemetry database and data. This work was supported by the Fisheries Research and Development Corporation (FRDC; project 2018-091). Authors acknowledge the following grants and funding organizations that supported this research: ARC Linkage (LP110200572, LP0883720, LP10010036, LP120100652, LP150100669, LP110100712);ARC Future Fellowship (FT099172, FT100101004); ARC DECRA (DE120102459); NERP Tropical Ecosystems Hub projects 6.1 and 6.2; Fisheries Research and Development Corporation (2010/062, 2012/020); LabexMER (ANR-10-LABX-19); PRESTIGE program (PCOFUND-GA-2013-609102); Sea World Research and Rescue Foundation; Save Our Seas Foundation; Oceania Chondrichthyan Society/Passions of Paradise; ECOCEAN; Winifred Violet Scott Estate; Holsworth Wildlife Research Endowment; Ningaloo Whale Shark Industry; Caring for Coasts; Department of the Environment, Water and Natural Resources; New SouthWales Department of Primary Industries; Sydney Aquarium Conservation; Neiser Foundation; Adelaide and Mount Lofty Ranges Natural Resources Management Board; Nature Foundation of South Australia; Tracking Research for Animal Conservation Society (TRACS); Australian Academy of Science; Thyne Reid Trust Doctoral Fellowship; Earth-watch Australia; Lady Elliot Island Eco Resort; Manta Lodge and Scuba Centre; Redland City Council; SE QLD Catchments; Kaufmann Productions; West Australian Marine Science Institution; Western Australian Department of Biodiversity Conservation and Attractions; Gorgon Barrow Island Net Conservation Benefits Fund; BHP-CSIRO Ningaloo Outlook Marine Research Partnership; Gas Industry Social and Environmental Research Alliance; and University of Queensland Research Scholarship.</t>
  </si>
  <si>
    <t>UNIV CHICAGO PRESS</t>
  </si>
  <si>
    <t>CHICAGO</t>
  </si>
  <si>
    <t>1427 E 60TH ST, CHICAGO, IL 60637-2954 USA</t>
  </si>
  <si>
    <t>0003-0147</t>
  </si>
  <si>
    <t>1537-5323</t>
  </si>
  <si>
    <t>AM NAT</t>
  </si>
  <si>
    <t>Am. Nat.</t>
  </si>
  <si>
    <t>2023 APR 1</t>
  </si>
  <si>
    <t>10.1086/723405</t>
  </si>
  <si>
    <t>9K1PA</t>
  </si>
  <si>
    <t>Green Submitted, hybrid, Green Accepted</t>
  </si>
  <si>
    <t>WOS:000940644200001</t>
  </si>
  <si>
    <t>Sasaki, S; Irizuki, T; Itaki, T; Tokuda, Y; Ishiwa, T; Suganuma, Y</t>
  </si>
  <si>
    <t>Sasaki, Satoshi; Irizuki, Toshiaki; Itaki, Takuya; Tokuda, Yuki; Ishiwa, Takeshige; Suganuma, Yusuke</t>
  </si>
  <si>
    <t>Relationship between modern deep-sea ostracods and water mass structure in East Antarctica</t>
  </si>
  <si>
    <t>PALEONTOLOGICAL RESEARCH</t>
  </si>
  <si>
    <t>Antarctic Ocean; East Antarctica; Lutzow-Holm Bay; mCDW; Modern ostracod; off Totten Glacier</t>
  </si>
  <si>
    <t>PINE ISLAND GLACIER; SOUTHERN-OCEAN; ROSS SEA; ICE; CRUSTACEA; ATLANTIC; TOTTEN; SECTOR; CARBON; SIZE</t>
  </si>
  <si>
    <t>This study investigated the relationship between the distribution of modern ostracod biofacies and environmental factors in Lutzow-Holm Bay, off Cape Darnley, and off Totten Glacier in East Antarctica. We collected study samples from water depths of 219 to 987 m by the 61st Japanese Antarctic Research Expedition. Nineteen species belonging to 13 genera and 47 species belonging to 31 genera of ostracods were found in three samples from Lutzow-Holm Bay and ten samples from off Totten Glacier, respectively. We found no ostracods in the samples off Cape Darnley. Q-mode cluster analysis reveals four ostracod biofacies (A to D). Antarctiloxoconcha frigida (Neale, 1967) and Australicythere polylyca (Muller, 1908) were common under the influence of cold water in the upper bathyal zone (biofacies A to C). The genus Krithe was the most abundant taxon in biofacies D with low dissolved oxygen and high-water temperature (0.38 degrees C, 34.66, and 5.0 ml/L, respectively), indicating the presence of warm deep seawater, i.e., modified Circumpolar Deep Water. Thus, we have checked the relationships between the ostracod assemblages and the environmental parameters analyzed in Lutzow-Holm Bay and off Totten Glacier, and so strengthened the previous ostracod and environmental data.</t>
  </si>
  <si>
    <t>[Sasaki, Satoshi] Shimane Univ, Interdisciplinary Grad Sch Sci &amp; Engn, 1060 Nishikawatsu Cho, Matsue, Shimane 6908504, Japan; [Irizuki, Toshiaki] Shimane Univ, Acad Assembly, Inst Environm Syst Sci, 1060 Nishikawatsu Cho, Matsue, Shimane 6908504, Japan; [Irizuki, Toshiaki] Shimane Univ, Estuary Res Ctr, 1060 Nishikawatsu Cho, Matsue, Shimane 6908504, Japan; [Itaki, Takuya] Natl Inst Adv Ind Sci &amp; Technol, Geol Survey Japan, AIST Tsukuba Cent 7,Higashi 1-1-1, Tsukuba, Ibaraki 3058567, Japan; [Tokuda, Yuki] Tottori Univ Environm Studies, Fac Environm Studies, 1-1 Wakabadai Kita, Tottori 6891111, Japan; [Ishiwa, Takeshige; Suganuma, Yusuke] Natl Inst Polar Res, Res Org Worntat &amp; Syst, 10-3 Midori Cho, Tachikawa, Tokyo 1908518, Japan; [Suganuma, Yusuke] Grad Univ Adv Studies SOKENDAI, Sch Multidisciplinary Sci, Dept Polar Sci, 10-3 Midori Cho, Tachikawa, Tokyo 1908518, Japan</t>
  </si>
  <si>
    <t>Shimane University; Shimane University; Shimane University; National Institute of Advanced Industrial Science &amp; Technology (AIST); Research Organization of Information &amp; Systems (ROIS); National Institute of Polar Research (NIPR) - Japan; Graduate University for Advanced Studies - Japan</t>
  </si>
  <si>
    <t>Sasaki, S (corresponding author), Shimane Univ, Interdisciplinary Grad Sch Sci &amp; Engn, 1060 Nishikawatsu Cho, Matsue, Shimane 6908504, Japan.</t>
  </si>
  <si>
    <t>tokusasa012@gmail.com</t>
  </si>
  <si>
    <t>Sasaki, Satoshi/0000-0003-4736-2394; Sasaki, Satoshi/0000-0001-7541-5372</t>
  </si>
  <si>
    <t>National Institute of Polar Research (NIPR) under MEXT; Japan Society for the Promotion of Science [19H00728, 17H06321, 17H06318, 18H01329, 21H01201]; Fukada Geological Institute; Grants-in-Aid for Scientific Research [21H01201, 21H01173, 21KK0246] Funding Source: KAKEN</t>
  </si>
  <si>
    <t>National Institute of Polar Research (NIPR) under MEXT; Japan Society for the Promotion of Science(Ministry of Education, Culture, Sports, Science and Technology, Japan (MEXT)Japan Society for the Promotion of Science); Fukada Geological Institute(Fukada Geological Institute (FGI)); Grants-in-Aid for Scientific Research(Ministry of Education, Culture, Sports, Science and Technology, Japan (MEXT)Japan Society for the Promotion of ScienceGrants-in-Aid for Scientific Research (KAKENHI))</t>
  </si>
  <si>
    <t>We greatly thank the members of the 61st Japanese Antarctic Research Expedition for research permission, including the transportation support of SHIRASE. We thank Koji Seto (Shimane University) for the support of CNS elemental analysis. We thank Cristianini T. Bergue (Universidade do Vale do Rio dos Sinos) and an anonymous reviewer for their constructive comments on the manuscript. The authors would like to thank Enago (www.enago.jp) for the English language review. This study is a part of the Science Program of Japanese Antarctic Research Expedition (JARE). It was supported by National Institute of Polar Research (NIPR) under MEXT. The study was partly supported by Grant-in-Aids for Scientific Research (KAKENHI) from the Japan Society for the Promotion of Science (19H00728 and 17H06321 to Y.S., 17H06318, 18H01329, and 21H01201 to T.I.), and the Fukada Grant-in-Aid (2021) of Fukada Geological Institute.</t>
  </si>
  <si>
    <t>PALAEONTOLOGICAL SOC JAPAN</t>
  </si>
  <si>
    <t>MT BLDG 4F, 7-2-2, HONGO, BUNKYO-KU, TOKYO, 113-0033, JAPAN</t>
  </si>
  <si>
    <t>1342-8144</t>
  </si>
  <si>
    <t>PALEONTOL RES</t>
  </si>
  <si>
    <t>Paleontol. Res.</t>
  </si>
  <si>
    <t>10.2517/PR210033</t>
  </si>
  <si>
    <t>6M6DE</t>
  </si>
  <si>
    <t>WOS:000888954700007</t>
  </si>
  <si>
    <t>Zhang, J; Zhang, YH; Tang, QJ; Wang, J; Jiang, P; Ashley, MCB; Ji, T; Zhang, SH; Feng, Q; Wang, ZY; Zeng, F; Zhang, HF; Chen, JT; Chen, J; Jia, MH; Zhang, GY; Zhou, HY; Hu, Y; Wang, LF; Zhu, QF</t>
  </si>
  <si>
    <t>Zhang, Jun; Zhang, Yi-hao; Tang, Qi-Jie; Wang, Jian; Jiang, Peng; Ashley, Michael C. B.; Ji, Tuo; Zhang, Shao-hua; Feng, Qi; Wang, Zhi-yue; Zeng, Feng; Zhang, Hong-fei; Chen, Jin-ting; Chen, Jie; Jia, Ming-hao; Zhang, Guang-yu; Zhou, Hong-yan; Hu, Yi; Wang, Lifan; Zhu, Qing-feng</t>
  </si>
  <si>
    <t>Sky-brightness measurements in J, H, and Ks bands at DOME A with NISBM and early results</t>
  </si>
  <si>
    <t>MONTHLY NOTICES OF THE ROYAL ASTRONOMICAL SOCIETY</t>
  </si>
  <si>
    <t>site testing; instrumentation: photometers; methods: observational</t>
  </si>
  <si>
    <t>INFRARED FILTER SET; SOUTH-POLE</t>
  </si>
  <si>
    <t>The radiance of sky brightness differs principally with wavelength passband. Atmospheric scattering of sunlight causes the radiation in the near-infrared band. The Antarctic is a singular area of the planet, marked by an unparalleled climate and geographical conditions, including the coldest temperatures and driest climate on Earth, which leads it to be the best candidate site for observing in infrared bands. At present, there are still no measurements of night-sky brightness at DOME A. We have developed the Near-Infrared Sky Brightness Monitor (NISBM) in the J, H, and Ks bands for measurements at DOME A. The instruments were installed at DOME A in 2019 and early results of NIR sky brightness from 2019 January-April have been obtained. The variation of sky background brightness with solar elevation and scanning angle is analysed. The zenith sky flux intensity for the early night at DOME A in the J band is in the 600-1100 mu Jy arcsec(-2) range, that in the H band is between 1100 and 2600 mu Jy arcsec(-2), and that in the Ks band is in the range similar to 200-900 mu Jy arcsec(-2). This result shows that the sky brightness in J and H bands is close to that of Ali in China and Mauna Kea in the USA. The sky brightness in the Ks band is much better than that in Ali, China and Mauna Kea, USA. This shows that, from our early results, DOME A is a good site for astronomical observation in the Ks band.</t>
  </si>
  <si>
    <t>[Zhang, Jun; Zhang, Yi-hao; Tang, Qi-Jie; Wang, Jian; Feng, Qi; Wang, Zhi-yue; Zeng, Feng; Zhang, Hong-fei; Chen, Jin-ting; Chen, Jie; Jia, Ming-hao; Zhang, Guang-yu] Univ Sci &amp; Technol China, Dept Modern Phys, State Key Lab Particle Detect &amp; Elect, Hefei 230026, Peoples R China; [Jiang, Peng; Ji, Tuo; Zhou, Hong-yan] Polar Res Inst China, Key Lab Polar Sci, MNR, Shanghai, Peoples R China; [Ashley, Michael C. B.] Univ New South Wales, Sch Phys, Sydney, NSW, Australia; [Zhang, Shao-hua] Shanghai Normal Univ, Shanghai Key Lab Astrophys, Shanghai 200234, Peoples R China; [Zhou, Hong-yan; Zhu, Qing-feng] Univ Sci &amp; Technol China, Dept Astron, Hefei 230026, Peoples R China; [Hu, Yi] Chinese Acad Sci, Natl Astron Observ, Beijing, Peoples R China; [Wang, Lifan] Texas A&amp;M Univ, College Stn, TX 77845 USA</t>
  </si>
  <si>
    <t>Chinese Academy of Sciences; University of Science &amp; Technology of China, CAS; Polar Research Institute of China; University of New South Wales Sydney; Shanghai Normal University; Chinese Academy of Sciences; University of Science &amp; Technology of China, CAS; Chinese Academy of Sciences; National Astronomical Observatory, CAS; Texas A&amp;M University System; Texas A&amp;M University College Station</t>
  </si>
  <si>
    <t>Zhang, J; Wang, J (corresponding author), Univ Sci &amp; Technol China, Dept Modern Phys, State Key Lab Particle Detect &amp; Elect, Hefei 230026, Peoples R China.;Jiang, P (corresponding author), Polar Res Inst China, Key Lab Polar Sci, MNR, Shanghai, Peoples R China.</t>
  </si>
  <si>
    <t>zj2018@mail.ustc.edu.cn; wangjian@ustc.edu.cn; Jiangpeng@pric.org.cn</t>
  </si>
  <si>
    <t>Zhang, Yihao/JGM-3514-2023; Lin, Lin/JTU-1595-2023; Zhang, Jun/JAN-9995-2023; Liu, Yuxuan/JVO-7759-2024; Zhang, xiaohui/KEE-5747-2024; Zhang, Xiaofeng/JMC-6060-2023; Zhang, Lijuan/KAM-0174-2024; YI, J/JJE-7713-2023; WANG, Jian/B-8138-2013; wang, zhe/JNE-3510-2023; Ma, Mingyang/JXM-3330-2024; Wang, Jiacheng/ABE-5948-2020; wang, hang/JND-8481-2023; zhang, jt/JVE-1333-2024; WEI, ZHEN/KHU-7176-2024; zhang, zhang/KBQ-9978-2024; zhang, ling/JXW-6931-2024; LI, YUN/JTV-7108-2023; Zhang, Ge/KGL-7634-2024; Liu, Song/KCX-6842-2024; zheng, Li/JVN-7465-2024; liu, jingwen/JQW-9270-2023; Cheng, Yuan/JKJ-0794-2023; Wang, Peilin/JWP-6008-2024; Zhang, Yuan/JUF-7293-2023; Zhang, Wenbin/JXX-8070-2024; xu, lingzhi/JVZ-8748-2024; LIU, JIALIN/JXN-8034-2024; ZHANG, Shaohua/O-8150-2015</t>
  </si>
  <si>
    <t>Zhang, Jun/0000-0001-7068-5277; Zhang, Xiaofeng/0000-0003-2738-3286; Wang, Jiacheng/0000-0003-4327-1508; ZHANG, Shaohua/0000-0001-8485-2814</t>
  </si>
  <si>
    <t>Polar Research Institute of China [NSFC11973037]; Fundamental Research Funds for the Central Universities [WK2360000003, WK2030040064]; National Natural Science Funds of China [11603023, 11773026]; Research Funds of the State Key Laboratory of Particle Detection and Electronics; SOC program [CHINARE2017-02-04]; Research Funds of Key Laboratory of Astronomical Optics Technology, CAS; Chinese Arctic and Antarctic Administration</t>
  </si>
  <si>
    <t>Polar Research Institute of China; Fundamental Research Funds for the Central Universities(Fundamental Research Funds for the Central Universities); National Natural Science Funds of China(National Natural Science Foundation of China (NSFC)); Research Funds of the State Key Laboratory of Particle Detection and Electronics; SOC program; Research Funds of Key Laboratory of Astronomical Optics Technology, CAS; Chinese Arctic and Antarctic Administration</t>
  </si>
  <si>
    <t>We are grateful to the 35th Chinese National Antarctic Research Expedition team supported by the Polar Research Institute of China and the Chinese Arctic and Antarctic Administration. The authors are grateful for the site installation of Zhaohui Shang at the National Astronomical Observatories and the helpfulness of data processing and remote control from Bin Ma at the National Astronomical Observatories. The authors are thankful for discussions about the optical system with Zheng-yang Li and Hai-ping Lu at the National Astronomical Observatories/Nanjing Institute of Astronomical Optics and Technology, Chinese Academy of Sciences, and Liang Chang at Yunnan Astronomical Observatories. This work was supported in part by the Fundamental Research Funds for the Central Universities (WK2360000003 and WK2030040064), in part by the National Natural Science Funds of China under Grant Nos 11603023 and 11773026, in part by Research Funds of the State Key Laboratory of Particle Detection and Electronics, in part by the SOC program (Grant No. CHINARE2017-02-04), in part by Research Funds of Key Laboratory of Astronomical Optics Technology, CAS, and in part by Research Funds of the Key Laboratory for Polar Science, MNR, Polar Research Institute of China (No. NSFC11973037).</t>
  </si>
  <si>
    <t>0035-8711</t>
  </si>
  <si>
    <t>1365-2966</t>
  </si>
  <si>
    <t>MON NOT R ASTRON SOC</t>
  </si>
  <si>
    <t>Mon. Not. Roy. Astron. Soc.</t>
  </si>
  <si>
    <t>MAR 31</t>
  </si>
  <si>
    <t>10.1093/mnras/stad775</t>
  </si>
  <si>
    <t>C9JX0</t>
  </si>
  <si>
    <t>WOS:000965008600001</t>
  </si>
  <si>
    <t>Salmerón, N; Belle, S; Cruz, FS; Alegria, N; Finger, JVG; Corá, DH; Petry, MV; Hernández, C; Cárdenas, CA; Krüger, L</t>
  </si>
  <si>
    <t>Salmeron, Nuria; Belle, Solenne; Cruz, Francisco Santa; Alegria, Nicolas; Finger, Julia Victoria Grohmann; Cora, Denyelle Hennayra; Petry, Maria Virginia; Hernandez, Cristina; Cardenas, Cesar A.; Kruger, Lucas</t>
  </si>
  <si>
    <t>Contrasting environmental conditions precluded lower availability of Antarctic krill affecting breeding chinstrap penguins in the Antarctic Peninsula</t>
  </si>
  <si>
    <t>SOUTH-SHETLAND ISLANDS; VARIABILITY; PERFORMANCE; CLIMATE; PHENOLOGY; RESPONSES; REVEALS; DIET</t>
  </si>
  <si>
    <t>Dramatic decreases of chinstrap penguin populations across the Antarctic Peninsula (AP) are thought to be influenced by climate-driven changes affecting its main prey, the Antarctic krill, however, empirical evidence supporting such hypotheses are scarce. By coupling data on breeding chinstrap penguins, environmental remote sensing and estimates of krill acoustic density, we were able to demonstrate that penguins substantially increased their foraging effort in a year of low krill availability, with consequent reduction in breeding success. A winter of low sea ice cover followed by a summer/spring with stronger wind and lower marine productivity explained the lower and deeper krill availability. Our results highlight the importance of environmental variability on penguin populations, as variability is expected to increase under climate change, affecting foraging behaviour responses.</t>
  </si>
  <si>
    <t>[Salmeron, Nuria; Belle, Solenne] Univ Ghent, Int Master Sci Marine Biol Resources IMBRSea, Krijgslaan 281-S8, Ghent, Belgium; [Cruz, Francisco Santa; Cardenas, Cesar A.; Kruger, Lucas] Inst Antart Chileno, Dept Cient, Plaza Munoz Gamero, Punta Arenas 1055, Chile; [Alegria, Nicolas] Inst Invest Pesquera INPESCA, Talcahuano 2780, Chile; [Cardenas, Cesar A.; Kruger, Lucas] Millennium Inst Biodivers Antarctic &amp; Subantarct E, Santiago 3425, Chile; [Finger, Julia Victoria Grohmann; Cora, Denyelle Hennayra; Petry, Maria Virginia] Univ Vale Rio Sinos UNISINOS, Lab Ornitol &amp; Anim Marinhos, Av Unisinos 950, Sao Leopoldo, RS, Brazil; [Hernandez, Cristina] Univ Magallanes, Ave Bulnes, Punta Arenas 01855, Chile</t>
  </si>
  <si>
    <t>Ghent University; Universidade do Vale do Rio dos Sinos (Unisinos); Universidad de Magallanes</t>
  </si>
  <si>
    <t>Krüger, L (corresponding author), Inst Antart Chileno, Dept Cient, Plaza Munoz Gamero, Punta Arenas 1055, Chile.;Krüger, L (corresponding author), Millennium Inst Biodivers Antarctic &amp; Subantarct E, Santiago 3425, Chile.</t>
  </si>
  <si>
    <t>hernandez, cristina/KGL-9001-2024; Kruger, Lucas/O-8912-2015</t>
  </si>
  <si>
    <t>Cardenas, Cesar/0000-0001-6662-6899; Santa Cruz, Francisco/0000-0002-7894-0153; Cora, Denyelle Hennayra/0000-0002-3175-6447; Kruger, Lucas/0000-0003-4637-5302</t>
  </si>
  <si>
    <t>Areas Marinas Protegidas program of the Instituto Antartico Chileno [AMP 24 03 052]; Instituto Milenio BASE [ICN_2021_002]; Coordenacao de Aperfeicoamento de Pessoal de Nivel Superior (CAPES) [001]</t>
  </si>
  <si>
    <t>Areas Marinas Protegidas program of the Instituto Antartico Chileno; Instituto Milenio BASE; Coordenacao de Aperfeicoamento de Pessoal de Nivel Superior (CAPES)(Coordenacao de Aperfeicoamento de Pessoal de Nivel Superior (CAPES))</t>
  </si>
  <si>
    <t>This study was funded by the Areas Marinas Protegidas program of the Instituto Antartico Chileno (AMP 24 03 052). LK and CC are also supported by Instituto Milenio BASE (ICN_2021_002). JVGF and DHC are supported by Coordenacao de Aperfeicoamento de Pessoal de Nivel Superior (CAPES) through a PhD and Masters scholarship, respectively (Finance Code 001).</t>
  </si>
  <si>
    <t>10.1038/s41598-023-32352-7</t>
  </si>
  <si>
    <t>I2YV9</t>
  </si>
  <si>
    <t>WOS:001001498900026</t>
  </si>
  <si>
    <t>Stanislavsky, AA; Bubnov, IN; Koval, AA; Stanislavsky, LA; Yerin, SN; Zalizovski, AV; Lisachenko, VM; Konovalenko, OO; Kalinichenko, MM</t>
  </si>
  <si>
    <t>Stanislavsky, Aleksander A.; Bubnov, Igor N.; Koval, Artem A.; Stanislavsky, Lev A.; Yerin, Serge N.; Zalizovski, Andriy, V; Lisachenko, Volodymyr M.; Konovalenko, Oleksander O.; Kalinichenko, Mykola M.</t>
  </si>
  <si>
    <t>Validation of F2-layer critical frequency variations in the ionosphere with radio observations of solar bursts</t>
  </si>
  <si>
    <t>Ionosphere; F2 layer; Ionosonde measurements; Radio astronomical observations; Critical frequency; Solar bursts</t>
  </si>
  <si>
    <t>The high-frequency (HF) ionospheric cutoff restricts the possibilities of radio astronomical observations from the Earth, but on the other hand, it allows one to estimate the F2-layer critical frequency of the ionosphere. This effect has been measured using a new active antenna meant for receiving cosmic radio emission in the frequency range 1-40 MHz. The instrument was implemented near the Ukrainian T-shape Radiotelescope, second modification (UTR-2) and serves as a prototype of the HF antenna for a future radio array on the farside of the Moon. We detected directly a storm of solar radio bursts on May 22, 2021 and observed clearly their cutoff due to the ionosphere. For comparison our analysis of the experimental data was supplemented by simultaneous measurements from ionosondes located close to the UTR-2. The distance between the closest ionosonde near Zmiiv (Kharkiv region, Ukraine) and the radio astronomical antenna used in the experiment is 46.5 km. Results obtained from the solar radio records are consistent with the ionosonde data. We show that such an antenna implementation provides us with new opportunities to study the F2-layer critical frequency of the ionosphere.</t>
  </si>
  <si>
    <t>[Stanislavsky, Aleksander A.; Bubnov, Igor N.; Stanislavsky, Lev A.; Yerin, Serge N.; Zalizovski, Andriy, V; Lisachenko, Volodymyr M.; Konovalenko, Oleksander O.; Kalinichenko, Mykola M.] Natl Acad Sci Ukraine, Inst Radio Astron, 4 Mystetstv St, UA-61002 Kharkiv, Ukraine; [Koval, Artem A.] Czech Acad Sci, Astron Inst, Fricova 298, Ondrejov 25165, Czech Republic; [Yerin, Serge N.] Kharkov Natl Univ, 4 Svobody Sq, UA-61000 Kharkiv, Ukraine; [Zalizovski, Andriy, V] Polish Acad Sci, Space Res Ctr, St Bartycka 18A, PL-00716 Warsaw, Poland; [Zalizovski, Andriy, V] Natl Antarctic Sci Ctr Ukraine, Blvd Taras Shevchenko 16, UA-01601 Kiev, Ukraine</t>
  </si>
  <si>
    <t>National Academy of Sciences Ukraine; Institute of Radio Astronomy of the National Academy of Sciences of Ukraine; Czech Academy of Sciences; Astronomical Institute of the Czech Academy of Sciences; Ministry of Education &amp; Science of Ukraine; VN Karazin Kharkiv National University; Centrum Badan Kosmicznych, Polish Academy of Sciences; Polish Academy of Sciences; Space Research Centre of the Polish Academy of Sciences; Ministry of Education &amp; Science of Ukraine; State Institution National Antarctic Scientific Center</t>
  </si>
  <si>
    <t>Stanislavsky, AA (corresponding author), Natl Acad Sci Ukraine, Inst Radio Astron, 4 Mystetstv St, UA-61002 Kharkiv, Ukraine.</t>
  </si>
  <si>
    <t>a.a.stanislavsky@rian.kharkov.ua</t>
  </si>
  <si>
    <t>Stanislavsky, Aleksander/C-5435-2015; Bubnov, Igor/JVM-8310-2024; Koval, Artem/AGJ-2411-2022; Zalizovski, Andriy/HII-4602-2022; Stanislavskyi, Lev/JAC-2183-2023</t>
  </si>
  <si>
    <t>Stanislavsky, Aleksander/0000-0003-4420-047X; Bubnov, Igor/0000-0002-8396-1434; Koval, Artem/0000-0002-1732-1738; Zalizovski, Andriy/0000-0002-6271-0126; Stanislavskyi, Lev/0000-0002-2099-9400</t>
  </si>
  <si>
    <t>National Academy of Sciences of Ukraine [0122U002459, 0122U000555, 0122U002460, 0121U108635, 0120U100231, 0122U001389, 0122U002576]; Czech Science Foundation [RVO:67985815, 21-16508J]; EOARD [EOARD 191OE054, EOARD 22IOE019]; STCU [EOARD 191OE054, EOARD 22IOE019]; IRA NASU [EOARD 191OE054, EOARD 22IOE019]; University of Orleans; OSUC; Center Region in France</t>
  </si>
  <si>
    <t>National Academy of Sciences of Ukraine; Czech Science Foundation(Grant Agency of the Czech Republic); EOARD; STCU; IRA NASU; University of Orleans; OSUC; Center Region in France</t>
  </si>
  <si>
    <t>AAS, INB, LAS, OOK, MMK and SNY are thankful for the support of Grants 0122U002459, 0122U000555, and 0122U002460 from the National Academy of Sciences of Ukraine. AAK acknowledges support from the project RVO:67985815 and Grant: 21-16508J of the Czech Science Foundation. AVZ and VML thank for the support of Grants 0121U108635, 0120U100231, 0122U001389, and 0122U002576 from the National Academy of Sciences of Ukraine, and Partner Projects P735 (EOARD 191OE054) and P775 (EOARD 22IOE019) between EOARD, STCU and IRA NASU. We thank the NOAA team for the instrument maintenance and open data access, as well as the radio astronomy station of Nancay/Scientific Unit of Nancay of the Paris Observatory (USR 704-CNRS, supported by the University of Orleans, the OSUC and the Center Region in France) for providing access to NDA observations accessible online at https://www.obs-nancay.fr. We are grateful to the referees for useful comments and suggestions for improving our article.</t>
  </si>
  <si>
    <t>10.1016/j.jastp.2023.106056</t>
  </si>
  <si>
    <t>MAR 2023</t>
  </si>
  <si>
    <t>H2ID9</t>
  </si>
  <si>
    <t>WOS:000994244300001</t>
  </si>
  <si>
    <t>Condie, CM; Alexander, KA; Fulton, EA; Vince, J; Haward, M</t>
  </si>
  <si>
    <t>Condie, Corrine M.; Alexander, Karen A.; Fulton, Elizabeth A.; Vince, Joanna; Haward, Marcus</t>
  </si>
  <si>
    <t>Polarised perspectives in salmon aquaculture warrant a targeted long-term approach to communication</t>
  </si>
  <si>
    <t>AQUACULTURE REPORTS</t>
  </si>
  <si>
    <t>Communication; Aquaculture conflict; Salmon; Strategic communication; Stakeholder conflict</t>
  </si>
  <si>
    <t>ATTITUDE CERTAINTY; SOCIAL LICENSE; GOVERNANCE; MANAGEMENT; CONFLICT; SUSTAINABILITY; DETERMINANT; CONTROVERSY; CHALLENGES</t>
  </si>
  <si>
    <t>Many activities associated with the expanding blue economy are characterised by high complexity, uncertainty, and significant potential for environmental impacts. In a shared marine environment, these conditions can lead to conflict, with increasingly polarised debate ultimately hindering new development. Key communication de-terminants of this conflict include: (i) the level of interest in the debate; (ii) the strength of attitudes; (iii) the certainty of attitudes; (iv) the level of trust between stakeholder groups; and (v) gaps in information. Using the Australian salmon industry as an exemplar of aquaculture conflict, we have run a stakeholder survey to measure each of these determinants. Implications for building effective communication strategies have been explored, addressing systemic issues such as legitimacy and credibility of information sources, message discrepancy, and negation of misinformation. The findings suggest that to reduce conflict and build community trust, communi-cation will require targeted long-term strategies, allowing government agencies, aquaculture companies, sci-entists and communities to inform and be informed. Policies that promote a common dialogue and collective learning with regard to interactions between aquaculture, coastal ecosystems and communities will be critical in shifting the focus from concerns of collusion and secrecy, towards that of engagement and collaboration on impact and trust attributes. Policy makers and research agencies will also need to provide adequate resources, training, and incentives for scientists to expand their role from providing traditional technical advice, to engaging more broadly on contentious socio-ecological issues.</t>
  </si>
  <si>
    <t>[Condie, Corrine M.; Haward, Marcus] Univ Tasmania, Inst Marine &amp; Antarctic Studies, Hobart, Australia; [Condie, Corrine M.; Alexander, Karen A.; Fulton, Elizabeth A.; Vince, Joanna; Haward, Marcus] Univ Tasmania, Ctr Marine Socioecol, Hobart, Tas, Australia; [Fulton, Elizabeth A.] CSIRO Oceans &amp; Atmosphere, Hobart, Tas, Australia; [Vince, Joanna] Univ Tasmania, Sch Social Sci, Launceston, Tas, Australia; [Alexander, Karen A.] Heriot Watt Univ, Int Ctr Isl Technol, Stromness, Scotland</t>
  </si>
  <si>
    <t>University of Tasmania; University of Tasmania; Commonwealth Scientific &amp; Industrial Research Organisation (CSIRO); University of Tasmania; Heriot Watt University</t>
  </si>
  <si>
    <t>Condie, CM (corresponding author), Univ Tasmania, Inst Marine &amp; Antarctic Studies, Hobart, Australia.</t>
  </si>
  <si>
    <t>cm.condie@utas.edu.au</t>
  </si>
  <si>
    <t>Fulton, Beth/AAJ-1398-2021; Vince, Joanna/J-7465-2014; Alexander, Karen/O-7042-2017</t>
  </si>
  <si>
    <t>Fulton, Beth/0000-0002-5904-7917; Vince, Joanna/0000-0002-4469-7634; Alexander, Karen/0000-0001-8801-413X</t>
  </si>
  <si>
    <t>2352-5134</t>
  </si>
  <si>
    <t>AQUACULT REP</t>
  </si>
  <si>
    <t>Aquacult. Rep.</t>
  </si>
  <si>
    <t>10.1016/j.aqrep.2023.101557</t>
  </si>
  <si>
    <t>D9AO7</t>
  </si>
  <si>
    <t>WOS:000971583700001</t>
  </si>
  <si>
    <t>Gebru, TB; Li, YM; Dong, C; Yang, YX; Yang, RQ; Pei, ZG; Zhang, QH; Jiang, GB</t>
  </si>
  <si>
    <t>Gebru, Tariku Bekele; Li, Yingming; Dong, Cheng; Yang, Yuxin; Yang, Ruiqiang; Pei, Zhiguo; Zhang, Qinghua; Jiang, Guibin</t>
  </si>
  <si>
    <t>Spatial and temporal trends of polychlorinated naphthalenes in the Arctic atmosphere at Ny-?lesund and London Island, Svalbard</t>
  </si>
  <si>
    <t>PCNs; Air; Arctic; Long -range atmospheric transport (LRAT); XAD-2 resin</t>
  </si>
  <si>
    <t>PERSISTENT ORGANIC POLLUTANTS; ORGANOCHLORINE PESTICIDES; DIETARY EXPOSURE; AIR; BIPHENYLS; PCNS; RISK; FOOD; POLYCHLORONAPHTHALENES; DISTRIBUTIONS</t>
  </si>
  <si>
    <t>Polychlorinated naphthalenes (PCNs) are ubiquitous atmospheric pollutants that can even be found in the most remote region of the Arctic. However, temporal trend analysis and reports on mono- to octa-CN in the Arctic air are still scarce. In the present study, 8 years of atmospheric monitoring data of PCNs on Svalbard was investigated using XAD-2 resin passive air samplers (PASs) from 2011-2019. The concentrations of 175 PCNs in the Arctic air ranged from 4.56 to 85.2 pg/m3, with a mean of 23.5 pg/m3. The mono-CNs and di-CNs were the dominant homologue groups accounting for 80 % of the total concentrations. The most abundant congeners were PCN-1, PCN-2, PCN-24/14, PCN-5/7, and PCN-3, respectively. A declining time trend of PCN concentration was observed from 2013 to 2019. The reduction in PCN concentrations is likely due to declining global emissions and banned production. However, no significant spatial difference was observed among the sampling sites. The total PCN toxic equivalency (TEQ) concentrations in the Arctic atmosphere ranged from 0.043 to 1.93 fg TEQ/m3 (mean 0.41 fg TEQ/m3). The fraction of combustionrelated congeners to 1PCNs (tri- to octa-CN) analysis results indicated that the sources of PCNs in the Arctic air were contributed mainly from reemissions of historical Halowax mixtures and combustion-related sources. To the best of our knowledge, this is the first research to report all 75 PCN congeners and homologue groups in Arctic air. Therefore, this study provides data on recent temporal trend analysis as well as all the 75 PCN congeners in the Arctic atmosphere.</t>
  </si>
  <si>
    <t>[Gebru, Tariku Bekele; Li, Yingming; Dong, Cheng; Yang, Ruiqiang; Pei, Zhiguo; Zhang, Qinghua; Jiang, Guibin] Chinese Acad Sci, Res Ctr Ecoenvironm Sci, State Key Lab Environm Chem &amp; Ecotoxicol, Beijing 100085, Peoples R China; [Gebru, Tariku Bekele; Li, Yingming; Dong, Cheng; Yang, Ruiqiang; Pei, Zhiguo; Zhang, Qinghua; Jiang, Guibin] Univ Chinese Acad Sci, Beijing 100049, Peoples R China; [Gebru, Tariku Bekele] Mekelle Univ, Coll Nat &amp; Computat Sci, Dept Chem, POB 231, Mekelle, Ethiopia; [Yang, Ruiqiang; Zhang, Qinghua; Jiang, Guibin] UCAS, Hangzhou Inst Adv Study, Sch Environm, Hangzhou 310024, Peoples R China; [Zhang, Qinghua; Jiang, Guibin] Jianghan Univ, Inst Environm &amp; Hlth, Wuhan 430056, Peoples R China</t>
  </si>
  <si>
    <t>Chinese Academy of Sciences; Research Center for Eco-Environmental Sciences (RCEES); Chinese Academy of Sciences; University of Chinese Academy of Sciences, CAS; Mekelle University; Jianghan University</t>
  </si>
  <si>
    <t>Li, YM (corresponding author), Chinese Acad Sci, Res Ctr Ecoenvironm Sci, State Key Lab Environm Chem &amp; Ecotoxicol, Beijing 100085, Peoples R China.</t>
  </si>
  <si>
    <t>ymli@rcees.ac.cn</t>
  </si>
  <si>
    <t>Yao, Chen/JVD-6226-2023; cheng, dong/KHD-3668-2024; Zhang, Qinghua/L-7652-2019; zhang, qinghua/HMP-3611-2023; wang, shuo/KCL-3379-2024; ren, jing/JXN-8411-2024; Yang, yufei/KHW-2735-2024; tian, ye/KGL-6485-2024; Yang, Yufei/JXX-6325-2024; yu, xiao/KFT-1725-2024</t>
  </si>
  <si>
    <t>Zhang, Qinghua/0000-0001-9086-7000; zhang, qinghua/0000-0002-9707-4051;</t>
  </si>
  <si>
    <t>National Key Research and Development Program of China [2020YFA0608503]; National Natural Science Foundation of China [22193052, 22076215]; Eco- Environmental Excellent Innovation Projects of the Research Center for Eco-Environmental Sciences, Chinese Academy of Sciences [RCEES-EEI- 2019-01]; Polar Research Institute of China; CAS-TWAS President's Fellowship for International Ph.D. students</t>
  </si>
  <si>
    <t>National Key Research and Development Program of China; National Natural Science Foundation of China(National Natural Science Foundation of China (NSFC)); Eco- Environmental Excellent Innovation Projects of the Research Center for Eco-Environmental Sciences, Chinese Academy of Sciences; Polar Research Institute of China; CAS-TWAS President's Fellowship for International Ph.D. students</t>
  </si>
  <si>
    <t>This research work was supported by the National Key Research and Development Program of China (2020YFA0608503) , the National Natural Science Foundation of China (22193052 and 22076215) , and Eco- Environmental Excellent Innovation Projects of the Research Center for Eco-Environmental Sciences, Chinese Academy of Sciences (RCEES-EEI- 2019-01) . We thank the Chinese Arctic and Antarctic Administration and the Polar Research Institute of China for their support in arranging the Chinese Arctic Expeditions. Tariku Bekele Gebru also acknowledges the sponsorship by the CAS-TWAS President's Fellowship for International Ph.D. students.</t>
  </si>
  <si>
    <t>JUN 20</t>
  </si>
  <si>
    <t>10.1016/j.scitotenv.2023.163023</t>
  </si>
  <si>
    <t>E2BM8</t>
  </si>
  <si>
    <t>WOS:000973652800001</t>
  </si>
  <si>
    <t>Dong, ZQ; Shi, LJ; Lin, MS; Jia, YJ; Zeng, T; Wu, SH</t>
  </si>
  <si>
    <t>Dong, Zhaoqing; Shi, Lijian; Lin, Mingsen; Jia, Yongjun; Zeng, Tao; Wu, Suhui</t>
  </si>
  <si>
    <t>Feasibility of retrieving Arctic sea ice thickness from the Chinese HY-2BKu-band radar altimeter</t>
  </si>
  <si>
    <t>FREEBOARD RETRIEVAL; SNOW DEPTH; AIRBORNE; SURFACE; PRODUCTS; VARIABILITY; BACKSCATTER; ENVISAT</t>
  </si>
  <si>
    <t>With the continuous development of the China ocean dynamic environment satellite series (Haiyang-2, HY2), it is urgent to explore the potential application of HY-2B in Arctic sea ice thickness retrievals. In this study, we first derive the Arctic radar freeboard and sea ice thickness during two cycles (from October 2019 to April 2020 and from October 2020 to April 2021) using the HY-2B radar altimeter and compare the results with the Alfred Wegener Institute (AWI) CryoSat-2 (CS-2) products. We evaluate our HY2B sea ice freeboard and thickness products using Operation IceBridge (OIB) airborne data and Ice, Cloud, and land Elevation Satellite 2 (ICESat-2) products. Finally, we estimate the uncertainties in the HY-2B sea ice freeboard and sea ice thickness. Here, we derive the radar freeboard by calculating the difference between the relative elevation of the floe obtained by subtracting the mean sea surface (MSS) height and sea surface height anomaly (SSHA) determined by an average of the 15 lowest points method. The radar freeboard deviation between HY-2B and CS-2 is within 0.02 m, whereas the sea ice thickness deviation between HY-2B and CS-2 is within 0.2 m. The HY-2B radar freeboards are generally thicker than AWI CS-2, except in spring (March and April). A spring segment likely has more floe points than an early winter segment. We also find that the deviations in radar freeboard and sea ice thickness between HY-2B and CS-2 over multiyear ice (MYI) are larger than those over first-year ice (FYI). The correlation between HY-2B (CS-2) sea ice freeboard retrievals and OIB values is 0.77 (0.84), with a root mean square error (RMSE) of 0.13 (0.10) m and a mean absolute error (MAE) of 0.12 (0.081) m. The correlation between HY-2B (CS-2) sea ice thickness retrievals and OIB values is 0.65 (0.80), with an RMSE of 1.86 (1.00) m and an MAE of 1.72 (0.75) m. The HY-2B sea ice freeboard uncertainty values range from 0.021 to 0.027 m, while the uncertainties in the HY-2B sea ice thickness range from 0.61 to 0.74 m. The future work will include reprocessing the HY-2B L1 data with a dedicated sea ice retracker, and using the radar waveforms to directly identify leads to release products that are more reasonable and suitable for polar sea ice thickness retrieval.</t>
  </si>
  <si>
    <t>[Dong, Zhaoqing] Hohai Univ, Coll Oceanog, Nanjing 210003, Peoples R China; [Dong, Zhaoqing; Shi, Lijian; Lin, Mingsen; Jia, Yongjun; Zeng, Tao; Wu, Suhui] Natl Satellite Ocean Applicat Serv, Beijing 100081, Peoples R China; [Shi, Lijian; Lin, Mingsen; Jia, Yongjun; Zeng, Tao] Minist Nat Resources, Key Lab Space Ocean Remote Sensing &amp; Applicat MNR, Beijing 100081, Peoples R China</t>
  </si>
  <si>
    <t>Hohai University; National Satellite Ocean Application Service; Ministry of Natural Resources of the People's Republic of China</t>
  </si>
  <si>
    <t>Shi, LJ (corresponding author), Natl Satellite Ocean Applicat Serv, Beijing 100081, Peoples R China.;Shi, LJ (corresponding author), Minist Nat Resources, Key Lab Space Ocean Remote Sensing &amp; Applicat MNR, Beijing 100081, Peoples R China.</t>
  </si>
  <si>
    <t>shilj@mail.nsoas.org.cn</t>
  </si>
  <si>
    <t>National Key Research and Development Program of China [2021YFC2803300, 2018YFC1407200]; Impact and Response of Antarctic Seas to Climate Change programme [IRASCC2020-2022, 01-01-03]</t>
  </si>
  <si>
    <t>National Key Research and Development Program of China; Impact and Response of Antarctic Seas to Climate Change programme</t>
  </si>
  <si>
    <t>The research is funded by the National Key Research and Development Program of China (grant numbers 2021YFC2803300 and 2018YFC1407200) and the Impact and Response of Antarctic Seas to Climate Change programme (grant number IRASCC2020-2022-No. 01-01-03).</t>
  </si>
  <si>
    <t>10.5194/tc-17-1389-2023</t>
  </si>
  <si>
    <t>C3OY2</t>
  </si>
  <si>
    <t>WOS:000961061100001</t>
  </si>
  <si>
    <t>Jiang, YX; Shi, W; Li, XJ</t>
  </si>
  <si>
    <t>Jiang, Yongxin; Shi, Wei; Li, Xiaojuan</t>
  </si>
  <si>
    <t>Existence theory for multiple solutions to second-order singular Dirichlet boundary value problem modeling the Antarctic Circumpolar Current</t>
  </si>
  <si>
    <t>BOUNDARY VALUE PROBLEMS</t>
  </si>
  <si>
    <t>Existence; Singular Dirichlet boundary value problem; Antarctic circumpolar current</t>
  </si>
  <si>
    <t>POSITIVE PERIODIC-SOLUTIONS; DIFFERENTIAL-EQUATION; FLOW</t>
  </si>
  <si>
    <t>In the article, we present multiple solutions for a second-order singular Dirichlet boundary value problem that arises when modeling the ocean flow of the Antarctic Circumpolar Current. The main tools of the proof are the Leray-Schauder nonlinear alternative principle and a well-known fixed point theorem in cones.</t>
  </si>
  <si>
    <t>[Jiang, Yongxin; Shi, Wei; Li, Xiaojuan] Hohai Univ, Coll Sci, Dept Math, Nanjing 210098, Peoples R China</t>
  </si>
  <si>
    <t>Hohai University</t>
  </si>
  <si>
    <t>Jiang, YX (corresponding author), Hohai Univ, Coll Sci, Dept Math, Nanjing 210098, Peoples R China.</t>
  </si>
  <si>
    <t>yxinjiang@126.com</t>
  </si>
  <si>
    <t>1687-2770</t>
  </si>
  <si>
    <t>BOUND VALUE PROBL</t>
  </si>
  <si>
    <t>Bound. Value Probl.</t>
  </si>
  <si>
    <t>10.1186/s13661-023-01720-7</t>
  </si>
  <si>
    <t>Mathematics, Applied; Mathematics</t>
  </si>
  <si>
    <t>C4IS4</t>
  </si>
  <si>
    <t>WOS:000961575700002</t>
  </si>
  <si>
    <t>Huang, XF; Yang, SL; Haywood, A; Tindall, J; Jiang, DB; Wang, YD; Sun, MM; Zhang, SH</t>
  </si>
  <si>
    <t>Huang, Xiaofang; Yang, Shiling; Haywood, Alan; Tindall, Julia; Jiang, Dabang; Wang, Yongda; Sun, Minmin; Zhang, Shihao</t>
  </si>
  <si>
    <t>How changing the height of the Antarctic ice sheet affects global climate: a mid-Pliocene case study</t>
  </si>
  <si>
    <t>PLIOMIP EXPERIMENTAL-DESIGN; AIR-FLOW; MODEL; SIMULATIONS; HADCM3; SENSITIVITY; FEATURES; IMPACT</t>
  </si>
  <si>
    <t>Warming-induced topographic changes of the East Antarctic icesheet (EAIS) during the Pliocene warm period could have a significantinfluence on the climate. However, how large changes in the EAIS heightcould theoretically affect global climate have yet to be studied. Here, theinfluence of possible height changes of the EAIS on climate over the EastAntarctic ice sheet region versus the rest of the globe is investigatedthrough numerical climate modeling using the Pliocene as a test case. Asexpected, the investigation reveals that the reduction of ice sheet heightleads to a warmer and wetter East Antarctica. However, unintuitively, boththe surface air temperature and the sea surface temperature decrease overthe rest of the globe. These temperature changes result from the higher airpressure over Antarctica and the corresponding lower air pressure overextra-Antarctic regions with the reduction of EAIS height. This topographyeffect is further confirmed by energy balance analyses. These findings couldprovide insights into future climate change caused by warming-induced heightreduction of the Antarctic ice sheet.</t>
  </si>
  <si>
    <t>[Huang, Xiaofang; Yang, Shiling; Wang, Yongda; Sun, Minmin; Zhang, Shihao] Chinese Acad Sci, Inst Geol &amp; Geophys, Key Lab Cenozo Geol &amp; Environm, Beijing 100029, Peoples R China; [Yang, Shiling; Jiang, Dabang; Sun, Minmin; Zhang, Shihao] Univ Chinese Acad Sci, Coll Earth &amp; Planetary Sci, Beijing 100049, Peoples R China; [Haywood, Alan; Tindall, Julia] Univ Leeds, Sch Earth &amp; Environm, Leeds LS2 9JT, England; [Jiang, Dabang] Chinese Acad Sci, Inst Atmospher Phys, Beijing 100029, Peoples R China</t>
  </si>
  <si>
    <t>Chinese Academy of Sciences; Institute of Geology &amp; Geophysics, CAS; Chinese Academy of Sciences; University of Chinese Academy of Sciences, CAS; University of Leeds; Chinese Academy of Sciences; Institute of Atmospheric Physics, CAS</t>
  </si>
  <si>
    <t>Huang, XF; Yang, SL (corresponding author), Chinese Acad Sci, Inst Geol &amp; Geophys, Key Lab Cenozo Geol &amp; Environm, Beijing 100029, Peoples R China.;Yang, SL (corresponding author), Univ Chinese Acad Sci, Coll Earth &amp; Planetary Sci, Beijing 100049, Peoples R China.</t>
  </si>
  <si>
    <t>hxf@mail.iggcas.ac.cn; yangsl@mail.iggcas.ac.cn</t>
  </si>
  <si>
    <t>National Natural Science Foundation of China [41725010, 42107472]; Strategic Priority Research Program of the Chinese Academy of Sciences [XDB26000000, XDB31000000]; Key Research Program of the Institute of Geology &amp; Geophysics, CAS [IGGCAS-201905]</t>
  </si>
  <si>
    <t>National Natural Science Foundation of China(National Natural Science Foundation of China (NSFC)); Strategic Priority Research Program of the Chinese Academy of Sciences(Chinese Academy of Sciences); Key Research Program of the Institute of Geology &amp; Geophysics, CAS</t>
  </si>
  <si>
    <t>AcknowledgementsThis study was supported by the National Natural Science Foundation of China (grant nos. 41725010 and 42107472), the Strategic Priority Research Program of the Chinese Academy of Sciences (grant nos. XDB26000000 and XDB31000000), and the Key Research Program of the Institute of Geology &amp; Geophysics, CAS (grant no. IGGCAS-201905). The authors thank Steven Phipps, Michiel Baatsen, and one anonymous reviewer for their critical comments.</t>
  </si>
  <si>
    <t>10.5194/cp-19-731-2023</t>
  </si>
  <si>
    <t>C4FH4</t>
  </si>
  <si>
    <t>WOS:000961486700001</t>
  </si>
  <si>
    <t>Wang, M; Zhang, L; Yue, H; Cai, WZ; Yin, HW; Tian, YY; Dong, P; Wang, JF</t>
  </si>
  <si>
    <t>Wang, Meng; Zhang, Lei; Yue, Hao; Cai, Weizhen; Yin, Haowen; Tian, Yingying; Dong, Ping; Wang, Jingfeng</t>
  </si>
  <si>
    <t>Peptides from Antarctic krill (Euphausia superba) ameliorate acute liver injury in mice induced by carbon tetrachloride via activating the Nrf2/HO-1 pathway</t>
  </si>
  <si>
    <t>FOOD &amp; FUNCTION</t>
  </si>
  <si>
    <t>OXIDATIVE STRESS; DISEASE; ANTIOXIDANTS; CYP2E1; HEPATOTOXICITY; PATHOGENESIS</t>
  </si>
  <si>
    <t>This study aimed to evaluate the hepatoprotective effects of peptides from Antarctic krill (AKP) on carbon tetrachloride (CCl4)-induced acute liver injury (ALI) in mice and the underlying molecular mechanisms. ICR mice were pretreated with AKP (500 mg kg(-1), i.g.) and silybin (30 mg kg(-1), i.g.) for 15 days before CCl4 (0.25 mL per kg BW, i.p.) injection. To assess hepatocellular damage and molecular indices, the serum and liver tissue were evaluated at harvest. The results showed that AKP pretreatment remarkably attenuated CCl4-induced liver injury, which was identified by the decrease in serum alanine aminotransferase (ALT) and aspartate aminotransferase (AST), alleviation of hepatocyte necrosis, and inhibition of the levels of the pro-inflammatory factors TNF-alpha and IL-1 beta compared to those for silymarin. AKP pretreatment also enhanced the redox balance by reducing the concentrations of MDA and 8-iso-PG and increasing the activities of SOD, GSH and GSH-PX in the liver of mice. In addition, AKP upregulated oxidative stress-related mRNA expressions of Nrf2, Keap1, HO-1, and NQO1 and further activated the protein expression on the Nrf2/HO-1 singling pathway. In summary, AKP might be a promising hepatoprotective nutraceutical against ALI and its underlying mechanisms are associated with activation of the Nrf2/HO-1 pathway.</t>
  </si>
  <si>
    <t>[Wang, Meng; Zhang, Lei; Yue, Hao; Cai, Weizhen; Yin, Haowen; Tian, Yingying; Dong, Ping; Wang, Jingfeng] Ocean Univ China, Coll Food Sci &amp; Engn, Qingdao 266003, Shangdong, Peoples R China</t>
  </si>
  <si>
    <t>Dong, P; Wang, JF (corresponding author), Ocean Univ China, Coll Food Sci &amp; Engn, Qingdao 266003, Shangdong, Peoples R China.</t>
  </si>
  <si>
    <t>dongping@ouc.edu.cn; jfwang@ouc.edu.cn</t>
  </si>
  <si>
    <t>LIU, HAO/JBI-9623-2023; Yang, Yufei/JXX-6325-2024; Jiang, Yalin/ITV-2565-2023; Wang, Chao/JHT-6081-2023; ZHOU, YUE/IZE-6277-2023; he, he/JPL-3505-2023; wang, juan/IUO-6218-2023; Haowen, Yin/GZM-3591-2022; lu, qian/IUN-7445-2023; Wang, Yiping/IZQ-2052-2023; Tang, Tang/KEI-2928-2024; Liu, Liu/JXM-8208-2024; wang, wenjuan/JGD-0428-2023; liu, liu/JEO-6900-2023; zhang, yuyang/IVV-5089-2023; zhao, yujie/JLL-1283-2023; Zhou, Yue/JHS-8791-2023; Liu, Ying/ISU-1216-2023; Wang, Jing/IQW-3496-2023</t>
  </si>
  <si>
    <t>Jiang, Yalin/0009-0003-3726-8828; wang, wenjuan/0000-0002-4220-8817; Wang, Jing/0000-0002-8296-2961; Yue, Hao/0000-0002-8486-8100; Wang, Meng/0009-0001-0093-6293</t>
  </si>
  <si>
    <t>National Natural Science Foundation of China [32172137]; Key R&amp;D Program of Shandong Province (Shandong Chongqing Science and Technology Cooperation) [2021LYX2009]; National Key R&amp;D Program of China [2018YFD0901105]</t>
  </si>
  <si>
    <t>National Natural Science Foundation of China(National Natural Science Foundation of China (NSFC)); Key R&amp;D Program of Shandong Province (Shandong Chongqing Science and Technology Cooperation); National Key R&amp;D Program of China</t>
  </si>
  <si>
    <t>We acknowledge all the members of the research team for their assistance in the field and laboratory work. This study was supported by the National Natural Science Foundation of China (No. 32172137), the Key R&amp;D Program of Shandong Province (Shandong Chongqing Science and Technology Cooperation, 2021LYX2009) and the National Key R&amp;D Program of China (2018YFD0901105).</t>
  </si>
  <si>
    <t>ROYAL SOC CHEMISTRY</t>
  </si>
  <si>
    <t>THOMAS GRAHAM HOUSE, SCIENCE PARK, MILTON RD, CAMBRIDGE CB4 0WF, CAMBS, ENGLAND</t>
  </si>
  <si>
    <t>2042-6496</t>
  </si>
  <si>
    <t>2042-650X</t>
  </si>
  <si>
    <t>FOOD FUNCT</t>
  </si>
  <si>
    <t>Food Funct.</t>
  </si>
  <si>
    <t>10.1039/d2fo03269d</t>
  </si>
  <si>
    <t>Biochemistry &amp; Molecular Biology; Food Science &amp; Technology</t>
  </si>
  <si>
    <t>D8WA0</t>
  </si>
  <si>
    <t>WOS:000962582900001</t>
  </si>
  <si>
    <t>Russell, JL</t>
  </si>
  <si>
    <t>Russell, Joellen L.</t>
  </si>
  <si>
    <t>Southern Ocean heat sink hindered by melting ice</t>
  </si>
  <si>
    <t>Climate change; Climate sciences; Environmental sciences; Ocean sciences</t>
  </si>
  <si>
    <t>SEA-LEVEL RISE; GLOBAL HEAT; ABYSSAL; WIND</t>
  </si>
  <si>
    <t>Simulations show that the melting of Antarctic ice reduces the production of deep water that stores heat at the bottom of the Southern Ocean. Comprehensive models could reveal whether the trend will persist.</t>
  </si>
  <si>
    <t>MAR 30</t>
  </si>
  <si>
    <t>10.1038/d41586-023-00835-2</t>
  </si>
  <si>
    <t>R6PX2</t>
  </si>
  <si>
    <t>WOS:001065566700007</t>
  </si>
  <si>
    <t>Li, Q; England, MH; Hogg, AM; Rintoul, SR; Morrison, AK</t>
  </si>
  <si>
    <t>Li, Qian; England, Matthew H.; Hogg, Andrew McC.; Rintoul, Stephen R.; Morrison, Adele K.</t>
  </si>
  <si>
    <t>Abyssal ocean overturning slowdown and warming driven by Antarctic meltwater</t>
  </si>
  <si>
    <t>SEA-LEVEL RISE; SOUTHERN-OCEAN; BOTTOM WATER; ICE-SHEET; GLOBAL HEAT; PART I; MODEL; CIRCULATION; DEEP; SENSITIVITY</t>
  </si>
  <si>
    <t>The abyssal ocean circulation is a key component of the global meridional overturning circulation, cycling heat, carbon, oxygen and nutrients throughout the world ocean(1,2). The strongest historical trend observed in the abyssal ocean is warming at high southern latitudes(2-4), yet it is unclear what processes have driven this warming, and whether this warming is linked to a slowdown in the ocean's overturning circulation. Furthermore, attributing change to specific drivers is difficult owing to limited measurements, and because coupled climate models exhibit biases in the region(5-7). In addition, future change remains uncertain, with the latest coordinated climate model projections not accounting for dynamic ice-sheet melt. Here we use a transient forced high-resolution coupled ocean-sea-ice model to show that under a high-emissions scenario, abyssal warming is set to accelerate over the next 30 years. We find that meltwater input around Antarctica drives a contraction of Antarctic Bottom Water (AABW), opening a pathway that allows warm Circumpolar Deep Water greater access to the continental shelf. The reduction in AABW formation results in warming and ageing of the abyssal ocean, consistent with recent measurements. In contrast, projected wind and thermal forcing has little impact on the properties, age and volume of AABW. These results highlight the critical importance of Antarctic meltwater in setting the abyssal ocean overturning, with implications for global ocean biogeochemistry and climate that could last for centuries.</t>
  </si>
  <si>
    <t>[Li, Qian] MIT, Dept Earth Atmospher &amp; Planetary Sci, Cambridge, MA USA; [England, Matthew H.] Univ New South Wales, Climate Change Res Ctr, Sydney, NSW, Australia; [England, Matthew H.] Univ New South Wales, Australian Ctr Excellence Antarctic Sci, Sydney, NSW, Australia; [Hogg, Andrew McC.] Australian Natl Univ, Res Sch Earth Sci, Canberra, ACT, Australia; [Hogg, Andrew McC.] Australian Natl Univ, ARC Ctr Excellence Climate Extremes, Canberra, ACT, Australia; [Rintoul, Stephen R.] CSIRO Oceans &amp; Atmosphere, Hobart, Tas, Australia; [Rintoul, Stephen R.] Univ Tasmania, Australian Antarctic Program Partnership, Hobart, Tas, Australia; [Morrison, Adele K.] Australian Natl Univ, Res Sch Earth Sci, Canberra, ACT, Australia; [Morrison, Adele K.] Australian Natl Univ, Australian Ctr Excellence Antarctic Sci, Canberra, ACT, Australia</t>
  </si>
  <si>
    <t>Massachusetts Institute of Technology (MIT); University of New South Wales Sydney; University of New South Wales Sydney; Australian National University; Australian National University; Commonwealth Scientific &amp; Industrial Research Organisation (CSIRO); University of Tasmania; Australian National University; Australian National University</t>
  </si>
  <si>
    <t>England, MH (corresponding author), Univ New South Wales, Climate Change Res Ctr, Sydney, NSW, Australia.;England, MH (corresponding author), Univ New South Wales, Australian Ctr Excellence Antarctic Sci, Sydney, NSW, Australia.</t>
  </si>
  <si>
    <t>M.England@unsw.edu.au</t>
  </si>
  <si>
    <t>Hogg, Andy McC./A-7553-2011; England, Matthew/A-7539-2011; Morrison, Adele/C-1774-2012</t>
  </si>
  <si>
    <t>Hogg, Andy McC./0000-0001-5898-7635; England, Matthew/0000-0001-9696-2930; Morrison, Adele/0000-0002-9904-4980; LI, QIAN/0000-0002-2099-233X</t>
  </si>
  <si>
    <t>Australian Government; ARC Australian Centre for Excellence in Antarctic Science (ACEAS; ARC ) [SR200100008]; NASA MAP programme [19-MAP19-0011]; Australian Research Council (ARC) [DP190100494]; ARC DECRA Fellowship [DE170100184]; MIT-GISS cooperative agreement</t>
  </si>
  <si>
    <t>Australian Government(Australian Government); ARC Australian Centre for Excellence in Antarctic Science (ACEAS; ARC )(Australian Research Council); NASA MAP programme; Australian Research Council (ARC)(Australian Research Council); ARC DECRA Fellowship(Australian Research Council); MIT-GISS cooperative agreement</t>
  </si>
  <si>
    <t>We thank members of the wider COSIMA community for collaborating with us to develop the ACCESS-OM2 model, and GFDL for providing the original MOM5 configuration on which the ACCESS-OM2 model is based; A. Purich for providing the processed CMIP6 data used to plot Extended Data Figs. 2a,c and 5a and the ACCESS-ESM1.5 model simulation output used to plot Extended Data Figs. 4 and 5b; and R. Holmes for suggesting the application of specific humidity anomalies in the perturbation simulations. This research was undertaken on the National Computational Infrastructure (NCI) in Canberra, Australia, which is supported by the Australian Government. M.H.E. and A.K.M. are supported by the ARC Australian Centre for Excellence in Antarctic Science (ACEAS; ARC Grant No. SR200100008). Q.L. is supported by the NASA MAP programme 19-MAP19-0011 and the MIT-GISS cooperative agreement. M.H.E., A.M.H. and A.K.M. were also supported by Australian Research Council (ARC) Discovery Project DP190100494, and A.K.M. by ARC DECRA Fellowship DE170100184.</t>
  </si>
  <si>
    <t>10.1038/s41586-023-05762-w</t>
  </si>
  <si>
    <t>G8CY2</t>
  </si>
  <si>
    <t>WOS:000991384600002</t>
  </si>
  <si>
    <t>Ichii, T; Igarashi, H; Mori, M; Mahapatra, K; Nishikawa, H; Okuda, T</t>
  </si>
  <si>
    <t>Ichii, Taro; Igarashi, Hiromichi; Mori, Mao; Mahapatra, Kedarnath; Nishikawa, Haruka; Okuda, Takehiro</t>
  </si>
  <si>
    <t>Impact of the climate regime shift around 2000 on recruitment of Antarctic krill at the Antarctic Peninsula and South Georgia</t>
  </si>
  <si>
    <t>Antarctic krill(Euphausiasuperba); Recruitment; Climate regime shift; Sea surface temperature; Sea-ice; Antarctic Peninsula; South Georgia; Winter warming</t>
  </si>
  <si>
    <t>WINTER PACK-ICE; EUPHAUSIA-SUPERBA; SHETLAND ISLANDS; WEDDELL SEA; SCOTIA SEA; VARIABILITY; BIOMASS; GROWTH; TEMPERATURE; POPULATIONS</t>
  </si>
  <si>
    <t>We examined how the climate regime shift around 2000 affected Antarctic krill recruitment variability at the North Antarctic Peninsula (NAP) and South Georgia (SG) during the period of 1990s through to 2000s. We used sea surface temperature (SST) as a proxy of the monthly sea ice extent and related it to the recruitment index (proportion of 1-year-old krill) of each succeeding year for NAP and SG by examining the correlation of the time series before and after 2000. For NAP, recruitment index was negatively correlated with winter SST at NAP in the 1990s but with autumn SST in the 2000s, suggesting that good recruitment was supported by extensive winter sea-ice in the 1990s but by extensive autumn sea-ice in the 2000s. This was attributed to the regime shift featured by winter warming and autumn cooling after 2000. For SG, recruitment was negatively correlated with winter SST at NAP in the 1990s but positively correlated with autumn SST in the southern Scotia Sea (SSS) in the 2000s. According to particle tracking experiment from NAP to SG in relation to the sea-ice extent and position of SACCF (Southern Antarctic Circumpolar Current Front), less sea-ice extent in 2000s meant less larvae distributing as north as SACCF, resulting in much fewer larval being transported to SG. Hence, we hypothesized that the regime shift weakened the connection between NAP and SG, but instead SSS became the main driver of recruitment at SG. We presume the krill population demonstrated adaptability to the regime shift by offsetting the unfavorable winter condition with the favorable autumn condition at NAP and for SG, replacing the source of recruits with those closer to it.</t>
  </si>
  <si>
    <t>[Ichii, Taro; Okuda, Takehiro] Fisheries Resources Inst, Japan Fisheries Res &amp; Educ Agcy, Yokohama, Japan; [Igarashi, Hiromichi; Nishikawa, Haruka] Japan Agcy Marine Earth Sci &amp; Technol JAMSTEC, Yokohama, Japan; [Mori, Mao] Tokyo Univ Marine Sci &amp; Technol, Tokyo, Japan; [Mahapatra, Kedarnath] Tokai Univ, Sch Marine Sci &amp; Technol, Shizuoka, Japan; [Mori, Mao] UMITO Partners Inc, Sci &amp; Res Analyt, Tokyo, Japan</t>
  </si>
  <si>
    <t>Japan Fisheries Research &amp; Education Agency (FRA); Japan Agency for Marine-Earth Science &amp; Technology (JAMSTEC); Tokyo University of Marine Science &amp; Technology; Tokai University</t>
  </si>
  <si>
    <t>Okuda, T (corresponding author), Fisheries Resources Inst, Japan Fisheries Res &amp; Educ Agcy, Yokohama, Japan.</t>
  </si>
  <si>
    <t>okuda_takehiro83@fra.go.jp</t>
  </si>
  <si>
    <t>Fisheries Agency of Japan; Japan Society for the Promotion of Science KAKENHI [JP 19J01838]</t>
  </si>
  <si>
    <t>Fisheries Agency of Japan; Japan Society for the Promotion of Science KAKENHI(Ministry of Education, Culture, Sports, Science and Technology, Japan (MEXT)Japan Society for the Promotion of ScienceGrants-in-Aid for Scientific Research (KAKENHI))</t>
  </si>
  <si>
    <t>This study was supported by the project on the evaluation of status of international fishery resources by Fisheries Agency of Japan. It was also supported by Japan Society for the Promotion of Science KAKENHI (Grant Numbers JP 19J01838) .</t>
  </si>
  <si>
    <t>APR-MAY</t>
  </si>
  <si>
    <t>10.1016/j.pocean.2023.103020</t>
  </si>
  <si>
    <t>E0KA6</t>
  </si>
  <si>
    <t>WOS:000972514700001</t>
  </si>
  <si>
    <t>Xiong, K; Liu, XM; Xie, Z; Waiho, K; Fang, JKH; Wang, YJ; Hu, MH</t>
  </si>
  <si>
    <t>Xiong, Kai; Liu, Ximei; Xie, Zhe; Waiho, Khor; Fang, James K. H.; Wang, Youji; Hu, Menghong</t>
  </si>
  <si>
    <t>The use of physiological and transcriptional analyses to examine molting regulatory mechanisms in juvenile horseshoe crab Tachypleus tridentatus</t>
  </si>
  <si>
    <t>Tachypleus tridentatus; Molt; Chitinase; Ecdysone; RNA-seq</t>
  </si>
  <si>
    <t>PENAEUS-VANNAMEI CRUSTACEA; CHITINASE FAMILY GENES; CHINESE MITTEN CRAB; FIDDLER-CRAB; CHELICERATE ARTHROPOD; ECDYSTEROID RECEPTOR; CHITINOLYTIC ENZYMES; DECAPOD CRUSTACEANS; LIMB REGENERATION; ANTARCTIC KRILL</t>
  </si>
  <si>
    <t>Molting is a necessary developmental process in crustaceans, and is holistically regulated by a range of hormones and associated genes. In order to investigate physiological changes occurring at the molecular level during the molting cycle of juvenile Tachypleus tridentatus, chitinase and N-acetyl-beta-D-glucosaminidase (beta-NAGase) activities were firstly measured by absorbance spectrophotometry. In addition, ecdysone content was quantified by ELISA, and changes in expression levels of genes relevant to ecdysis were examined based on quantitative real-time PCR (qRT-PCR) and RNA-sequencing (RNA-seq). Results showed that chitinase, beta-NAGase activity, and ecdysone content increased at the intermolt stages, peaked at premolt stages, and decreased to a lower level at molt and postmolt stages. Chitinase and beta-NAGase were positively correlated with ecdysone. RNA-seq revealed that a total of 6482 differentially expressed genes (DEGs) in the four different molting stages, and 5763 DEGs had higher expression levels in the premolt stage than in the intermolt stage. A total of 59 shared DEGs were identified in all molting stages, and the highly expressed DEGs were mainly related to chitin binding, stratum corneum structural composition and neuropeptide hormone activity signaling pathways. KEGG pathway analysis showed that at the premolt stage, digestion, transport, and catabolic signaling pathways were significantly enriched and innate immune response pathways were significantly enriched as molting progressed. These results suggested that the molting of juvenile horseshoe crabs may be directly regulated by ecdysone, and chitinase and beta-NAGase play a synergistic role with ecdysone during the molting cycle. The key biological processes and signaling pathways involved in hormone regulation, epidermal structural proteins, catabolism, apoptosis, and immune response potentially regulate the molting process of horseshoe crab juveniles. This study provides a theoretical basis for enhancing understanding of the molting and growth processes in marine arthropods, and a strong theoretical support for the developmenting of captive rearing technologies for Chinese horseshoe crabs.</t>
  </si>
  <si>
    <t>[Xiong, Kai; Liu, Ximei; Xie, Zhe; Wang, Youji; Hu, Menghong] Shanghai Ocean Univ, Key Lab Explorat &amp; Utilizat Aquat Genet Resources, Minist Educ, Shanghai 201306, Peoples R China; [Xiong, Kai; Liu, Ximei; Xie, Zhe; Wang, Youji; Hu, Menghong] Life Sci Shanghai Ocean Univ, Coll Fisheries, Int Res Ctr Marine Biosci, Minist Sci &amp; Technol, Shanghai 200090, Peoples R China; [Waiho, Khor] Univ Malaysia Terengganu, Higher Inst Ctr Excellence HICoE, Inst Trop Aquaculture &amp; Fisheries, Terengganu 21030, Malaysia; [Fang, James K. H.] Hong Kong Polytech Univ, Dept Food Sci &amp; Nutr, Hung Hom, Hong Kong 999077, Peoples R China; [Fang, James K. H.] City Univ Hong Kong, State Key Lab Marine Pollut, Hong Kong 999077, Peoples R China</t>
  </si>
  <si>
    <t>Shanghai Ocean University; Universiti Malaysia Terengganu; Hong Kong Polytechnic University; City University of Hong Kong</t>
  </si>
  <si>
    <t>Hu, MH (corresponding author), Shanghai Ocean Univ, Key Lab Explorat &amp; Utilizat Aquat Genet Resources, Minist Educ, Shanghai 201306, Peoples R China.</t>
  </si>
  <si>
    <t>mhhu@shou.edu.cn</t>
  </si>
  <si>
    <t>Fang, James Kar-Hei/H-2088-2017; WANG, Youji/B-8086-2011</t>
  </si>
  <si>
    <t>WANG, Youji/0000-0003-3011-1919</t>
  </si>
  <si>
    <t>Key Laboratory of Tropical Marine Ecosystem and Bioresource, Ministry of Natural Resources [2022ZD03]; National Natural Science Foundation of China [31872587]</t>
  </si>
  <si>
    <t>Key Laboratory of Tropical Marine Ecosystem and Bioresource, Ministry of Natural Resources; National Natural Science Foundation of China(National Natural Science Foundation of China (NSFC))</t>
  </si>
  <si>
    <t>Acknowledgements This study was supported by Key Laboratory of Tropical Marine Ecosystem and Bioresource, Ministry of Natural Resources (2022ZD03) and National Natural Science Foundation of China (31872587) .</t>
  </si>
  <si>
    <t>10.1016/j.aquaculture.2023.739518</t>
  </si>
  <si>
    <t>D4CJ3</t>
  </si>
  <si>
    <t>WOS:000968222000001</t>
  </si>
  <si>
    <t>Pagnini, F; Manzey, D; Rosnet, E; Ferravante, D; White, O; Smith, N</t>
  </si>
  <si>
    <t>Pagnini, Francesco; Manzey, Dietrich; Rosnet, Elisabeth; Ferravante, Denise; White, Olivier; Smith, Nathan</t>
  </si>
  <si>
    <t>Human behavior and performance in deep space exploration: next challenges and research gaps</t>
  </si>
  <si>
    <t>NPJ MICROGRAVITY</t>
  </si>
  <si>
    <t>MENTAL-HEALTH; MISSIONS; MARS; AUTONOMY</t>
  </si>
  <si>
    <t>As space exploration missions move from low orbit to distant destinations, including the Moon and Mars, new psychological, behavioral, and team challenges will arise. This manuscript represents an up-to-date white paper developed by European experts invited by the European Space Agency (ESA), mapping unfilled research gaps related to the psychology of space exploration, considering the incoming human missions, and accounting for the available scientific knowledge. ESA created the expert team and facilitated its work, but the team was completely independent in terms of contents. The white paper considers basic issues of adaptation, pre-, during-, and post-mission experiences, and possible countermeasures to be developed and tested. The resulting integrative map provides a guide for researchers that are interested in conducting research in the support of future space exploration endeavors.</t>
  </si>
  <si>
    <t>[Pagnini, Francesco] Univ Cattolica Sacro Cuore, Dept Psychol, Milan, Italy; [Manzey, Dietrich] Tech Univ Berlin, Dept Psychol &amp; Ergon, Berlin, Germany; [Rosnet, Elisabeth] Univ Reims, Fac Sport Sci Performance Hlth Metrol Soc PSMS La, F-51096 Reims, France; [Ferravante, Denise] Antarctic Tech Unit, ENEA, Rome, Italy; [Ferravante, Denise] Univ Rome Sapienza, Fac Med &amp; Psychol, Rome, Italy; [White, Olivier] Univ Bourgogne Franche Comte, Dijon, France; [Smith, Nathan] Coventry Univ, Protect Secur &amp; Resilience Ctr, Coventry, Warwickshire, England</t>
  </si>
  <si>
    <t>Catholic University of the Sacred Heart; Technical University of Berlin; Universite de Reims Champagne-Ardenne; Italian National Agency New Technical Energy &amp; Sustainable Economics Development; Sapienza University Rome; Coventry University</t>
  </si>
  <si>
    <t>Pagnini, F (corresponding author), Univ Cattolica Sacro Cuore, Dept Psychol, Milan, Italy.</t>
  </si>
  <si>
    <t>francesco.pagnini@unicatt.it</t>
  </si>
  <si>
    <t>White, Olivier P/AAJ-6914-2020; Pagnini, Francesco/G-3808-2011</t>
  </si>
  <si>
    <t>White, Olivier P/0000-0002-9119-1329; Manzey, Dietrich/0000-0002-6977-7024; Pagnini, Francesco/0000-0003-1612-4211</t>
  </si>
  <si>
    <t>European Space Agency (ESA)</t>
  </si>
  <si>
    <t>European Space Agency (ESA)(European Space Agency)</t>
  </si>
  <si>
    <t>AcknowledgementsThis research was supported by the European Space Agency (ESA).</t>
  </si>
  <si>
    <t>2373-8065</t>
  </si>
  <si>
    <t>NPJ Microgravity</t>
  </si>
  <si>
    <t>10.1038/s41526-023-00270-7</t>
  </si>
  <si>
    <t>C2KX8</t>
  </si>
  <si>
    <t>WOS:000960279200001</t>
  </si>
  <si>
    <t>Barión, PH; Roberts, SJ; Spiegel, C; Binnie, SA; Wacker, L; Davies, J; Gabriel, I; Jones, VJ; Blockley, S; Pearson, EJ; Foster, L; Davies, SJ; Roland, TP; Hocking, EP; Bentley, MJ; Hodgson, DA; Hayward, CL; McCulloch, RD; Strelin, JA; Kuhn, G</t>
  </si>
  <si>
    <t>Heredia Barion, Pablo; Roberts, Stephen J.; Spiegel, Cornelia; Binnie, Steven A.; Wacker, Lukas; Davies, Joanna; Gabriel, Imogen; Jones, Vivienne J.; Blockley, Simon; Pearson, Emma J.; Foster, Louise; Davies, Sarah J.; Roland, Thomas P.; Hocking, Emma P.; Bentley, Michael J.; Hodgson, Dominic A.; Hayward, Chris L.; McCulloch, Robert D.; Strelin, Jorge A.; Kuhn, Gerhard</t>
  </si>
  <si>
    <t>Holocene deglaciation and glacier readvances on the Fildes Peninsula and King George Island (Isla 25 de Mayo), South Shetland Islands, NW Antarctic Peninsula</t>
  </si>
  <si>
    <t>HOLOCENE</t>
  </si>
  <si>
    <t>chronology; diatoms; geomorphology; palaeoenvironmental change; Southern Hemisphere westerly winds; tephra</t>
  </si>
  <si>
    <t>HEMISPHERE WESTERLY WINDS; JAMES-ROSS-ISLAND; PRINCE GUSTAV CHANNEL; BE-10 PRODUCTION-RATE; AMUNDSEN SEA SECTOR; ICE-SHEET; ISOSTATIC-ADJUSTMENT; LIVINGSTON ISLAND; BYERS PENINSULA; ARDLEY ISLAND</t>
  </si>
  <si>
    <t>To provide insights into glacier-climate dynamics of the South Shetland Islands (SSI), NW Antarctic Peninsula, we present a new deglaciation and readvance model for the Bellingshausen Ice Cap (BIC) on Fildes Peninsula and for King George Island/Isla 25 de Mayo (KGI) similar to 62 degrees S. Deglaciation on KGI began after c. 15 cal. ka BP and had progressed to within present-day limits on the Fildes Peninsula, its largest ice-free peninsula, by c. 6.6-5.3 cal. ka BP. Probability density phase analysis of chronological data constraining Holocene glacier advances on KGI revealed up to eight 95% probability 'gaps' during which readvances could have occurred. These are grouped into four stages - Stage 1: a readvance and marine transgression, well-constrained by field data, between c. 7.4 and 6.6 cal. ka BP; Stage 2: four probability 'gaps', less well-constrained by field data, between c. 5.3 and 2.2 cal. ka BP; Stage 3: a well-constrained but restricted 'readvance' between c. 1.7 and 1.5 cal. ka BP; Stage 4: two further minor 'readvances', one less well-constrained by field data between c. 1.3 and 0.7 cal. ka BP (68% probability), and a 'final' well-constrained 'readvance' after &lt;0.7 cal. ka BP. The Stage 1 readvance occurred as colder and more negative Southern Annular Mode (SAM)-like conditions developed, and marginally stronger/poleward shifted westerly winds led to more storms and precipitation on the SSI. Readvances after c. 5.3 cal. ka BP were possibly more frequent, driven by reducing spring/summer insolation at 62 degrees S and negative SAM-like conditions, but weaker (equatorward shifted) Westerlies over the SSI led to reduced storminess, restricting readvances within or close to present day limits. Late Holocene readvances were anti-phased with subaquatic freshwater moss layers in lake records unaffected by glaciofluvial inputs. Retreat from 'Neoglacial' glacier limits and the recolonisation of lakes by subaquatic freshwater moss after 1950 CE is associated with recent warming/more positive SAM-like conditions.</t>
  </si>
  <si>
    <t>[Heredia Barion, Pablo; Kuhn, Gerhard] Alfred Wegener Inst, Helmholtz Zentrum Polar &amp; Meeresforsch, Geosci Div, Bremerhaven, Germany; [Heredia Barion, Pablo; Spiegel, Cornelia; Kuhn, Gerhard] Univ Bremen, Dept Geosci, Bremen, Germany; [Heredia Barion, Pablo; Strelin, Jorge A.] CONICET UNC, Ctr Invest Ciencias Tierra, Cordoba, Argentina; [Roberts, Stephen J.; Foster, Louise; Hodgson, Dominic A.] Nat Environm Res Council NERC, British Antarctic Survey BAS, Cambridge, England; [Binnie, Steven A.] Univ Cologne, Inst Geol &amp; Mineral, Cologne, Germany; [Wacker, Lukas] Swiss Fed Inst Technol, Lab Ion Beam Phys, Zurich, Switzerland; [Davies, Joanna; Jones, Vivienne J.] UCL, ECRC Dept Geog, London, England; [Gabriel, Imogen; Blockley, Simon] Royal Holloway Univ London, Dept Geog, London, England; [Pearson, Emma J.; Foster, Louise] Newcastle Univ, Sch Geog Polit &amp; Sociol, Newcastle Upon Tyne, England; [Davies, Sarah J.] Aberystwyth Univ, Dept Geog &amp; Earth Sci, Aberystwyth, Wales; [Roland, Thomas P.] Univ Exeter, Dept Geog, Exeter, England; [Hocking, Emma P.] Northumbria Univ, Dept Geog, Newcastle Upon Tyne, England; [Bentley, Michael J.; Hodgson, Dominic A.] Univ Durham, Dept Geog, Durham, England; [Hayward, Chris L.; McCulloch, Robert D.] Univ Edinburgh, Grant Inst, Sch Geosci, Edinburgh, Scotland; [McCulloch, Robert D.] Ctr Invest Ecosistemas Patagonia, Coyhaique, Chile; [Strelin, Jorge A.] Univ Nacl Cordoba, Inst Antartico Argentino, Convenio MREC, Cordoba, Argentina</t>
  </si>
  <si>
    <t>Helmholtz Association; Alfred Wegener Institute, Helmholtz Centre for Polar &amp; Marine Research; University of Bremen; Consejo Nacional de Investigaciones Cientificas y Tecnicas (CONICET); National University of Cordoba; UK Research &amp; Innovation (UKRI); Natural Environment Research Council (NERC); University of Cologne; Swiss Federal Institutes of Technology Domain; ETH Zurich; University of London; University College London; University of London; Royal Holloway University London; Newcastle University - UK; Aberystwyth University; University of Exeter; Northumbria University; Durham University; University of Edinburgh; Instituto Antartico Argentino; National University of Cordoba</t>
  </si>
  <si>
    <t>Roberts, SJ (corresponding author), Nat Environm Res Council NERC, British Antarctic Survey BAS, Madingley Rd, Cambridge CB3 0ET, Cambs, England.</t>
  </si>
  <si>
    <t>sjro@bas.ac.uk</t>
  </si>
  <si>
    <t>Binnie, Steven/M-7507-2015; Roland, Thomas/B-4703-2013</t>
  </si>
  <si>
    <t>Binnie, Steven/0000-0003-0883-0212; Roland, Thomas/0000-0002-9237-1364; Spiegel, Cornelia/0000-0002-1432-3447; McCulloch, Robert/0000-0001-5542-3703</t>
  </si>
  <si>
    <t>Centro de Investigaciones en Ciencias de la Tierra (CICTERRA); Direccion Nacional del Antartico/Instituto Antartico Argentino (DNA/IAA) [2011 0102]; Geomor-fologia y Geologia Glaciar del Archipielago James Ross e Islas Shetland del Sur, Sector Norte de la Peninsula Antartica; Alfred Wegener Institute (AWI); Helmholtz Centre PACES II (Polar Regions and Coasts in the changing Earth System); IMCONet (FP7 IRSES) [319718]; NERC PhD Studentship [NE/J500173/1]; ANID [R20F0002]; Natural Environment Research Council (NERC/BAS-CGS ) [81]; NERC/BAS science programmes CACHE-PEP: Natural climate variability - extending the Americas palaeoclimate transect through the Antarctic Peninsula; GRADES-QWAD: Quaternary West Antarctic Deglaciations</t>
  </si>
  <si>
    <t>Centro de Investigaciones en Ciencias de la Tierra (CICTERRA); Direccion Nacional del Antartico/Instituto Antartico Argentino (DNA/IAA); Geomor-fologia y Geologia Glaciar del Archipielago James Ross e Islas Shetland del Sur, Sector Norte de la Peninsula Antartica; Alfred Wegener Institute (AWI); Helmholtz Centre PACES II (Polar Regions and Coasts in the changing Earth System); IMCONet (FP7 IRSES); NERC PhD Studentship(UK Research &amp; Innovation (UKRI)Natural Environment Research Council (NERC)); ANID; Natural Environment Research Council (NERC/BAS-CGS ); NERC/BAS science programmes CACHE-PEP: Natural climate variability - extending the Americas palaeoclimate transect through the Antarctic Peninsula; GRADES-QWAD: Quaternary West Antarctic Deglaciations</t>
  </si>
  <si>
    <t>The author(s) disclosed receipt of the following financial support for the research, authorship, and/or publication of this article: This study was funded by Centro de Investigaciones en Ciencias de la Tierra (CICTERRA), the Direccion Nacional del Antartico/Instituto Antartico Argentino (DNA/IAA) in the framework of the Project PICTA, 2011 - 0102, IAA Geomor-fologia y Geologia Glaciar del Archipielago James Ross e Islas Shetland del Sur, Sector Norte de la Peninsula Antartica', granted to JS and support by the Alfred Wegener Institute (AWI), Helmholtz Centre PACES II (Polar Regions and Coasts in the changing Earth System). PHB, SR, EP, JS and GK were fund-ed by IMCONet (FP7 IRSES, action no. 319718) led by Doris Abele (AWI); LF by a NERC PhD Studentship NE/J500173/1 to BAS/Newcastle University. RM was supported by ANID R20F0002 (PATSER). EP, SR received additional funding from the Natural Environment Research Council (NERC/BAS-CGS Grant no.81). SR, DH, EH, MB were funded by the NERC/BAS science programmes CACHE-PEP: Natural climate variability - extending the Americas palaeoclimate transect through the Antarctic Peninsula to the pole to DH and GRADES-QWAD: Quaternary West Antarctic Deglaciations to MB (terrestrial), Carol Pudsey, Rob Larter (marine).</t>
  </si>
  <si>
    <t>SAGE PUBLICATIONS LTD</t>
  </si>
  <si>
    <t>1 OLIVERS YARD, 55 CITY ROAD, LONDON EC1Y 1SP, ENGLAND</t>
  </si>
  <si>
    <t>0959-6836</t>
  </si>
  <si>
    <t>1477-0911</t>
  </si>
  <si>
    <t>Holocene</t>
  </si>
  <si>
    <t>10.1177/09596836231157059</t>
  </si>
  <si>
    <t>G4UA3</t>
  </si>
  <si>
    <t>WOS:000960218300001</t>
  </si>
  <si>
    <t>Hill, NJ; Haddon, M; Hartmann, K; Little, LR; Lyle, JM; Moore, BR; Nicol, S</t>
  </si>
  <si>
    <t>Hill, Nicholas J.; Haddon, Malcolm; Hartmann, Klaas; Little, L. Richard; Lyle, Jeremy M.; Moore, Bradley R.; Nicol, Simon</t>
  </si>
  <si>
    <t>Prevalence of effective fisheries management in a developed nation and its link to stock sustainability</t>
  </si>
  <si>
    <t>MARINE POLICY</t>
  </si>
  <si>
    <t>Fisheries management; Sustainable fisheries; Sustainability; Stock assessment; Performance reporting</t>
  </si>
  <si>
    <t>HARVEST STRATEGIES; STRUCTURED MODEL; RISK; REFLECTIONS; AUSTRALIA; IMPACTS; COST</t>
  </si>
  <si>
    <t>Effective fisheries management is instrumental in reducing fishing pressure and facilitating the sustainable harvest of stocks. However, few administrations assess the quality of management in place for stocks when determining performance. Here, Australia was used as a case study to detail the quality of fisheries management in place for a developed nation. As it is difficult to assess management effectiveness, management intensity was used as a proxy across three attributes: stock assessment, harvest strategies, and catch/effort restrictions. Information for each of these three attributes was scored ranging from one for simple attributes (e.g. catch-only stock assessment) to four for robust attributes (e.g. integrated stock assessment) for 601 stocks across eight jurisdictions in 2018. Although the majority of Australia's stocks are considered sustainable, most stocks are not intensively managed across the three attributes explored. Further, no clear link was apparent between stock status and management intensity which was largely focused towards high value target species and those stocks considered overfished to avoid further depletion. This highlights the need to assess both stock status and management when determining performance. With the prevalence of overfished stocks increasing globally, implementation of improved management should be a key priority for fisheries administrations. However, this analysis reveals that even in a developed nation such as Australia, management at the stock level remains limited. This comprehensive, national level assessment of stock management highlights the benefits of incorporating a management axis into future stock status reports.</t>
  </si>
  <si>
    <t>[Hill, Nicholas J.; Haddon, Malcolm; Hartmann, Klaas; Lyle, Jeremy M.; Moore, Bradley R.] Univ Tasmania, Inst Marine &amp; Antarctic Studies, Taroona, Tas 7001, Australia; [Hill, Nicholas J.; Haddon, Malcolm; Little, L. Richard] Commonwealth Sci &amp; Ind Res Org, Oceans &amp; Atmosphere, Hobart, Tas, Australia; [Moore, Bradley R.] Natl Inst Water &amp; Atmospher Res, Nelson, New Zealand; [Nicol, Simon] Univ Canberra, Inst Appl Ecol, Canberra, Australia; [Nicol, Simon] Pacific Community, Ocean Fisheries Programme, Noumea, New Caledonia</t>
  </si>
  <si>
    <t>University of Tasmania; Commonwealth Scientific &amp; Industrial Research Organisation (CSIRO); National Institute of Water &amp; Atmospheric Research (NIWA) - New Zealand; University of Canberra</t>
  </si>
  <si>
    <t>Hill, NJ (corresponding author), Univ Tasmania, Inst Marine &amp; Antarctic Studies, Taroona, Tas 7001, Australia.</t>
  </si>
  <si>
    <t>Nicholas.hill@utas.edu.au</t>
  </si>
  <si>
    <t>Hartmann, Klaas/B-3991-2008; Lyle, Jeremy M/J-7170-2014</t>
  </si>
  <si>
    <t>Haddon, Malcolm/0000-0001-6971-7585</t>
  </si>
  <si>
    <t>Heather Brown Scholarship Award; CSIRO - UTAS Quantitative Marine Science Scholarship</t>
  </si>
  <si>
    <t>The authors wish to thank anonymous reviewers for constructive comments which helped to improve the manuscript. N. J. Hill was supported by the Heather Brown Scholarship Award and CSIRO - UTAS Quantitative Marine Science Scholarship.</t>
  </si>
  <si>
    <t>0308-597X</t>
  </si>
  <si>
    <t>1872-9460</t>
  </si>
  <si>
    <t>MAR POLICY</t>
  </si>
  <si>
    <t>Mar. Pol.</t>
  </si>
  <si>
    <t>10.1016/j.marpol.2023.105596</t>
  </si>
  <si>
    <t>Environmental Studies; International Relations</t>
  </si>
  <si>
    <t>Environmental Sciences &amp; Ecology; International Relations</t>
  </si>
  <si>
    <t>Q1QD7</t>
  </si>
  <si>
    <t>WOS:001055325900001</t>
  </si>
  <si>
    <t>Toro-Valdivieso, C; Jugdaohsingh, R; Powell, JJ; Hoffman, JI; Forcada, J; Moore, C; Blacklaws, B</t>
  </si>
  <si>
    <t>Toro-Valdivieso, Constanza; Jugdaohsingh, Ravin; Powell, Jonathan J.; Hoffman, Joseph I.; Forcada, Jaume; Moore, Charles; Blacklaws, Barbara</t>
  </si>
  <si>
    <t>Heavy metal contamination in pristine environments: lessons from the Juan Fernandez fur seal (Arctocephalus philippii philippii)</t>
  </si>
  <si>
    <t>cadmium; mercury; silicon; heavy metals; marine mammal; pinniped</t>
  </si>
  <si>
    <t>DETOXIFICATION PROCESSES; HALICHOERUS-GRYPUS; NORTHEAST ATLANTIC; SUBTROPICAL GYRE; MERCURY; CADMIUM; SOUTH; BONE; BIOACCUMULATION; CEPHALOPODS</t>
  </si>
  <si>
    <t>Heavy metals, including mercury (Hg) and cadmium (Cd), occur naturally or anthropogenically and are considered toxic to the environment and human health. However, studies on heavy metal contamination focus on locations close to industrialized settlements, while isolated environments with little human activity are often ignored due to perceived low risk. This study reports heavy metal exposure in Juan Fernandez fur seals (JFFS), a marine mammal endemic to an isolated and relatively pristine archipelago off the coast of Chile. We found exceptionally high concentrations of Cd and Hg in JFFS faeces. Indeed, they are among the highest reported for any mammalian species. Following analysis of their prey, we concluded that diet is the most likely source of Cd contamination in JFFS. Furthermore, Cd appears to be absorbed and incorporated into JFFS bones. However, it was not associated with mineral changes observed in other species, suggesting Cd tolerance/adaptations in JFFS bones. The high levels of silicon found in JFFS bones may counteract the effects of Cd. These findings are relevant to biomedical research, food security and the treatment of heavy metal contamination. It also contributes to understanding the ecological role of JFFS and highlights the need for surveillance of apparently pristine environments.</t>
  </si>
  <si>
    <t>[Toro-Valdivieso, Constanza; Blacklaws, Barbara] Univ Cambridge, Dept Vet Med, Madingley Rd, Cambridge CB3 0ES, England; [Jugdaohsingh, Ravin; Powell, Jonathan J.] Univ Cambridge, Dept Vet Med, Biominerals Res Lab, Madingley Rd, Cambridge CB3 0ES, England; [Hoffman, Joseph I.; Forcada, Jaume] British Antarctic Survey, High Cross,Madingley Rd, Cambridge CB3 0ET, England; [Hoffman, Joseph I.] Bielefeld Univ, Dept Anim Behav, D-33501 Bielefeld, Germany; [Moore, Charles] Algalita Marine Res Fdn, 148N Marina Dr, Long Beach, CA 90803 USA</t>
  </si>
  <si>
    <t>University of Cambridge; University of Cambridge; UK Research &amp; Innovation (UKRI); Natural Environment Research Council (NERC); NERC British Antarctic Survey; University of Bielefeld</t>
  </si>
  <si>
    <t>Toro-Valdivieso, C (corresponding author), Univ Cambridge, Dept Vet Med, Madingley Rd, Cambridge CB3 0ES, England.</t>
  </si>
  <si>
    <t>cvt24@cam.ac.uk</t>
  </si>
  <si>
    <t>; Hoffman, Joseph/K-7725-2012</t>
  </si>
  <si>
    <t>Toro Valdivieso, Constanza/0000-0002-4485-5196; Hoffman, Joseph/0000-0001-5895-8949</t>
  </si>
  <si>
    <t>Newnham College, University of Cambridge; Department of Veterinary Medicine, University of Cambridge; Medical Research Council [MR/R005699]</t>
  </si>
  <si>
    <t>Newnham College, University of Cambridge(University of Cambridge); Department of Veterinary Medicine, University of Cambridge; Medical Research Council(UK Research &amp; Innovation (UKRI)Medical Research Council UK (MRC))</t>
  </si>
  <si>
    <t>Financial support was provided by Newnham College and the Department of Veterinary Medicine, University of Cambridge. Further support was provided by more than 60 people who donated to our study via the Crowdfunding platform. This work also was supported by the Medical Research Council (grant no. MR/R005699).</t>
  </si>
  <si>
    <t>MAR 29</t>
  </si>
  <si>
    <t>10.1098/rsos.221237</t>
  </si>
  <si>
    <t>D4LM8</t>
  </si>
  <si>
    <t>WOS:000968463200005</t>
  </si>
  <si>
    <t>Johnston, LW; Bergami, E; Rowlands, E; Manno, C</t>
  </si>
  <si>
    <t>Wilkie Johnston, Laura; Bergami, Elisa; Rowlands, Emily; Manno, Clara</t>
  </si>
  <si>
    <t>Organic or junk food? Microplastic contamination in Antarctic krill and salps</t>
  </si>
  <si>
    <t>Southern Ocean; zooplankton; plastic pollution; Scotia Sea; microfibres; Fourier transform infrared</t>
  </si>
  <si>
    <t>SOUTHERN-OCEAN; EUPHAUSIA-SUPERBA; SEA; PHYTOPLANKTON; SURVIVAL; ZOOPLANKTON; ECOSYSTEM; DIET</t>
  </si>
  <si>
    <t>Microplastics (MP) have been reported in Southern Ocean (SO), where they are likely to encounter Antarctic zooplankton and enter pelagic food webs. Here we assess the presence of MP within Antarctic krill (Euphausia superba) and salps (Salpa thompsoni) and quantify their abundance and type by micro-Fourier transform infrared microscopy. MP were found in both species, with fibres being more abundant than fragments (krill: 56.25% and salps: 22.32% of the total MP). Polymer identification indicated MP originated from both local and distant sources. Our findings prove how in situ MP ingestion from these organisms is a real and ongoing process in the SO. MP amount was higher in krill (2.13 +/- 0.26 MP ind(-1)) than salps (1.38 +/- 0.42 MP ind(-1)), while MP size extracted from krill (130 +/- 30 mu m) was significantly lower than MP size from salps (330 +/- 50 mu m). We suggest that differences between abundance and size of MP ingested by these two species may be related to their food strategies, their ability to fragment MP as well as different human pressures within the collection areas of the study region. First comparative field-based evidence of MP in both krill and salps, two emblematic zooplankton species of the SO marine ecosystems, underlines that Antarctic marine ecosystems may be particularly sensitive to plastic pollution.</t>
  </si>
  <si>
    <t>[Wilkie Johnston, Laura; Bergami, Elisa; Rowlands, Emily; Manno, Clara] British Antarctic Survey, Nat Environm Res Council, High Cross,Madingley Rd, Cambridge CB3 0ET, England; [Wilkie Johnston, Laura] Univ St Andrews, St Andrews KY16 9AJ, Scotland; [Bergami, Elisa] Univ Modena &amp; Reggio Emilia, Dept Life Sci, Via Giuseppe Campi 213-D, Modena, Italy</t>
  </si>
  <si>
    <t>UK Research &amp; Innovation (UKRI); Natural Environment Research Council (NERC); NERC British Antarctic Survey; University of St Andrews; Universita di Modena e Reggio Emilia</t>
  </si>
  <si>
    <t>Manno, C (corresponding author), British Antarctic Survey, Nat Environm Res Council, High Cross,Madingley Rd, Cambridge CB3 0ET, England.</t>
  </si>
  <si>
    <t>clanno@bas.ac.uk</t>
  </si>
  <si>
    <t>Johnston, Laura/HTP-2169-2023; Bergami, Elisa/JFJ-1703-2023</t>
  </si>
  <si>
    <t>Bergami, Elisa/0000-0001-8149-9584; manno, clara/0000-0002-3337-6173</t>
  </si>
  <si>
    <t>UKRI FLF project CUPIDO (CalcUlating the strength of the Plastic pump In counteracting the Deep export of Oceanic carbon) [MR/T020962/1]</t>
  </si>
  <si>
    <t>UKRI FLF project CUPIDO (CalcUlating the strength of the Plastic pump In counteracting the Deep export of Oceanic carbon)</t>
  </si>
  <si>
    <t>This work was funded by UKRI FLF project CUPIDO (CalcUlating the strength of the Plastic pump In counteracting the Deep export of Oceanic carbon (https://www.bas.ac.uk/project/cupido/) MR/T020962/1.</t>
  </si>
  <si>
    <t>10.1098/rsos.221421</t>
  </si>
  <si>
    <t>Green Published, Green Accepted, gold</t>
  </si>
  <si>
    <t>WOS:000968463200001</t>
  </si>
  <si>
    <t>Matus, F; Mendoza, D; Nájera, F; Merino, C; Kuzyakov, Y; Wilhelm, K; Boy, J; Aburto, F; Jofré, I; Dippold, MA</t>
  </si>
  <si>
    <t>Matus, Francisco; Mendoza, Daniela; Najera, Francisco; Merino, Carolina; Kuzyakov, Yakov; Wilhelm, Kelly; Boy, Jens; Aburto, Felipe; Jofre, Ignacio; Dippold, Michaela A.</t>
  </si>
  <si>
    <t>Freezing-thawing cycles affect organic matter decomposition in periglacial maritime Antarctic soils</t>
  </si>
  <si>
    <t>BIOGEOCHEMISTRY</t>
  </si>
  <si>
    <t>Antarctic soils; Organic matter balance; Priming effect; Initial soil development; Extreme environment; Carbon isotope applications</t>
  </si>
  <si>
    <t>KING-GEORGE-ISLAND; MICROBIAL BIOMASS; CARBON INPUT; RAIN-FOREST; MECHANISMS; MINERALIZATION; NITROGEN; MICROORGANISMS; RESPIRATION; FRACTIONS</t>
  </si>
  <si>
    <t>Antarctic King George Island is the fastest-warming area in the Southern Hemisphere. Organic matter inputs are scarce in this area, as they are derived from lichens, mosses, avian faeces, and minor inputs from two vascular plant species, Deschampsia antarctica E. Desv. and Colobanthus quitensis (Kunth) Bartl. Here, we examined the effects of freezing and thawing (FT) cycles on the priming effect (PE). We hypothesised that soil microorganisms preferentially use freeze-preserved soil organic carbon (SOC) exposed after thawing as an important energy source, resulting in intense PE. Two soils with contrasting clay contents were characterised by attenuated total reflection-Fourier transform infrared (ATR-FTIR) spectroscopy and incubated with and without C-13-glucose for 21 d. CO2 and (CO2)-C-13 were recorded from soil (i) without FT, (ii) one FT, and (iii) three FT cycles (- 18/12 degrees C). SOC exhibited low aromaticity stretching at 920 cm(-1) and 1650 cm(-1). Glucose-derived CO2 was maximal (26 +/- 2.2 mg g(-1) C) in the control soil without FT and decreased to 8.6 +/- 0.1 mg g(-1) C after three cycles. Glucose induced an intensely positive PE, 41-64% of basal respiration for a single FT cycle and 72-76% for no cycles. However, after three FT cycles, there was null or negative PE (- 9.5-0.4%). On average, the SOC content after net C balance increased with freezing frequency from 103 +/- 14 to 212 +/- 7. mg C kg(-1) in low clay forming soil and from 129 +/- 14 to 156 +/- 2 mg C kg(-1) in high clay forming soil and declined with increasing PE in both soils (R-2 = 0.87, p &lt; 0.01). Diminution in freezing frequency because of global warming will increase the positive PE, affecting the C sequestration of incipient SOC formation in maritime Antarctic soils. [GRAPHICS]</t>
  </si>
  <si>
    <t>[Matus, Francisco; Mendoza, Daniela; Najera, Francisco; Merino, Carolina; Jofre, Ignacio] Univ La Frontera, Lab Conservat &amp; Dynam Volcan Soils, Temuco, Chile; [Matus, Francisco; Mendoza, Daniela; Merino, Carolina] Univ La Frontera, Network Extreme Environm Res NEXER, Temuco, Chile; [Merino, Carolina] Univ La Frontera, Ctr Plant Soil Interact &amp; Nat Resources Biotechno, Sci &amp; Technol Bioresource Nucleus BIORE, Temuco, Chile; [Kuzyakov, Yakov] Univ Gottingen, Soil Sci Temperate Ecosyst, Agr Soil Sci, Gottingen, Germany; [Kuzyakov, Yakov] RUDN Univ, Peoples Friendship Univ Russia, Moscow, Russia; [Wilhelm, Kelly] Univ Wisconsin, Plant &amp; Earth Sci, River Falls, WI 54022 USA; [Boy, Jens] Leibniz Univ Hannover, Inst Soil Sci, Hannover, Germany; [Aburto, Felipe] Texas A&amp;M Univ, Dept Soil &amp; Crop Sci, College Stn, TX 77843 USA; [Dippold, Michaela A.] Univ Tubingen, Dept Geosci, Geobiosphere Interact, Tubingen, Germany</t>
  </si>
  <si>
    <t>Universidad de La Frontera; Universidad de La Frontera; Universidad de La Frontera; University of Gottingen; Peoples Friendship University of Russia; University of Wisconsin System; Leibniz University Hannover; Texas A&amp;M University System; Texas A&amp;M University College Station; Eberhard Karls University of Tubingen</t>
  </si>
  <si>
    <t>Matus, F (corresponding author), Univ La Frontera, Lab Conservat &amp; Dynam Volcan Soils, Temuco, Chile.</t>
  </si>
  <si>
    <t>francisco.matus@ufrontera.cl</t>
  </si>
  <si>
    <t>Dippold, Michaela A/C-1548-2017; Kuzyakov, Yakov/D-1605-2010; Najera, Francisco/ABE-4075-2020; Matus, Francisco/AAY-9383-2020; Boy, Jens/B-2926-2018</t>
  </si>
  <si>
    <t>Dippold, Michaela A/0000-0002-3657-4693; Kuzyakov, Yakov/0000-0002-9863-8461; Matus, Francisco/0000-0002-0534-2208; Aburto, Felipe/0000-0001-9472-930X</t>
  </si>
  <si>
    <t>RUDN University Strategic Academic Leadership Program [RT_17_23, MEC 80180029]; Universidad de La Frontera</t>
  </si>
  <si>
    <t>RUDN University Strategic Academic Leadership Program; Universidad de La Frontera</t>
  </si>
  <si>
    <t>AcknowledgementsThe authors sincerely appreciate the logistic support from INACH project RT_17_23 and MEC 80180029 (ANID-Chile). The authors are also grateful to the RUDN University Strategic Academic Leadership Program and the Universidad de La Frontera.</t>
  </si>
  <si>
    <t>0168-2563</t>
  </si>
  <si>
    <t>1573-515X</t>
  </si>
  <si>
    <t>Biogeochemistry</t>
  </si>
  <si>
    <t>10.1007/s10533-023-01032-z</t>
  </si>
  <si>
    <t>D9ZD0</t>
  </si>
  <si>
    <t>WOS:000967115800001</t>
  </si>
  <si>
    <t>Huang, WH; Guo, XZ; Zhao, J; Li, D; Hu, J; Zhang, HF; Zhang, C; Han, ZB; Sun, WP; Sun, YG; Pan, JM</t>
  </si>
  <si>
    <t>Huang, Wenhao; Guo, Xiaoze; Zhao, Jun; Li, Dong; Hu, Ji; Zhang, Haifeng; Zhang, Cai; Han, Zhengbing; Sun, Weiping; Sun, Yongge; Pan, Jianming</t>
  </si>
  <si>
    <t>Low content of highly reactive iron in sediments from Prydz Bay and the adjacent Southern Ocean: Controlling factors and implications for sedimentary organic carbon preservation</t>
  </si>
  <si>
    <t>Fe speciation; highly reactive Fe; Southern Ocean; marine sediment; organic carbon</t>
  </si>
  <si>
    <t>SOLID-PHASE IRON; EAST CHINA SEA; SURFACE SEDIMENTS; ANTARCTIC SHELF; SPECIATION; GEOCHEMISTRY; MANGANESE; WATER; VARIABILITY; TRANSPORT</t>
  </si>
  <si>
    <t>Examining iron (Fe) speciation in marine sediments is critical to understand Fe and carbon biogeochemical cycling in polar regions. In this study, we investigated the speciation of Fe in sediments from Prydz Bay and the adjacent Southern Ocean, and examined the factors controlling Fe speciation and its relationship with total organic carbon (TOC). Our results reveal that unreactive silicate Fe (Fe-U) is the dominant pool of total Fe (Fe-T), followed by poorly reactive sheet silicate Fe (Fe-PRS), reducible crystalline Fe oxides (Fe-ox2), easily reducible amorphous/poorly crystalline Fe oxides (Fe-ox1), and magnetite (Fe-mag), with carbonate-associated ferrous Fe (Fe-carb) being the smallest pool. The highly reactive Fe (Fe-HR)/Fe-T ratios (0.13 +/- 0.06) in our study area are among the lowest end-member globally, primarily due to weak bedrock weathering and slow glacier melting. The Fe-ox1/Fe-T ratios are similar to those in continental shelf and marginal seas containing highly weathered materials, while the Fe-ox2/Fe-T ratios are significantly lower. This result implicates that low temperature inhibits the aging of iceberg melting-sourced Fe-ox1 potentially, and accordingly the regulation of weathering on the Fe-HR/Fe-T ratio is mainly reflected in Fe-ox2/Fe-T ratio. There are no significant correlations between TOC and Fe-HR, Fe-carb, Fe-ox1 or Fe-ox2 in the research region. Four distinct patterns of TOC/Fe-HR ratio can be discerned by summarizing the global data set: (a) high TOC/Fe-HR ratios (&gt; 2.5) are likely the result of high marine primary productivity and low chemically weathered source materials; (b) low TOC/Fe-HR ratios (&lt; 0.6) are caused by high rates of Fe-HR inputs and OC remineralization; (c) mid-range TOC/Fe-HR ratios (0.6 - 2.5) typical of most river particulates and marginal sea sediments indicate the same Fe-HR and OC sources and/or interactions between each other; (d) both low TOC and Fe-HR content is the result of low marine primary productivity and weak chemical weathering. Our findings provide new insights into the relationship between Fe-HR and TOC in polar sediments.</t>
  </si>
  <si>
    <t>[Huang, Wenhao; Guo, Xiaoze; Zhao, Jun; Li, Dong; Hu, Ji; Zhang, Haifeng; Zhang, Cai; Pan, Jianming] Minist Nat Resources, Key Lab Marine Ecosyst Dynam, Hangzhou, Peoples R China; [Huang, Wenhao; Guo, Xiaoze; Zhao, Jun; Li, Dong; Hu, Ji; Zhang, Haifeng; Zhang, Cai; Han, Zhengbing; Sun, Weiping; Pan, Jianming] Minist Nat Resources, Inst Oceanog 2, Hangzhou, Peoples R China; [Guo, Xiaoze; Sun, Yongge] Zhejiang Univ, Inst Environm &amp; Biogeochem eBig, Sch Earth Sci, Hangzhou, Peoples R China</t>
  </si>
  <si>
    <t>Ministry of Natural Resources of the People's Republic of China; Ministry of Natural Resources of the People's Republic of China; Zhejiang University</t>
  </si>
  <si>
    <t>Zhao, J (corresponding author), Minist Nat Resources, Key Lab Marine Ecosyst Dynam, Hangzhou, Peoples R China.;Zhao, J (corresponding author), Minist Nat Resources, Inst Oceanog 2, Hangzhou, Peoples R China.</t>
  </si>
  <si>
    <t>jzhao@sio.org.cn</t>
  </si>
  <si>
    <t>Chen, Jin/KBQ-0163-2024; zheng, Li/JVN-7465-2024</t>
  </si>
  <si>
    <t>Chen, Jin/0009-0005-5844-635X;</t>
  </si>
  <si>
    <t>National Natural Science Foundation of China (NSFC) [41976228, 42276255, 41976227, 42176227]; Scientific Research Fund of the Second Institute of Oceanography, MNR [JG1805]; National Polar Special Program Impact and Response of Antarctic Seas to Climate Change [IRASCC 01-01-02A, 02-02]; China Scholarship Council [201704180017]</t>
  </si>
  <si>
    <t>National Natural Science Foundation of China (NSFC)(National Natural Science Foundation of China (NSFC)); Scientific Research Fund of the Second Institute of Oceanography, MNR; National Polar Special Program Impact and Response of Antarctic Seas to Climate Change; China Scholarship Council(China Scholarship Council)</t>
  </si>
  <si>
    <t>This research was jointly supported by the National Natural Science Foundation of China (NSFC) (Nos. 41976228, 42276255, 41976227, 42176227), the Scientific Research Fund of the Second Institute of Oceanography, MNR (No. JG1805), National Polar Special Program Impact and Response of Antarctic Seas to Climate Change (Nos. IRASCC 01-01-02A and 02-02), and the China Scholarship Council (No. 201704180017).</t>
  </si>
  <si>
    <t>10.3389/fmars.2023.1142061</t>
  </si>
  <si>
    <t>D3RB8</t>
  </si>
  <si>
    <t>WOS:000967921700001</t>
  </si>
  <si>
    <t>Humphries, RS; Keywood, MD; Ward, JP; Harnwell, J; Alexander, SP; Klekociuk, AR; Hara, K; McRobert, IM; Protat, A; Alroe, J; Cravigan, LT; Miljevic, B; Ristovski, ZD; Schofield, R; Wilson, SR; Flynn, CJ; Kulkarni, GR; Mace, GG; McFarquhar, GM; Chambers, SD; Williams, AG; Griffiths, AD</t>
  </si>
  <si>
    <t>Humphries, Ruhi S.; Keywood, Melita D.; Ward, Jason P.; Harnwell, James; Alexander, Simon P.; Klekociuk, Andrew R.; Hara, Keiichiro; McRobert, Ian M.; Protat, Alain; Alroe, Joel; Cravigan, Luke T.; Miljevic, Branka; Ristovski, Zoran D.; Schofield, Robyn; Wilson, Stephen R.; Flynn, Connor J.; Kulkarni, Gourihar R.; Mace, Gerald G.; McFarquhar, Greg M.; Chambers, Scott D.; Williams, Alastair G.; Griffiths, Alan D.</t>
  </si>
  <si>
    <t>Measurement report: Understanding the seasonal cycle of Southern Ocean aerosols</t>
  </si>
  <si>
    <t>CLOUD CONDENSATION NUCLEI; SEA-SALT-SULFATE; SIZE DISTRIBUTION; PARTICLE FORMATION; MACQUARIE ISLAND; CHEMICAL-COMPOSITION; SUMMER AEROSOL; MARINE AEROSOL; BOUNDARY-LAYER; CAPE-GRIM</t>
  </si>
  <si>
    <t>The remoteness and extreme conditions of the Southern Ocean and Antarctic region have meant that observations in this region are rare, and typically restricted to summertime during research or resupply voyages. Observations of aerosols outside of the summer season are typically limited to long-term stations, such as Kennaook / Cape Grim (KCG; 40.7 degrees C, 144.7 degrees C), which is situated in the northern latitudes of the Southern Ocean, and Antarctic research stations, such as the Japanese operated Syowa (SYO; 69.0ffi S, 39.6 degrees CE). Measurements in the midlatitudes of the Southern Ocean are important, particularly in light of recent observations that highlighted the latitudinal gradient that exists across the region in summertime. Here we present 2 years (March 2016March 2018) of observations from Macquarie Island (MQI; 54.5 degrees C, 159.0 degrees C) of aerosol (condensation nuclei larger than 10 nm, CN10) and cloud condensation nuclei (CCN at various supersaturations) concentrations. This important multi-year data set is characterised, and its features are compared with the long-term data sets from KCG and SYO together with those from recent, regionally relevant voyages. CN10 concentrations were the highest at KCG by a factor of degrees 50% across all non-winter seasons compared to the other two stations, which were similar (summer medians of 530, 426 and 468 cm(-3) at KCG, MQI and SYO, respectively). In wintertime, seasonal minima at KCG and MQI were similar (142 and 152 cm(-3), respectively), with SYO being distinctly lower (87 cm(-3)), likely the result of the reduction in sea spray aerosol generation due to the sea ice ocean cover around the site. CN10 seasonal maxima were observed at the stations at different times of year, with KCG and MQI exhibiting January maxima and SYO having a distinct February high. Comparison of CCN0 :5 data between KCG and MQI showed similar overall trends with summertime maxima and wintertime minima; however, KCG exhibited slightly ( similar to 10%) higher concentrations in summer (medians of 158 and 145 cm(-3), respectively), whereas KCG showed similar to 40% lower concentrations than MQI in winter (medians of 57 and 92 cm(-3), respectively). Spatial and temporal trends in the data were analysed further by contrasting data to coincident observations that occurred aboard several voyages of the RSV Aurora Australis and the RV Investigator. Results from this study are important for validating and improving our models and highlight the heterogeneity of this pristine region and the need for further long-term observations that capture the seasonal cycles.</t>
  </si>
  <si>
    <t>[Humphries, Ruhi S.; Keywood, Melita D.; Ward, Jason P.; Harnwell, James] Climate Sci Ctr, CSIRO Oceans &amp; Atmosphere, Melbourne, Australia; [Humphries, Ruhi S.; Keywood, Melita D.; Alexander, Simon P.; Klekociuk, Andrew R.; Protat, Alain] Univ Tasmania, Inst Marine &amp; Antarctic Studies, Australian Antarctic Program Partnership, Hobart, Tas, Australia; [Alexander, Simon P.; Klekociuk, Andrew R.] Australian Antarctic Div, Channel Highway, Kingston, Tas, Australia; [Hara, Keiichiro] Fukuoka Univ, Fac Sci, Dept Earth Sci Syst, Jyonan, Fukuoka, Japan; [McRobert, Ian M.] CSIRO Natl Collect &amp; Marine Infrastructure, Engn &amp; Technol Program, Hobart, Australia; [Protat, Alain] Australian Bur Meteorol, Melbourne, Australia; [Alroe, Joel; Cravigan, Luke T.; Miljevic, Branka; Ristovski, Zoran D.] Queensland Univ Technol, Sch Earth &amp; Atmospher Sci, Brisbane, Australia; [Schofield, Robyn] Univ Melbourne, Sch Geog Earth &amp; Atmospher Sci, Parkville, Vic, Australia; [Wilson, Stephen R.] Univ Wollongong, Ctr Atmospher Chem, Sch Earth Atmospher &amp; Life Sci, Wollongong, NSW, Australia; [Flynn, Connor J.] Univ Oklahoma, Sch Meteorol, Norman, OK USA; [Kulkarni, Gourihar R.] Atmospher Sci &amp; Global Change Div, Pacific Northwest Natl Lab, Richland, DC USA; [Mace, Gerald G.] Univ Utah, Dept Atmospher Sci, Salt Lake City, UT USA; [Mace, Gerald G.] Univ Oklahoma, Cooperat Inst Mesoscale Meteorol Studies, Norman, OK USA; [Chambers, Scott D.; Williams, Alastair G.; Griffiths, Alan D.] ANSTO, Environm Res, Lucas Heights, NSW, Australia</t>
  </si>
  <si>
    <t>Commonwealth Scientific &amp; Industrial Research Organisation (CSIRO); University of Tasmania; Australian Antarctic Division; Fukuoka University; Bureau of Meteorology - Australia; Queensland University of Technology (QUT); University of Melbourne; University of Wollongong; University of Oklahoma System; University of Oklahoma - Norman; Utah System of Higher Education; University of Utah; University of Oklahoma System; University of Oklahoma - Norman; Australian Nuclear Science &amp; Technology Organisation</t>
  </si>
  <si>
    <t>Humphries, RS (corresponding author), Climate Sci Ctr, CSIRO Oceans &amp; Atmosphere, Melbourne, Australia.</t>
  </si>
  <si>
    <t>ruhi.humphries@csiro.au</t>
  </si>
  <si>
    <t>McFarquhar, Greg/R-9154-2018; Schofield, Robyn/A-4062-2010; Alroe, Joel/IXD-9543-2023; Klekociuk, Andrew/A-4498-2015; Ristovski, Zoran/D-3308-2009; Williams, Alastair/P-6946-2014; Griffiths, Alan/I-4766-2014; keywood, melita/C-5139-2011; Hara, Keiichiro/N-8264-2018</t>
  </si>
  <si>
    <t>McFarquhar, Greg/0000-0003-0950-0135; Schofield, Robyn/0000-0002-4230-717X; Alroe, Joel/0000-0003-2618-7320; Alexander, Simon/0000-0001-6823-8857; Klekociuk, Andrew/0000-0003-3335-0034; Ristovski, Zoran/0000-0001-6066-6638; McRobert, Ian/0000-0003-2130-257X; Williams, Alastair/0000-0002-0568-8487; Griffiths, Alan/0000-0003-1135-1810; keywood, melita/0000-0001-9953-6806; Hara, Keiichiro/0000-0001-7440-7776; Miljevic, Branka/0000-0003-4408-2047</t>
  </si>
  <si>
    <t>Australian Government (Australian Antarctic Science) [4292, 4431, 4387, 4032]; Australian Research Council Linkage Infrastructure, Equipment and Facilities [LE150100048]; National Environmental Science Program; Antarctic Science Collaboration Initiative programme; ongoing support of Kennaook /Cape Grim through the Bureau of Meteorology; RV Investigatoraccess via the Marine National Facility); U.S. Department of Energy [DE-SC0018626, DESC0018995, DE-SC0021159]; Atmospheric System Research Program; National Aeronautics and Space Administration [80NSSC19K1251]; U.S. Department of Energy (DOE) [DE-SC0021159, DE-SC0018626] Funding Source: U.S. Department of Energy (DOE)</t>
  </si>
  <si>
    <t>Australian Government (Australian Antarctic Science); Australian Research Council Linkage Infrastructure, Equipment and Facilities(Australian Research Council); National Environmental Science Program; Antarctic Science Collaboration Initiative programme; ongoing support of Kennaook /Cape Grim through the Bureau of Meteorology; RV Investigatoraccess via the Marine National Facility); U.S. Department of Energy(United States Department of Energy (DOE)); Atmospheric System Research Program; National Aeronautics and Space Administration(National Aeronautics &amp; Space Administration (NASA)); U.S. Department of Energy (DOE)(United States Department of Energy (DOE))</t>
  </si>
  <si>
    <t>This research was supported by the Australian Government (Australian Antarctic Science projects 4292,4431, 4387 and 4032; Australian Research Council Linkage Infrastructure, Equipment and Facilities grant LE150100048; the National Environmental Science Program; the Antarctic Science Collaboration Initiative programme; ongoing support of Kennaook /Cape Grim through the Bureau of Meteorology; RV Investigatoraccess via the Marine National Facility), the U.S. Department of Energy (grants DE-SC0018626, DESC0018995 and DE-SC0021159 and the Atmospheric System Research Program), and the National Aeronautics and Space Administration (grant no.80NSSC19K1251).</t>
  </si>
  <si>
    <t>10.5194/acp-23-3749-2023</t>
  </si>
  <si>
    <t>C2GP8</t>
  </si>
  <si>
    <t>WOS:000960166900001</t>
  </si>
  <si>
    <t>Figueroa, DE; Barbini, SA; Belleggia, M; Sabadin, DE; Román, JM; De Wysiecki, AM</t>
  </si>
  <si>
    <t>Figueroa, Daniel E.; Barbini, Santiago A.; Belleggia, Mauro; Sabadin, David E.; Roman, Jorge M.; De Wysiecki, Agustin M.</t>
  </si>
  <si>
    <t>The ichthyofaunistic colonization and complex biogeographic history of the southern portion of the Southwest Atlantic Ocean</t>
  </si>
  <si>
    <t>MARINE ECOLOGY-AN EVOLUTIONARY PERSPECTIVE</t>
  </si>
  <si>
    <t>Drake Passage; endemism; evolutionary history; ichthyofauna; phylogeography; Weddellian Province</t>
  </si>
  <si>
    <t>SKATES CHONDRICHTHYES; CONTINENTAL-SHELF; EVOLUTION; FISHES; AMERICA; GONDWANA; PATTERNS; RAJIDAE; RAJIFORMES</t>
  </si>
  <si>
    <t>Here, we highlight the geological processes that resulted in the current conformation of the southern Southwest Atlantic Ocean, and explore the heterogeneous composition of the marine ichthyofauna found between 33 degrees and 56 degrees from a paleobiological perspective. During the early Cretaceous (140 Mya), the South Atlantic was still not formed, and Gondwana was probably a set of united plates with shallow continental waters. In the middle Cretaceous (112 Mya), the major Gondwanan plates started diverging from each other, allowing shallow marine intrusions and the diversification of an endemic fish fauna. By the end of the Mesozoic (66 Mya), the proto-South Atlantic connected with the North Atlantic, which was still part of the Tethys Sea, allowing its ichthyofauna to colonize the south and reach the Antarctic region. The opening of the Drake Passage in the Oligocene (33 Mya) enabled the cold waters of the Pacific Ocean to reach the South Atlantic, causing drastic effects on the thermophilic fauna and favoring the dispersion of cold-water species. Successive glaciations during the Quaternary (2 Myr to 10,000 years ago) resulted in the prevalence of Antarctic climatic conditions in the southern Southwest Atlantic. The long history of changing scenarios in the constitution of the southern Southwest Atlantic is reflected in the heterogeneous composition of the marine ichthyofauna between 33 degrees and 56 degrees S, which is characterized by a mixture of cosmopolitan, Tethyan, Pacific, Gondwanan, Antarctic, and endemic origins.</t>
  </si>
  <si>
    <t>[Figueroa, Daniel E.; Barbini, Santiago A.; Sabadin, David E.; Roman, Jorge M.] UNMdP, Lab Biol Peces, IIMyC, Mar Del Plata, Argentina; [Barbini, Santiago A.; Belleggia, Mauro; Sabadin, David E.; De Wysiecki, Agustin M.] Consejo Nacl Invest Cient &amp; Tecn CONICET, Buenos Aires, Argentina; [Belleggia, Mauro] Inst Nacl Invest &amp; Desarrollo Pesquero INIDEP, Mar Del Plata, Argentina; [Roman, Jorge M.] Comis Invest Cient Prov Buenos Aires CIC, La Plata, Argentina; [De Wysiecki, Agustin M.] Ctr Estudio Sistemas Marinos CESIMAR, Lab Ecol Peces, Puerto Madryn, Argentina</t>
  </si>
  <si>
    <t>National University of Mar del Plata; Consejo Nacional de Investigaciones Cientificas y Tecnicas (CONICET); Consejo Nacional de Investigaciones Cientificas y Tecnicas (CONICET); National Fisheries Research &amp; Development Institute (INIDEP); Comision de Investigaciones Cientificas</t>
  </si>
  <si>
    <t>Figueroa, DE (corresponding author), UNMdP, Lab Biol Peces, IIMyC, Mar Del Plata, Argentina.</t>
  </si>
  <si>
    <t>dfiguer@mdp.edu.ar</t>
  </si>
  <si>
    <t>De Wysiecki, Agustín/I-9783-2019</t>
  </si>
  <si>
    <t>De Wysiecki, Agustín/0000-0002-0506-3495; Barbini, Santiago A./0000-0003-2922-828X; Sabadin, David/0000-0002-1544-9762</t>
  </si>
  <si>
    <t>0173-9565</t>
  </si>
  <si>
    <t>1439-0485</t>
  </si>
  <si>
    <t>MAR ECOL-EVOL PERSP</t>
  </si>
  <si>
    <t>Mar. Ecol.-Evol. Persp.</t>
  </si>
  <si>
    <t>10.1111/maec.12742</t>
  </si>
  <si>
    <t>D4QQ2</t>
  </si>
  <si>
    <t>WOS:000956459900001</t>
  </si>
  <si>
    <t>Luo, H; Yang, QH; Mazloff, M; Chen, DK</t>
  </si>
  <si>
    <t>Luo, Hao; Yang, Qinghua; Mazloff, Matthew; Chen, Dake</t>
  </si>
  <si>
    <t>A Balanced Atmospheric Ensemble Forcing for Sea Ice Modeling in Southern Ocean</t>
  </si>
  <si>
    <t>REANALYSES</t>
  </si>
  <si>
    <t>To deal with the great challenges in simulating the highly non-linear physics of Antarctic sea ice, a multivariate balanced atmospheric ensemble forcing is developed based on the high-resolution component of ERA5, which considers the relationship between different variables and adjacent times. To validate the performance of this new forcing, experiments were conducted from 1 January 2016 to 28 February 2017. Compared to simulations forced with the ensemble component of ERA5, a more reasonable ensemble of simulations is produced by the atmospheric ensemble forcing developed in this study, which suppresses the sea-ice concentration (SIC) simulation errors and produces a better estimation of SIC simulation uncertainties. Further sea-ice thickness budget analysis reveals that this impact of atmospheric ensemble forcing on sea ice simulation is due to a modulation of atmosphere-ocean and sea ice-ocean thermodynamic processes. These results lay the foundation for further improvements in Antarctic sea ice data assimilation and probabilistic prediction.</t>
  </si>
  <si>
    <t>[Luo, Hao; Yang, Qinghua; Chen, Dake] Sun Yat sen Univ, Sch Atmospher Sci, Zhuhai, Peoples R China; [Luo, Hao; Yang, Qinghua; Chen, Dake] Southern Marine Sci &amp; Engn Guangdong Lab Zhuhai, Zhuhai, Peoples R China; [Mazloff, Matthew] Univ Calif San Diego, Scripps Inst Oceanog, San Diego, CA USA; [Chen, Dake] Minist Nat Resources, Inst Oceanog 2, State Key Lab Satellite Ocean Environm Dynam, Hangzhou, Peoples R China</t>
  </si>
  <si>
    <t>Sun Yat Sen University; Southern Marine Science &amp; Engineering Guangdong Laboratory; Southern Marine Science &amp; Engineering Guangdong Laboratory (Zhuhai); University of California System; University of California San Diego; Scripps Institution of Oceanography; Ministry of Natural Resources of the People's Republic of China</t>
  </si>
  <si>
    <t>Luo, Hao/0000-0002-3707-3794; Chen, Dake/0000-0002-8193-7158</t>
  </si>
  <si>
    <t>National Natural Science Foundation of China [41941009, 42006191, 41922044]; National Key Research and Development Program of China [2022YFE0106300]; Guangdong Basic and Applied Basic Research Foundation [2020B1515020025, 328886]; Innovation Group Project of Southern Marine Science and Engineering Guangdong Laboratory (Zhuhai) [311021008]; NSF [OCE-1924388, OPP-1936222]; NASA [80NSSC22K0387, 80NSSC20K1076]; ONR [N00014-20-1-2772]</t>
  </si>
  <si>
    <t>National Natural Science Foundation of China(National Natural Science Foundation of China (NSFC)); National Key Research and Development Program of China; Guangdong Basic and Applied Basic Research Foundation; Innovation Group Project of Southern Marine Science and Engineering Guangdong Laboratory (Zhuhai); NSF(National Science Foundation (NSF)); NASA(National Aeronautics &amp; Space Administration (NASA)); ONR(Office of Naval Research)</t>
  </si>
  <si>
    <t>This is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 This study is supported by the National Natural Science Foundation of China (Nos. 41941009, 42006191, 41922044), the National Key Research and Development Program of China (No. 2022YFE0106300), the Guangdong Basic and Applied Basic Research Foundation (No. 2020B1515020025), the Norges Forskningsrad (Grant 328886), and the Innovation Group Project of Southern Marine Science and Engineering Guangdong Laboratory (Zhuhai) (311021008). MRM acknowledges funding from NSF awards OCE-1924388, OPP-1936222, NASA awards 80NSSC22K0387, 80NSSC20K1076, and ONR award N00014-20-1-2772. We thank the National Supercomputer Center in Guangzhou for providing computing resources.</t>
  </si>
  <si>
    <t>MAR 28</t>
  </si>
  <si>
    <t>e2022GL101139</t>
  </si>
  <si>
    <t>10.1029/2022GL101139</t>
  </si>
  <si>
    <t>9I7ZD</t>
  </si>
  <si>
    <t>WOS:000939722600001</t>
  </si>
  <si>
    <t>Frohlich, M; Fidelman, P; Dutton, I; Haward, M; Head, BW; Maynard, D; Rissik, D; Vince, J</t>
  </si>
  <si>
    <t>Frohlich, Miguel; Fidelman, Pedro; Dutton, Ian; Haward, Marcus; Head, Brian W.; Maynard, Dianne; Rissik, David; Vince, Joanna</t>
  </si>
  <si>
    <t>A network approach to analyse Australia's blue economy policy and legislative arrangements</t>
  </si>
  <si>
    <t>Aquaculture; Blue economy; Marine Law; Ocean governance; Offshore renewable energy; Policy Analysis</t>
  </si>
  <si>
    <t>MARINE; HORRENDOGRAM; TOOL</t>
  </si>
  <si>
    <t>Governance systems are complex adaptive systems where multiple components interact extensively. This is the case for governance of the blue economy, focused on sustainable development of marine resources. Here, the relevant policy and legislative arrangements are fragmented, and marine uses, activities and resources are generally managed on a sectoral basis by independent entities from multiple jurisdictions. In Australia, for example, complex arrangements have created uncertainty in relation to what, when, how, and by whom blue economy activities are possible. Network approaches to map and analyse complex systems could potentially improve our understanding and facilitate management of policy and legal complexity. Yet, there are few studies that have adopted such approaches in ocean governance. Our research demonstrates the application of an innovative approach based on network graphs and text mining to analyse a policy and legislative system associated with Australia's blue economy (i.e., policy and legal arrangements applicable to the coastal and marine areas within the seaward boundaries of the continental shelf around the State of Tasmania). Using a database of over 2000 international, federal, state policy and legislative arrangements, cross-sector analyses were undertaken to identify potential gaps and overlaps that may hinder the deployment of blue economy activities, particularly those relating to integrated seafood and energy production systems. Our graphs allowed quick and easy visualisation of policy and legislative clusters around government entities, relationships between those entities and clusters, as well as potential gaps and overlaps in the existing policy and legislative landscape. Results point to a lack of integration and a need for fit-for-purpose policy and legislation, particularly for the development of co-located blue economy activities. Our approach may be used in research of other complex governance settings to inform policymaking as well as for communication and educational purposes.</t>
  </si>
  <si>
    <t>[Frohlich, Miguel; Fidelman, Pedro; Head, Brian W.] Univ Queensland, Ctr Policy Futures, Level 3,Gen Purpose North,Bldg 39A, St Lucia, Qld 4072, Australia; [Frohlich, Miguel] Saes Advogados, Ave Rio Branco 4,1104, BR-20090000 Rio De Janeiro, RJ, Brazil; [Fidelman, Pedro; Dutton, Ian; Haward, Marcus; Vince, Joanna] Univ Tasmania, Ctr Marine Socioecol, Private Bag 129, Hobart, Tas 7001, Australia; [Dutton, Ian; Maynard, Dianne] Tasmanian Dept Primary Ind Water &amp; Environm, GPOB 44, Hobart, Tas 7001, Australia; [Haward, Marcus] Univ Tasmania, Inst Marine &amp; Antarctic Studies, Private Bag 129, Hobart, Tas 7001, Australia; [Haward, Marcus] Blue Econ Cooperat Res Ctr, POB 897, Launceston, Tas 7250, Australia; [Rissik, David] BMT, Level 5,348 Edward St, Brisbane, Qld 4000, Australia; [Rissik, David] Griffith Univ, Sir Samuel Griffith Bldg N78-4-27,170 Kessels Rd, Nathan, Qld 4111, Australia; [Vince, Joanna] Univ Tasmania, Coll Arts Law &amp; Educ, Sch Social Sci, Private Bag 1340, Launceston, Tas 7250, Australia; [Rissik, David] Deloitte Risk Advisory, Level 23, 123 Eagle St, Brisbane 4000, Australia</t>
  </si>
  <si>
    <t>University of Queensland; University of Tasmania; University of Tasmania; University of Western Australia; Griffith University; University of Tasmania</t>
  </si>
  <si>
    <t>Frohlich, M (corresponding author), Univ Queensland, Ctr Policy Futures, Level 3,Gen Purpose North,Bldg 39A, St Lucia, Qld 4072, Australia.</t>
  </si>
  <si>
    <t>m.frohlich@uq.edu.au</t>
  </si>
  <si>
    <t>Vince, Joanna Zofia/J-7465-2014; Head, Brian/B-9918-2016</t>
  </si>
  <si>
    <t>Vince, Joanna Zofia/0000-0002-4469-7634; Head, Brian/0000-0002-9915-0628</t>
  </si>
  <si>
    <t>Blue Economy Cooperative Research Centre (CRC) [5.20.007]</t>
  </si>
  <si>
    <t>Blue Economy Cooperative Research Centre (CRC)(Australian GovernmentDepartment of Industry, Innovation and ScienceCooperative Research Centres (CRC) Programme)</t>
  </si>
  <si>
    <t>This research was supported by the Blue Economy Cooperative Research Centre (CRC) : Project 5.20.007 - Mapping and analysis of blue economy policy and legislative arrangements. We thank the feedback from participants of the online workshop held on 26 July 2021 as part of this research.</t>
  </si>
  <si>
    <t>London</t>
  </si>
  <si>
    <t>125 London Wall, London, ENGLAND</t>
  </si>
  <si>
    <t>10.1016/j.marpol.2023.105588</t>
  </si>
  <si>
    <t>HZ7S4</t>
  </si>
  <si>
    <t>WOS:001163406700001</t>
  </si>
  <si>
    <t>Teneva, L; Free, CM; Hume, A; Agostini, VN; Klein, CJ; Watson, RA; Gaines, SD</t>
  </si>
  <si>
    <t>Teneva, Lida; Free, Christopher M.; Hume, Andrew; Agostini, Vera N.; Klein, Carissa J.; Watson, Reg A.; Gaines, Steven D.</t>
  </si>
  <si>
    <t>Small island nations can achieve food security benefits through climate-adaptive blue food governance by 2050</t>
  </si>
  <si>
    <t>Blue food; Island food security; Climate-smart fisheries; Future seafood</t>
  </si>
  <si>
    <t>PACIFIC ISLANDS; FISHERIES; VULNERABILITY; IMPACTS; FUTURE; FISH</t>
  </si>
  <si>
    <t>Small island nations are highly dependent on food from aquatic environments, or blue food, and vulnerable to climate change and global food market price volatility. By 2050, rising populations will demand more food through various protein sources, including from the sea. This study identifies which small island nations can improve food self-sufficiency from the sea by implementing tailored climate-adaptive fisheries governance strategies that adapt to shifting marine resources. We combined projections of seafood demand and local catch under different future scenarios of global carbon emissions and local adaptive fisheries management to estimate potential seafood surpluses or deficits from by 2050 for 31 small island nations worldwide. We find that adapting fisheries management every 10 years could mitigate even worst-case projections of climate change impacts on locally available seafood, building a seafood surplus by 2050 in the Seychelles, Maldives, Cabo Verde, Bahamas, Antigua and Barbuda, Kiribati, PNG, Fiji, FSM, Tuvalu, and Marshall Islands. Strategic financial and capacity investments by the international community could help realize the full potential of food security from the sea for those nations. However, we project deficits in locally caught seafood by 2050 in Comoros, Sao Tome and Principe, Mauritius, Barbados, Dominican Republic, Cuba, Dominica, Jamaica, Grenada, St. Lucia, St. Vincent and the Grenadines, Trinidad and Tobago, Haiti, Palau, Samoa, Nauru, and the Solomon Islands, regardless of adapting fisheries management. For those nations, we recommend international collaboration that strengthens food security from sources other than the sea coupled with investments in locally sustainable aquaculture. Overall, we find that climate-adaptive fisheries management can benefit a range of the studied small island nations, by supporting both food security goals as well as economic goals of productive fisheries for international trade</t>
  </si>
  <si>
    <t>[Teneva, Lida] World Wildlife Fund, Washington, DC USA; [Free, Christopher M.; Gaines, Steven D.] Univ Calif Santa Barbara, Bren Sch Environm Sci &amp; Management, Santa Barbara, CA USA; [Free, Christopher M.] Univ Calif Santa Barbara, Marine Sci Inst, Santa Barbara, CA USA; [Hume, Andrew] Stanford Univ, Woods Inst Environm, Stanford, CA USA; [Agostini, Vera N.] United Nations Food &amp; Agr Org, Rome, Italy; [Klein, Carissa J.] Univ Queensland, Ctr Biodivers &amp; Conservat Sci, Sch Earth &amp; Environm Sci, Brisbane, Qld, Australia; [Watson, Reg A.] Univ Tasmania, Inst Marine &amp; Antarctic Studies, Hobart, Tas, Australia; [Teneva, Lida] 500 23rd St NW,Apt B407, Washington, DC 20037 USA</t>
  </si>
  <si>
    <t>World Wildlife Fund; University of California System; University of California Santa Barbara; University of California System; University of California Santa Barbara; Stanford University; Food &amp; Agriculture Organization of the United Nations (FAO); University of Queensland; University of Tasmania</t>
  </si>
  <si>
    <t>Teneva, L (corresponding author), 500 23rd St NW,Apt B407, Washington, DC 20037 USA.</t>
  </si>
  <si>
    <t>lida.teneva@gmail.com</t>
  </si>
  <si>
    <t>Klein, Carissa J/F-1632-2011</t>
  </si>
  <si>
    <t>Gaines, Steven/0000-0002-7604-3483; Teneva, Lida/0000-0002-8854-5464</t>
  </si>
  <si>
    <t>Australian Research Council Future Fellowship; [200100314]</t>
  </si>
  <si>
    <t>Australian Research Council Future Fellowship(Australian Research Council);</t>
  </si>
  <si>
    <t>Carissa Klein was funded by an Australian Research Council Future Fellowship (200100314) .</t>
  </si>
  <si>
    <t>10.1016/j.marpol.2023.105577</t>
  </si>
  <si>
    <t>Q1MZ5</t>
  </si>
  <si>
    <t>WOS:001055242000001</t>
  </si>
  <si>
    <t>Andreas, AL; Bowser, SS</t>
  </si>
  <si>
    <t>Andreas, Amanda L.; Bowser, Samuel S.</t>
  </si>
  <si>
    <t>Lead and cadmium exposure alters shell morphogenesis in a single-chambered, agglutinated foraminiferan protist</t>
  </si>
  <si>
    <t>Astrammina rara; Shell morphology; Heavy metals; Marine pollution; Antarctica; ICP-MS</t>
  </si>
  <si>
    <t>HEAVY-METAL POLLUTION; BENTHIC FORAMINIFERA; ASTRAMMINA-RARA; MCMURDO SOUND; PROXIES; CONTAMINATION; AVAILABILITY; ACCUMULATION; ENVIRONMENTS; ASSEMBLAGES</t>
  </si>
  <si>
    <t>Changes to calcareous foraminiferal shell morphology are well documented in heavy metal-polluted marine environments, however less is known about how these toxicants affect agglutinated foraminifera, particularly single-chambered (monothalamid) species. Here we used an agglutinated monothalamic foraminifer, Astrammina rara, to study shell morphogenesis during exposure to lead (Pb) and cadmium (Cd). Isolated cell bodies incubated with artificial sediment and control, Pb-, or Cd-spiked artificial seawater constructed new agglutinated shells in four weeks. Time-lapse recordings showed normal motile behavior during treatments. SEM imaging of reconstructed shells, however, revealed dramatic deformations in the bioadhesive of Pb-exposed shells, and less so in Cd-exposed shells. ICP-MS analysis of the isolated shells showed elevated levels of Pb, but not Cd, in the bioadhesive of treated specimens, indicating that the two metals exert their effects differentially. These findings show that certain agglutinated foraminifera may be useful indicator species in studies of heavy metal-polluted benthic marine environments.</t>
  </si>
  <si>
    <t>[Andreas, Amanda L.; Bowser, Samuel S.] SUNY Albany, Sch Publ Hlth, Dept Environm Hlth Sci, Albany, NY 12237 USA; [Bowser, Samuel S.] New York State Dept Hlth, Wadsworth Ctr, Albany, NY 12237 USA</t>
  </si>
  <si>
    <t>State University of New York (SUNY) System; State University of New York (SUNY) Albany; State University of New York (SUNY) System; Wadsworth Center</t>
  </si>
  <si>
    <t>Andreas, AL (corresponding author), SUNY Albany, Sch Publ Hlth, Dept Environm Hlth Sci, Albany, NY 12237 USA.</t>
  </si>
  <si>
    <t>amanda.andreas@gmail.com</t>
  </si>
  <si>
    <t>NSF Research Grant [ANT-1341612]; Johanna M. Resig Fellowship; Cushman Foundation for Foraminiferal Research</t>
  </si>
  <si>
    <t>NSF Research Grant; Johanna M. Resig Fellowship; Cushman Foundation for Foraminiferal Research</t>
  </si>
  <si>
    <t>We thank S. Clabuesch, P. Cziko, H. Kaiser, M. Koonce, and K. McConnell for their Antarctic scientific diving and collection skills, and to S. Hanes, J. Pawlowski, and L. Von Rosk for their Antarctic field assistance. We also thank S. Goldstein for her Antarctic field assistance and helpful comments on manuscript drafts and J. Webber for his help with elemental analyses. We extend our gratitude to the University of Rochester Early Earth and Experimental Geochemistry Lab for use of their ICP-MS, and the SUNY Polytechnic Institute for help with EDS analysis. Scanning electron micrographs were made possible using the Wadsworth Center's 3D Electron Microscopy Core facility. We also thank the Crary Laboratory staff at McMurdo Station, especially R. Robbins, S. Rupp, and B. Konar for their diving and assistance with sample collection on station. This work was supported by an NSF Research Grant (ANT-1341612) awarded to S.S. Bowser and a Johanna M. Resig Fellowship awarded to A.L. Andreas by the Cushman Foundation for Foraminiferal Research.</t>
  </si>
  <si>
    <t>10.1016/j.marpolbul.2023.114833</t>
  </si>
  <si>
    <t>Q1JU5</t>
  </si>
  <si>
    <t>WOS:001055157000001</t>
  </si>
  <si>
    <t>Guo, YN; Zhang, M; Wang, Y; Tian, WQ; Liang, JD; Tan, HZ; Wang, XB</t>
  </si>
  <si>
    <t>Guo, Yangnan; Zhang, Man; Wang, Ying; Tian, Wenqing; Liang, Jidong; Tan, Houzhang; Wang, Xuebin</t>
  </si>
  <si>
    <t>Insight of microbial degradation of n-hexadecane and n-heneicosane in soil during natural attenuation and bioaugmentation by Compound-specific Stable Isotope Analysis (CSIA)</t>
  </si>
  <si>
    <t>JOURNAL OF ENVIRONMENTAL CHEMICAL ENGINEERING</t>
  </si>
  <si>
    <t>N-alkanes; Natural attenuation; Bioaugmentation; Hydrogen isotope fractionation; delta H-2</t>
  </si>
  <si>
    <t>BACTERIAL COMMUNITY; CRUDE-OIL; DEGRADING BACTERIA; GENOME SEQUENCE; ANTARCTIC SOIL; SP NOV.; PETROLEUM; BIODEGRADATION; FRACTIONATION; ALKANES</t>
  </si>
  <si>
    <t>Microbial degradation of n-hexadecane (n-C16) and n-heneicosane (n-C21) in soil during natural attenuation (NA) and bioaugmentation (BA) were investigated by compound-specific stable isotope analysis (CSIA), microbial community and key enzyme genes analysis. In both NA and BA treatments, more than 95% of n-C16 and n-C21 were degraded within 3 and 6 days, respectively, with a slight faster degradation in BA than NA. According to CSIA, n-C16 showed a reverse hydrogen isotope fractionation effect, while n-C21 had a normal hydrogen isotope fractionation effect, and the degree of hydrogen isotope fractionation in BA were greater than NA. Isotope enrichment factors (epsilon(H)) of n-C16 and n-C21were 3.50 +/- 0.60 parts per thousand and 2.11 +/- 0.57 parts per thousand in NA, and 5.18 +/- 0.46 parts per thousand and 2.73 +/- 0.39 parts per thousand in BA, respectively. The dominant genera in BA and NA were significantly different for n-C16 and n-C21 degradation and few strains added during BA remained active, such as Rhodococcus in both n-C16 and n-C21, and Brevundimonas only in n-C21, which showing high application potential in alkanes contamination remediation. Both alkB and almA genes played more key roles than Cytochromes P450 in n-C16 and n-C21 biodegradation, but alkB was much more promoted by n-C16 while almA was more motivated by n-C21. The different types of alkane-degrading bacteria with different enzyme reaction kinetics might be the reason of opposite hydrogen isotope fractionation of n-C16 and n-C21 during their biodegradation. Above all, CSIA can be a proper technology to quantitatively evaluate the biodegradation of different alkane during NA and BA bioremediation process in contamination sites.</t>
  </si>
  <si>
    <t>[Guo, Yangnan; Zhang, Man; Wang, Ying; Tian, Wenqing; Liang, Jidong] Xi An Jiao Tong Univ, Dept Environm Engn, Xian 710049, Peoples R China; [Guo, Yangnan; Tan, Houzhang; Wang, Xuebin] Xi An Jiao Tong Univ, Dept Thermal Engn, Xian 710049, Peoples R China; [Guo, Yangnan] Shenhua Shendong Mine Grp Co Ltd, Yulin 719309, Peoples R China; [Zhang, Man] Tongyuan Design Grp Co Ltd, Jinan 250101, Peoples R China</t>
  </si>
  <si>
    <t>Xi'an Jiaotong University; Xi'an Jiaotong University; Shenhua Group</t>
  </si>
  <si>
    <t>Liang, JD (corresponding author), Xi An Jiao Tong Univ, Dept Environm Engn, Xian 710049, Peoples R China.;Tan, HZ (corresponding author), Xi An Jiao Tong Univ, Dept Thermal Engn, Xian 710049, Peoples R China.</t>
  </si>
  <si>
    <t>jidongl@mail.xjtu.edu.cn; tanhz@mail.xjtu.edu.cn</t>
  </si>
  <si>
    <t>National Natural Science Foundation of China [31670510]; Industry-university-research cooperation project, Shendong Coal Branch of China Shenhua Energy Co., Ltd; Xi'an Jiaotong University [202111156]</t>
  </si>
  <si>
    <t>National Natural Science Foundation of China(National Natural Science Foundation of China (NSFC)); Industry-university-research cooperation project, Shendong Coal Branch of China Shenhua Energy Co., Ltd; Xi'an Jiaotong University(Xi'an Jiaotong University)</t>
  </si>
  <si>
    <t>This work was supported by the National Natural Science Foundation of China (Grant No. 31670510) , and the Industry-university-research cooperation project, Shendong Coal Branch of China Shenhua Energy Co., Ltd, and the Xi'an Jiaotong University (202111156) .</t>
  </si>
  <si>
    <t>2213-2929</t>
  </si>
  <si>
    <t>2213-3437</t>
  </si>
  <si>
    <t>J ENVIRON CHEM ENG</t>
  </si>
  <si>
    <t>J. Environ. Chem. Eng.</t>
  </si>
  <si>
    <t>10.1016/j.jece.2023.109755</t>
  </si>
  <si>
    <t>Engineering, Environmental; Engineering, Chemical</t>
  </si>
  <si>
    <t>O5AE1</t>
  </si>
  <si>
    <t>WOS:001043928900001</t>
  </si>
  <si>
    <t>Yamaguchi, K; Koyanagi, M; Sato, K; Terakita, A; Kuraku, S</t>
  </si>
  <si>
    <t>Yamaguchi, Kazuaki; Koyanagi, Mitsumasa; Sato, Keiichi; Terakita, Akihisa; Kuraku, Shigehiro</t>
  </si>
  <si>
    <t>Whale shark rhodopsin adapted to deep-sea lifestyle by a substitution associated with human disease</t>
  </si>
  <si>
    <t>rhodopsin; whale shark; spectral tuning; night blindness; thermal stability</t>
  </si>
  <si>
    <t>PIGMENTS; MUTATION</t>
  </si>
  <si>
    <t>Spectral tuning of visual pigments often facilitates adaptation to new environments, and it is intriguing to study the visual ecology of pelagic sharks with secondarily expanded habitats. The whale shark, which dives into the deep sea of nearly 2,000 meters besides near-surface filter feeding, was previously shown to possess the 'blue -shifted' rhodopsin (RHO), which is a signature of deep-sea adaptation. In this study, our spectroscopy of recombinant whale shark RHO mutants revealed that this blue shift is caused dominantly by an unprecedented spectral tuning site 94. In humans, the mutation at the site causes congenital stationary night blindness (CSNB) by reducing the thermal stability of RHO. Similarly, the RHO of deep-diving whale shark has reduced thermal stability, which was experimentally shown to be achieved by site 178 and 94. RHOs having the natural substitution at site 94 are also found in some Antarctic fishes, suggesting that the blue shift by the substitution at the CSNB site associated with the reduction in thermal stability might be allowed in cold-water deep-sea habitats.</t>
  </si>
  <si>
    <t>[Yamaguchi, Kazuaki; Kuraku, Shigehiro] RIKEN Ctr Biosyst Dynam Res, Lab Phyloinformat, Kobe 6500047, Japan; [Koyanagi, Mitsumasa; Terakita, Akihisa] Osaka Metropolitan Univ, Grad Sch Sci, Dept Biol, Osaka 5588585, Japan; [Koyanagi, Mitsumasa] Osaka Metropolitan Univ, Adv Res Inst Nat Sci &amp; Technol, Osaka 5588585, Japan; [Sato, Keiichi] Okinawa Churashima Fdn, Okinawa Churashima Res Ctr, Motobu 9050206, Japan; [Sato, Keiichi] Okinawa Churaumi Aquarium, Motobu 9050206, Japan; [Kuraku, Shigehiro] Natl Inst Genet, Dept Genom &amp; Evolutionary Biol, Mol Life Hist Lab, Mishima 4118540, Japan; [Kuraku, Shigehiro] Sokendai Grad Univ Adv Studies, Dept Genet, Mishima 4118540, Japan</t>
  </si>
  <si>
    <t>RIKEN; Osaka Metropolitan University; Osaka Metropolitan University; Research Organization of Information &amp; Systems (ROIS); National Institute of Genetics (NIG) - Japan; Graduate University for Advanced Studies - Japan</t>
  </si>
  <si>
    <t>Kuraku, S (corresponding author), RIKEN Ctr Biosyst Dynam Res, Lab Phyloinformat, Kobe 6500047, Japan.;Koyanagi, M (corresponding author), Osaka Metropolitan Univ, Grad Sch Sci, Dept Biol, Osaka 5588585, Japan.;Koyanagi, M (corresponding author), Osaka Metropolitan Univ, Adv Res Inst Nat Sci &amp; Technol, Osaka 5588585, Japan.;Kuraku, S (corresponding author), Natl Inst Genet, Dept Genom &amp; Evolutionary Biol, Mol Life Hist Lab, Mishima 4118540, Japan.;Kuraku, S (corresponding author), Sokendai Grad Univ Adv Studies, Dept Genet, Mishima 4118540, Japan.</t>
  </si>
  <si>
    <t>koyanagi@omu.ac.jp; skuraku@nig.ac.jp</t>
  </si>
  <si>
    <t>; Kuraku, Shigehiro/B-2801-2009</t>
  </si>
  <si>
    <t>Terakita, Akihisa/0000-0002-8379-8913; Koyanagi, Mitsumasa/0000-0002-7741-918X; Sato, Keiichi/0000-0002-6108-7037; Kuraku, Shigehiro/0000-0003-1464-8388</t>
  </si>
  <si>
    <t>RIKEN; Japan Society for the Promotion of Science (JSPS) KAKENHI [18H02482, 21H00435]; National Institute of Genetics; Grants-in-Aid for Scientific Research [22H02663, 22K15088, 20K21433, 20K21434] Funding Source: KAKEN</t>
  </si>
  <si>
    <t>RIKEN; Japan Society for the Promotion of Science (JSPS) KAKENHI(Ministry of Education, Culture, Sports, Science and Technology, Japan (MEXT)Japan Society for the Promotion of ScienceGrants-in-Aid for Scientific Research (KAKENHI)); National Institute of Genetics; Grants-in-Aid for Scientific Research(Ministry of Education, Culture, Sports, Science and Technology, Japan (MEXT)Japan Society for the Promotion of ScienceGrants-in-Aid for Scientific Research (KAKENHI))</t>
  </si>
  <si>
    <t>We thank Rui Matsumoto, Ryo Nozu, and Kiyomi Murakumo at Okinawa Churaumi Aquarium for their assistance in sampling. Our gratitude extends to Tomohiro Sugihara at the Osaka Metropolitan University for his assistance in laboratory experiments. This study was supported by intramural funds of RIKEN and National Institute of Genetics to S.K. and was also funded by Japan Society for the Promotion of Science (JSPS) KAKENHI grant nos. 18H02482 and 21H00435 to M.K.</t>
  </si>
  <si>
    <t>e2220728120</t>
  </si>
  <si>
    <t>10.1073/pnas.2220728120</t>
  </si>
  <si>
    <t>I2UD5</t>
  </si>
  <si>
    <t>WOS:001001376000006</t>
  </si>
  <si>
    <t>Gómez-Valdivia, F; Holland, PR; Siahaan, A; Dutrieux, P; Young, E</t>
  </si>
  <si>
    <t>Gomez-Valdivia, Felipe; Holland, Paul R.; Siahaan, Antony; Dutrieux, Pierre; Young, Emma</t>
  </si>
  <si>
    <t>Projected West Antarctic Ocean Warming Caused by an Expansion of the Ross Gyre</t>
  </si>
  <si>
    <t>Ross Gyre; West Antartica; Amundsen-Bellingshausen Seas; sea ice loss; climate projections; UKESM</t>
  </si>
  <si>
    <t>PINE ISLAND GLACIER; AMUNDSEN SEA; ICE; WIND; VARIABILITY; CIRCULATION; SENSITIVITY; RETREAT; DRIVEN; SYSTEM</t>
  </si>
  <si>
    <t>We use United Kingdom Earth System Model simulations from the Coupled Model Intercomparison Project 6 to analyze the Ross Gyre (RG) dynamics during the historical 1850-2014 period and under two contrasting future climate-change scenarios. The modeled RG is relatively stable, with an extent and strength that agree with observations. The projections exhibit an eastward gyre expansion into the Amundsen-Bellingshausen Seas that starts during the 2040s. The associated cyclonic ocean circulation enhances the onshore transport of warm Circumpolar Deep Water into the inner regional shelf, a regime change that increases the local subsurface shelf temperatures by up to 1.2 degrees C and is independent of future forcing scenario. The RG expansion is generated by a regional ocean surface stress curl intensification associated with anthropogenic sea ice loss. If realised in reality, such a warming would strongly influence the future stability of the West Antarctic Ice Sheet.</t>
  </si>
  <si>
    <t>[Gomez-Valdivia, Felipe; Holland, Paul R.; Siahaan, Antony; Dutrieux, Pierre; Young, Emma] British Antarctic Survey, Cambridge, England</t>
  </si>
  <si>
    <t>Gómez-Valdivia, F (corresponding author), British Antarctic Survey, Cambridge, England.</t>
  </si>
  <si>
    <t>felmez@bas.ac.uk</t>
  </si>
  <si>
    <t>; Dutrieux, Pierre/B-7568-2012</t>
  </si>
  <si>
    <t>Young, Emma/0000-0002-7069-6109; Dutrieux, Pierre/0000-0002-8066-934X</t>
  </si>
  <si>
    <t>National Environmental Research Council (NERC) [NE/N017978/1, NE/N01801X/1]; PROTECT project; European Union [869304]</t>
  </si>
  <si>
    <t>National Environmental Research Council (NERC)(UK Research &amp; Innovation (UKRI)Natural Environment Research Council (NERC)); PROTECT project; European Union(European Union (EU))</t>
  </si>
  <si>
    <t>This work was partly funded by the National Environmental Research Council (NERC) national capability Grants for the UKESM project, NE/N017978/1 and NE/N01801X/1. This publication was supported by the PROTECT project. PROTECT has received funding from the European Union's Horizon 2020 research and innovation programe under Grant 869304, PROTECT contribution number 59. We thank Robin Smith, two anonymous reviewers, and the associate editor for their constructive comments on this research.</t>
  </si>
  <si>
    <t>e2023GL102978</t>
  </si>
  <si>
    <t>10.1029/2023GL102978</t>
  </si>
  <si>
    <t>A2SC7</t>
  </si>
  <si>
    <t>WOS:000953672900001</t>
  </si>
  <si>
    <t>Pöppelmeier, F; Baggenstos, D; Grimmer, M; Liu, ZJ; Schmitt, J; Fischer, H; Stocker, TF</t>
  </si>
  <si>
    <t>Poppelmeier, Frerk; Baggenstos, Daniel; Grimmer, Markus; Liu, Zhijun; Schmitt, Jochen; Fischer, Hubertus; Stocker, Thomas F.</t>
  </si>
  <si>
    <t>The Effect of Past Saturation Changes on Noble Gas Reconstructions of Mean Ocean Temperature</t>
  </si>
  <si>
    <t>mean ocean temperature; last glacial maximum; noble gases; ocean modeling</t>
  </si>
  <si>
    <t>WATER; SOLUBILITY; SENSITIVITY; VENTILATION; CONSTRAINTS; ISOTOPE; KRYPTON; HELIUM; ARGON; MODEL</t>
  </si>
  <si>
    <t>The ocean's immense ability to store and release heat on centennial to millennial time scales modulates the impacts of climate perturbations. To gain a better understanding of past variations in mean ocean temperature (MOT), a noble gas-based proxy measured from ancient air in ice cores has been developed. Here we assess non-temperature effects that may influence the atmospheric noble gas ratios reconstructed from polar ice and how they impact the temperature signal with an intermediate complexity Earth system model. We find that changes in wind speed, sea-ice extent, and ocean circulation have partially compensating effects on mean-ocean noble gas saturation, leading to a slight reduction of noble gas undersaturation at the Last Glacial Maximum (LGM). Taking these effects and ice core measurements into account, our model suggests a revised MOT difference between the LGM and pre-industrial of -2.1 +/- 0.7 degrees C that is also in improved agreement with other independent temperature reconstructions.</t>
  </si>
  <si>
    <t>[Poppelmeier, Frerk; Baggenstos, Daniel; Grimmer, Markus; Liu, Zhijun; Schmitt, Jochen; Fischer, Hubertus; Stocker, Thomas F.] Univ Bern, Phys Inst, Climate &amp; Environm Phys, Bern, Switzerland; [Poppelmeier, Frerk; Baggenstos, Daniel; Grimmer, Markus; Liu, Zhijun; Schmitt, Jochen; Fischer, Hubertus; Stocker, Thomas F.] Univ Bern, Oeschger Ctr Climate Change Res, Bern, Switzerland; [Baggenstos, Daniel] Australian Antarctic Div, Kingston, Tas, Australia; [Liu, Zhijun] GFZ German Res Ctr Geosci, Potsdam, Germany</t>
  </si>
  <si>
    <t>University of Bern; University of Bern; Australian Antarctic Division; Helmholtz Association; Helmholtz-Center Potsdam GFZ German Research Center for Geosciences</t>
  </si>
  <si>
    <t>Pöppelmeier, F (corresponding author), Univ Bern, Phys Inst, Climate &amp; Environm Phys, Bern, Switzerland.;Pöppelmeier, F (corresponding author), Univ Bern, Oeschger Ctr Climate Change Res, Bern, Switzerland.</t>
  </si>
  <si>
    <t>frerk.poeppelmeier@unibe.ch</t>
  </si>
  <si>
    <t>Schmitt, Jochen/B-7893-2009; Baggenstos, Daniel/AAK-5751-2021; Fischer, Hubertus/A-1211-2014</t>
  </si>
  <si>
    <t>Schmitt, Jochen/0000-0003-4695-3029; Baggenstos, Daniel/0000-0001-9756-6884; Poppelmeier, Frerk/0000-0003-4050-2550; Liu, Zhijun/0000-0002-4269-3875; Stocker, Thomas F./0000-0003-1245-2728; Fischer, Hubertus/0000-0002-2787-4221; Grimmer, Markus/0000-0001-8750-0582</t>
  </si>
  <si>
    <t>European Union [101023443, 820970]; Swiss National Science Foundation [200020_200492, 200020_200328]; Marie Curie Actions (MSCA) [101023443] Funding Source: Marie Curie Actions (MSCA); Swiss National Science Foundation (SNF) [200020_200492] Funding Source: Swiss National Science Foundation (SNF)</t>
  </si>
  <si>
    <t>European Union(European Union (EU)); Swiss National Science Foundation(Swiss National Science Foundation (SNSF)); Marie Curie Actions (MSCA)(Marie Curie Actions); Swiss National Science Foundation (SNF)(Swiss National Science Foundation (SNSF))</t>
  </si>
  <si>
    <t>This study was supported by the European Union's Horizon 2020 research and innovation program under Grant 101023443 (project CliMoTran) to FP, No 820970 (project TiPES) to TFS. The work reflects only the authors' view; the European Commission and their executive agency are not responsible for any use that may be made of the information the work contains. TFS and HF are further supported by the Swiss National Science Foundation (Grants 200020_200492 and 200020_200328, respectively). Calculations were performed on UBELIX, the high-performance computing cluster at the University of Bern.</t>
  </si>
  <si>
    <t>e2022GL102055</t>
  </si>
  <si>
    <t>10.1029/2022GL102055</t>
  </si>
  <si>
    <t>A2WC7</t>
  </si>
  <si>
    <t>WOS:000953777400001</t>
  </si>
  <si>
    <t>Carrasco, CV; Boy, CC; Malits, A; Martín, J; Capitanio, FL</t>
  </si>
  <si>
    <t>Carrasco, Constanza Valencia; Boy, Claudia Clementina; Malits, Andrea; Martin, Jacobo; Capitanio, Fabiana L.</t>
  </si>
  <si>
    <t>Spatial distribution of zooplankton in the Beagle Channel in relation to hydrographic and biological drivers in different seasons</t>
  </si>
  <si>
    <t>Copepod groups; Seasonality; Inner-outer sectors; Beagle Channel; Tierra del Fuego</t>
  </si>
  <si>
    <t>MACROCYSTIS-PYRIFERA; COMMUNITY STRUCTURE; FOOD-WEB; PHYTOPLANKTON; VARIABILITY; MAGELLAN; BACTERIA; PLANKTON; CARBON; PICOPLANKTON</t>
  </si>
  <si>
    <t>This study aimed to evaluate the spatial distribution and seasonal variability of zooplankton, mainly copepod groups, along the Beagle Channel (BC), an interoceanic passage at the southernmost tip of South America. We focused on the Argentine part of the BC, which comprises an inner sector under a strong continental influence and an outer sector influenced by offshore sub-Antarctic waters, separated by the narrow Mackinlay Strait. We analyzed zooplankton samples collected with 67 mu m- and 200 mu m-mesh nets in the inner and outer sectors of the BC during different seasons from 2014 to 2018, along with oceanographic parameters, total chlorophyll a (Chl a) concentration, and microbial community composition. Results showed a seasonal pattern, where zooplankton abundance was highest during spring and summer, with the largest-sized calanoid copepods being dominant in the inner sector in spring and in the outer sector in summer, and lowest in autumn and winter, small calanoid copepods being dominant in winter. Calanoid and cyclopoid copepodites and copepod nauplii were more abundant in spring and summer than in the other seasons. Conversely, adults of both groups were predominant in autumn and winter. The variables that better explained the abundance of the main copepod groups were Chl a concentration, picoeukaryotes abundance, and, to a lesser extent, water column stratification. Our findings suggest the existence of two seasonal patterns in the mid-eastern BC: a classical herbivore food web in springsummer under high phytoplankton biomass, where the presence of larger copepods is associated with higher trophic levels, and a microbial food web in autumn-winter, with low phytoplankton biomass, characterized by great dominance of picoplankton that supports the grazing of the smallest copepods.</t>
  </si>
  <si>
    <t>[Carrasco, Constanza Valencia; Capitanio, Fabiana L.] Univ Buenos Aires, Consejo Nacl Invest Cient &amp; Tecn IBBEA, Inst Biodiversidad &amp; Biol Expt &amp; Aplicada, CONICET, Intendente Guiraldes 2160,Ciudad Univ,C1428EGA, Buenos Aires, DF, Argentina; [Boy, Claudia Clementina; Malits, Andrea; Martin, Jacobo] Ctr Austral Invest Cient CADIC CONICET, Bernardo Houssay 200,V9410BFD, Ushuaia, Tierra Del Fueg, Argentina; [Malits, Andrea] Univ Vienna, Dept Funct &amp; Evolutionary Biol, Vienna, Austria; [Martin, Jacobo] Univ Barcelona, GRC Geociencies Marines, Dept Dinam Terra &amp; Ocea, Barcelona, Spain; [Capitanio, Fabiana L.] Univ Buenos Aires, Fac Ciencias Exactas &amp; Nat, Dept Biodiversidad &amp; Biol Expt, Intendente Guiraldes 2160,Ciudad Univ, Buenos Aires, DF, Argentina</t>
  </si>
  <si>
    <t>Consejo Nacional de Investigaciones Cientificas y Tecnicas (CONICET); University of Buenos Aires; Consejo Nacional de Investigaciones Cientificas y Tecnicas (CONICET); University of Vienna; University of Barcelona; University of Buenos Aires</t>
  </si>
  <si>
    <t>Capitanio, FL (corresponding author), Univ Buenos Aires, Consejo Nacl Invest Cient &amp; Tecn IBBEA, Inst Biodiversidad &amp; Biol Expt &amp; Aplicada, CONICET, Intendente Guiraldes 2160,Ciudad Univ,C1428EGA, Buenos Aires, DF, Argentina.</t>
  </si>
  <si>
    <t>ccboy@conicet.gov.ar; j.martin@conicet.gov.ar; capitani@ege.fcen.uba.ar</t>
  </si>
  <si>
    <t>Martin, Jacobo/F-1388-2011</t>
  </si>
  <si>
    <t>Martin, Jacobo/0000-0001-8933-7731</t>
  </si>
  <si>
    <t>Pampa Azul interministerial initiative; Argentinian Ministry of Science, Technology and Productive Innovation; Consejo Nacional de Investigaciones Cientificas y Te?cnicas (CONICET) [PIP 11220200100121CO, 2021-2023]; Universidad de Buenos Aires [UBACyT 20020190100133BA, 2020-2024]; Ministerio de Ciencia, Tecnologia e Innovaci?on, Argentina [PIDTPA C4]; CONICET [COP-UE 2016: 22920160100077CO]; ANPCyT [PICT-2014-3106]; Prince Albert II of Monaco Foundation</t>
  </si>
  <si>
    <t>Pampa Azul interministerial initiative; Argentinian Ministry of Science, Technology and Productive Innovation; Consejo Nacional de Investigaciones Cientificas y Te?cnicas (CONICET)(Consejo Nacional de Investigaciones Cientificas y Tecnicas (CONICET)); Universidad de Buenos Aires(University of Buenos Aires); Ministerio de Ciencia, Tecnologia e Innovaci?on, Argentina; CONICET(Consejo Nacional de Investigaciones Cientificas y Tecnicas (CONICET)); ANPCyT(ANPCyT); Prince Albert II of Monaco Foundation</t>
  </si>
  <si>
    <t>Operating costs were afforded by funds of the creation law of MPA Namuncur?a-Banco Burdwood (Law 26.875) . This research is part of the Pampa Azul interministerial initiative promoted by the Argentinian Ministry of Science, Technology and Productive Innovation. This study was partially supported by the Consejo Nacional de Investigaciones Cientificas y Te?cnicas (CONICET) (PIP 11220200100121CO, 2021-2023) , the Universidad de Buenos Aires (UBACyT 20020190100133BA, 2020-2024) , the Ministerio de Ciencia, Tecnologia e Innovaci?on, Argentina (PIDTPA C4) . AM was funded by CONICET (PIP 11220150100368) and ANPCyT (PICT-2015-0384) . JM was funded by CONICET (COP-UE 2016: 22920160100077CO) and ANPCyT (PICT-2014-3106) . The project benefits from the support of the Prince Albert II of Monaco Foundation (http:// www.fpa2.org) .</t>
  </si>
  <si>
    <t>10.1016/j.jmarsys.2023.103880</t>
  </si>
  <si>
    <t>D6YP3</t>
  </si>
  <si>
    <t>WOS:000970167300001</t>
  </si>
  <si>
    <t>Egas, C; Galbán-Malagón, C; Castro-Nallar, E; Molina-Montenegro, MA</t>
  </si>
  <si>
    <t>Egas, Claudia; Galban-Malagon, Cristobal; Castro-Nallar, Eduardo; Molina-Montenegro, Marco A.</t>
  </si>
  <si>
    <t>Role of Microbes in the degradation of organic semivolatile compounds in polar ecosystems: A review</t>
  </si>
  <si>
    <t>Arctic; Antarctica; Persistent Organic Pollutants (POPs); Polycyclic Aromatic Hydrocarbons (PAHs); Polar microorganisms</t>
  </si>
  <si>
    <t>POLYCYCLIC AROMATIC-HYDROCARBONS; POLYBROMINATED DIPHENYL ETHERS; POLYCHLORINATED-BIPHENYLS PCBS; KING GEORGE ISLAND; SOUTH SHETLAND ISLANDS; FLAME RETARDANTS; ORGANOCHLORINE PESTICIDES; NORTH-ATLANTIC; ARCTIC MARINE; NY-ALESUND</t>
  </si>
  <si>
    <t>The Arctic and the Antarctic Continent correspond to two eco-regions with extreme climatic conditions. These regions are exposed to the presence of contaminants resulting from human activity (local and global), which, in turn, represent a challenge for life forms in these environments. Anthropogenic pollution by semi-volatile organic compounds (SVOCs) in polar ecosystems has been documented since the 1960s. Currently, various studies have shown the presence of SVOCs and their bioaccumulation and biomagnification in the polar regions with negative effects on biodiversity and the ecosystem. Although the production and use of these compounds has been regulated, their persistence continues to threaten biodiversity and the ecosystem. Here, we summarize the current literature regarding microbes and SVOCs in polar regions and pose that bioremediation by native microorganisms is a feasible strategy to mitigate the presence of SVOCs. Our systematic review revealed that microbial communities in polar environments represent a wide reservoir of biodiversity adapted to extreme conditions, found both in terrestrial and aquatic environments, freely or in association with vegetation. Microorganisms adapted to these environments have the potential for biodegradation of SVOCs through a variety of genes encoding enzymes with the capacity to metabolize SVOCs. We suggest that a comprehensive approach at the molecular and ecological level is required to mitigate SVOCs presence in these regions. This is especially patent when considering that SVOCs degrade at slow rates and possess the ability to accumulate in polar ecosystems. The implications of SVOC degradation are relevant for the preservation of polar ecosystems with consequences at a global level.</t>
  </si>
  <si>
    <t>[Egas, Claudia; Castro-Nallar, Eduardo; Molina-Montenegro, Marco A.] Univ Talca, Ctr Integrat Ecol CIE, Campus Lircay, Talca, Chile; [Egas, Claudia; Molina-Montenegro, Marco A.] Univ Talca, Inst Ciencias Biol ICB, Campus Lircay, Talca, Chile; [Galban-Malagon, Cristobal] Univ Mayor, Ctr Genom Ecol &amp; Medio Ambiente GEMA, Campus Huechuraba, Santiago, Chile; [Galban-Malagon, Cristobal] Florida Int Univ, Inst Environm, Miami, FL 33199 USA; [Castro-Nallar, Eduardo] Univ Talca, Fac Ciencias Salud, Dept Microbiol, Campus Lircay, Talca, Chile; [Molina-Montenegro, Marco A.] Univ Catolica Maule, Ctr Invest Estudios Avanzados Maule CIEAM, Talca, Chile</t>
  </si>
  <si>
    <t>Universidad de Talca; Universidad de Talca; Universidad Mayor; State University System of Florida; Florida International University; Universidad de Talca; Universidad Catolica del Maule</t>
  </si>
  <si>
    <t>Molina-Montenegro, MA (corresponding author), Univ Talca, Avda Lircay S-N, Talca, Chile.</t>
  </si>
  <si>
    <t>marco.molina@utalca.cl</t>
  </si>
  <si>
    <t>Galbán-Malagón, Cristobal/B-2170-2017; Castro-Nallar, Eduardo/I-5925-2019; Galban Malagon, Cristobal/J-2384-2015</t>
  </si>
  <si>
    <t>Castro-Nallar, Eduardo/0000-0003-4384-8661; Galban Malagon, Cristobal/0000-0001-8397-5804</t>
  </si>
  <si>
    <t>Instituto Antartico Chileno (INACH) [DG_03-21, RT_12_17]; Agencia Nacional de Investigacion y Desarrollo (ANID) National Doctoral Fellowship [21191611]; FONDECYT [1210946, 1200834]; [ANID_PIA_ACT192057]</t>
  </si>
  <si>
    <t>Instituto Antartico Chileno (INACH); Agencia Nacional de Investigacion y Desarrollo (ANID) National Doctoral Fellowship; FONDECYT(Comision Nacional de Investigacion Cientifica y Tecnologica (CONICYT)CONICYT FONDECYT);</t>
  </si>
  <si>
    <t>We would like to thank the Instituto Antartico Chileno (INACH) and its support program for graduate thesis in Antarctic issues; grant number DG_03-21 and RT_12_17, and Agencia Nacional de Investigacion y Desarrollo (ANID) National Doctoral Fellowship; number 21191611 and FONDECYT Regular 1210946 and 1200834. We also thank the support of the grant ANID_PIA_ACT192057.</t>
  </si>
  <si>
    <t>10.1016/j.scitotenv.2023.163046</t>
  </si>
  <si>
    <t>D5LH6</t>
  </si>
  <si>
    <t>WOS:000969142100001</t>
  </si>
  <si>
    <t>Vu, Q; Zammit-Mangion, A; Chuter, SJ</t>
  </si>
  <si>
    <t>Vu, Quan; Zammit-Mangion, Andrew; Chuter, Stephen J.</t>
  </si>
  <si>
    <t>Constructing large nonstationary spatio-temporal covariance models via compositional warpings</t>
  </si>
  <si>
    <t>SPATIAL STATISTICS</t>
  </si>
  <si>
    <t>Deep learning; Deformation; Environmental statistics; Gaussian process; Nonseparable; Vecchia approximation</t>
  </si>
  <si>
    <t>GAUSSIAN PROCESS MODELS; GREENLAND ICE-SHEET; ELEVATION CHANGES; SPACE; ANTARCTICA</t>
  </si>
  <si>
    <t>Understanding and predicting environmental phenomena often requires the construction of spatio-temporal statistical models, which are typically Gaussian processes. A common assumption made on Gaussian processes is that of covariance stationarity, which is unrealistic in many geophysical applications. In this article, we introduce a deep-learning-inspired approach to construct descriptive nonstationary spatio-temporal models by modeling stationary processes on warped spatio-temporal domains. The warping functions we use are constructed using several simple injective warping units which, when combined through composition, can induce complex warpings. A stationary spatio-temporal covariance function on the warped domain induces covariance nonstationarity on the original domain. Sparse linear algebraic methods are used to reduce the computational complexity when fitting the model in a big data setting. We show that our proposed nonstationary spatio-temporal model can capture covariance nonstationarity in both space and time, and provide better probabilistic predictions than conventional stationary models in both simulation studies and on a real-world data set. (c) 2023 Elsevier B.V. All rights reserved.</t>
  </si>
  <si>
    <t>[Vu, Quan; Zammit-Mangion, Andrew] Univ Wollongong, Sch Math &amp; Appl Stat, Wollongong, Australia; [Zammit-Mangion, Andrew] Univ Wollongong, Securing Antarcticas Environm Future, Wollongong, Australia; [Chuter, Stephen J.] Univ Bristol, Bristol Glaciol Ctr, Sch Geog Sci, Bristol, England</t>
  </si>
  <si>
    <t>University of Wollongong; University of Wollongong; University of Bristol</t>
  </si>
  <si>
    <t>Vu, Q (corresponding author), Univ Wollongong, Sch Math &amp; Appl Stat, Wollongong, Australia.</t>
  </si>
  <si>
    <t>quanv@uow.edu.au</t>
  </si>
  <si>
    <t>Chuter, Stephen/0000-0002-2189-6235</t>
  </si>
  <si>
    <t>University Postgraduate Award from the University of Wollongong, Australia; Australian Research Council (ARC) Discovery Early Career Research Award (DECRA) [DE180100203]; ARC Special Research Initiative in Excellence in Antarctic Science (SRIEAS) [SR200100005]; European Research Council (ERC) under the European Union [694188]; European Space Agency (ESA) as part of the Climate Change Initiative (CCI) fellowship (ESA ESRIN) [4000133466/20/I/NB]</t>
  </si>
  <si>
    <t>University Postgraduate Award from the University of Wollongong, Australia; Australian Research Council (ARC) Discovery Early Career Research Award (DECRA)(Australian Research Council); ARC Special Research Initiative in Excellence in Antarctic Science (SRIEAS); European Research Council (ERC) under the European Union(European Research Council (ERC)); European Space Agency (ESA) as part of the Climate Change Initiative (CCI) fellowship (ESA ESRIN)</t>
  </si>
  <si>
    <t>Q.V. was supported by a University Postgraduate Award from the University of Wollongong, Australia. A.Z.-M. was supported by the Australian Research Council (ARC) Discovery Early Career Research Award (DECRA) DE180100203 and by the ARC Special Research Initiative in Excellence in Antarctic Science (SRIEAS) Grant SR200100005 Securing Antarctica's Environmental Future. S.J.C. was supported by the European Research Council (ERC) under the European Union's Horizon 2020 research and innovation programme under grant agreement No 694188 (GlobalMass) and by the European Space Agency (ESA) as part of the Climate Change Initiative (CCI) fellowship (ESA ESRIN/Contract No. 4000133466/20/I/NB).</t>
  </si>
  <si>
    <t>2211-6753</t>
  </si>
  <si>
    <t>SPAT STAT-NETH</t>
  </si>
  <si>
    <t>Spat. Stat.</t>
  </si>
  <si>
    <t>10.1016/j.spasta.2023.100742</t>
  </si>
  <si>
    <t>Geosciences, Multidisciplinary; Mathematics, Interdisciplinary Applications; Remote Sensing; Statistics &amp; Probability</t>
  </si>
  <si>
    <t>Geology; Mathematics; Remote Sensing</t>
  </si>
  <si>
    <t>D8JH1</t>
  </si>
  <si>
    <t>WOS:000971130200001</t>
  </si>
  <si>
    <t>McGrath, D; Zeller, L; Bonnell, R; Reis, W; Kampf, S; Williams, K; Okal, M; Olsen-Mikitowicz, A; Bump, E; Sears, M; Rittger, K</t>
  </si>
  <si>
    <t>McGrath, Daniel; Zeller, Lucas; Bonnell, Randall; Reis, Wyatt; Kampf, Stephanie; Williams, Keith; Okal, Marianne; Olsen-Mikitowicz, Alex; Bump, Ella; Sears, Megan; Rittger, Karl</t>
  </si>
  <si>
    <t>Declines in Peak Snow Water Equivalent and Elevated Snowmelt Rates Following the 2020 Cameron Peak Wildfire in Northern Colorado</t>
  </si>
  <si>
    <t>seasonal snow; wildfire; snow water equivalent; melt rate; albedo; energy balance</t>
  </si>
  <si>
    <t>ENERGY-BALANCE; ACCUMULATION; ABLATION</t>
  </si>
  <si>
    <t>Wildfires are increasingly impacting high-elevation forests in the western United States that accumulate seasonal snowpacks, presenting a major disturbance to a critical water reservoir for the region. In the first winter following the 2020 Cameron Peak wildfire in Colorado, the peak snow water equivalent in a high burn severity forest was 17%-25% less than nearby unburned sites. The loss of the forest canopy and a lower surface albedo led to an increasingly positive net shortwave radiation balance in the burned area, resulting in melt rates that were 82%-144% greater than unburned sites and snow disappearance occurred 11-13 days earlier. Late-season snow storms temporarily buried soot, thus increasing the albedo and delaying melt-out by an estimated 4 days per storm in our study area. While these storms temporarily reduce the higher melt rates imposed by wildfire impacts, SNOTEL measurements show that they occur non-uniformly across the western U.S.</t>
  </si>
  <si>
    <t>[McGrath, Daniel; Zeller, Lucas; Bonnell, Randall; Reis, Wyatt] Colorado State Univ, Dept Geosci, Ft Collins, CO 80523 USA; [Kampf, Stephanie; Olsen-Mikitowicz, Alex; Bump, Ella; Sears, Megan] Colorado State Univ, Dept Ecosyst Sci &amp; Sustainabil, Ft Collins, CO USA; [Williams, Keith; Okal, Marianne] UNAVCO Inc, Boulder, CO USA; [Rittger, Karl] Univ Colorado, Inst Arctic &amp; Antarctic Res, Boulder, CO USA</t>
  </si>
  <si>
    <t>Colorado State University; Colorado State University; University of Colorado System; University of Colorado Boulder</t>
  </si>
  <si>
    <t>McGrath, D (corresponding author), Colorado State Univ, Dept Geosci, Ft Collins, CO 80523 USA.</t>
  </si>
  <si>
    <t>daniel.mcgrath@colostate.edu</t>
  </si>
  <si>
    <t>Kampf, Stephanie/F-4608-2011</t>
  </si>
  <si>
    <t>Kampf, Stephanie/0000-0001-8991-2679; Zeller, Lucas/0000-0001-5017-1471; Bonnell, Randall/0000-0002-8812-351X; Reis, Wyatt/0000-0002-2801-5357; MCGRATH, DANIEL/0000-0002-9462-6842</t>
  </si>
  <si>
    <t>NASA [80NSSC18K0877, 80NSSC22K0685, 80NSSC20K1721, 80NSSC21K0997, 80NSSC201349, 80NSSC18K1489, EAR 2101068]; NSF [80NSSC20K1624]; USGS under NSF [EAR-1724794]</t>
  </si>
  <si>
    <t>NASA(National Aeronautics &amp; Space Administration (NASA)); NSF(National Science Foundation (NSF)); USGS under NSF</t>
  </si>
  <si>
    <t>This research was funded, in part, by NASA 80NSSC18K0877 and NSF-EAR 2101068. R.B. acknowledges NASA award 80NSSC20K1624. K.R. was supported by NASA awards 80NSSC22K0685, 80NSSC20K1721, 80NSSC21K0997, 80NSSC201349, and 80NSSC18K1489. We thank David Hatchell, Don Campbell, and Gary Fager at Malvern Panalytical for supporting the spectroradiometer observations. Thanks to Brianna Rick, Nicolas Bayou, Samuel Beane, Diana Krupnik, and Erika Schreiber for additional field assistance. The TLS scans were provided by the GAGE Facility, operated by UNAVCO, Inc., with support from NSF, NASA, and USGS under NSF Cooperative Agreement EAR-1724794. We thank Paul Brooks, an anonymous reviewer, and Editor Valeriy Ivanov for the constructive feedback that helped focus and improve the manuscript.</t>
  </si>
  <si>
    <t>e2022GL101294</t>
  </si>
  <si>
    <t>10.1029/2022GL101294</t>
  </si>
  <si>
    <t>E1ZG5</t>
  </si>
  <si>
    <t>WOS:000973594400001</t>
  </si>
  <si>
    <t>Chavez-Molina, V; Nocito, ES; Carr, E; Cavanagh, RD; Sylvester, Z; Becker, SL; Dorman, DD; Wallace, B; White, C; Brooks, CM</t>
  </si>
  <si>
    <t>Chavez-Molina, Vasco.; Nocito, Emily S.; Carr, Eloise; Cavanagh, Rachel D.; Sylvester, Zephyr; Becker, Sarah L.; Dorman, Diana D.; Wallace, Bryan; White, Casey; Brooks, Cassandra M.</t>
  </si>
  <si>
    <t>Managing for climate resilient fisheries: Applications to the Southern Ocean</t>
  </si>
  <si>
    <t>OCEAN &amp; COASTAL MANAGEMENT</t>
  </si>
  <si>
    <t>Climate resilience; Ecosystem-based fishery management (EBFM); Antarctic krill; Toothfish; Commission for the Conservation of Antarctic; Marine Living Resources (CCAMLR)</t>
  </si>
  <si>
    <t>ECOSYSTEM-BASED MANAGEMENT; MARINE PROTECTED AREAS; ANTARCTIC TOOTHFISH; FISHING COMMUNITIES; CHANGING CLIMATE; STOCK ASSESSMENT; CHANGE IMPACTS; ADAPTATION; CONSERVATION; SCIENCE</t>
  </si>
  <si>
    <t>Climate change is having profound effects on populations of fished species and the ecosystems on which they depend, lending to a growing body of work that advocates for climate resilience to be a priority in fishery management. Here, we provide a comprehensive analysis of the tools needed to manage for climate resiliency. The Antarctic region is among the most vulnerable to climate change, and thus, we then consider climate resilient management tools utilized by the Commission for the Conservation of Antarctic Marine Living Resources (CCAMLR), the body responsible for the management of Antarctic marine living resources as part of the Antarctic Treaty System. We note progress, gaps, and opportunities for implementation. Across the literature, ecosystem -based management was cited as an appropriate tool for climate resilience of marine ecosystems, as was the use of climate model outputs (projections and simulations), marine protected areas (MPAs), and dynamic stock as-sessments. CCAMLR has a unique position where its Convention effectively mandates the principles of an ecosystem-based precautionary approach for managing fisheries, and many of its Member States have been advocating for climate initiatives within this approach. While CCAMLR has made limited overall progress to-wards ensuring climate resilience, it has advanced in some areas, such as MPA implementation, developing a risk assessment for krill, and including statements on climate change in fishery reports, although there is much work to be done. While climate change remains a worldwide issue that must be addressed on a global scale, CCAMLR holds the responsibility for adaptively managing Southern Ocean marine living resources for climate resilience.</t>
  </si>
  <si>
    <t>[Chavez-Molina, Vasco.; Nocito, Emily S.; Sylvester, Zephyr; Becker, Sarah L.; Dorman, Diana D.; White, Casey; Brooks, Cassandra M.] Univ Colorado, Dept Environm Studies, Boulder, CO 80309 USA; [Carr, Eloise] Australia Inst Tasmania, Hobart, Tas 7000, Australia; [Cavanagh, Rachel D.] British Antarctic Survey, High Cross,Madingley Rd, Cambridge CB3 0ET, England; [Wallace, Bryan] Ecolibrium Inc, Boulder, CO 80303 USA; [Wallace, Bryan] Univ Colorado, Dept Ecol &amp; Evolutionary Biol, Boulder, CO USA</t>
  </si>
  <si>
    <t>University of Colorado System; University of Colorado Boulder; UK Research &amp; Innovation (UKRI); Natural Environment Research Council (NERC); NERC British Antarctic Survey; University of Colorado System; University of Colorado Boulder</t>
  </si>
  <si>
    <t>Chavez-Molina, V (corresponding author), Univ Colorado, Dept Environm Studies, Boulder, CO 80309 USA.</t>
  </si>
  <si>
    <t>Vach2200@colorado.edu; emily.nocito@colorado.edu; eloise@australiainstitute.org.au; rcav@bas.ac.uk; Zephyr.Sylvester@colorado.edu; Sarah.Becker-2@colorado.edu; Diana.Dorman@colorado.edu; bryan@ecolibrium-inc.com; Casey.White-1@colorado.edu; Cassandra.Brooks@colorado.edu</t>
  </si>
  <si>
    <t>Chavez-Molina, Vasco/0000-0003-0076-2489; Nocito, Emily/0000-0003-3123-6326; Sylvester, Zephyr/0000-0002-2057-3741; Carr, Eloise/0000-0003-1725-9759; Wallace, Bryan/0000-0001-9537-3501</t>
  </si>
  <si>
    <t>Pew Charitable Trusts; Natural Environment Research Council (NERC)</t>
  </si>
  <si>
    <t>Pew Charitable Trusts; Natural Environment Research Council (NERC)(UK Research &amp; Innovation (UKRI)Natural Environment Research Council (NERC))</t>
  </si>
  <si>
    <t>This research was funded in part by the Pew Charitable Trusts. RDC is supported by Natural Environment Research Council (NERC) core funding to the British Antarctic Survey Ecosystems Programme. We thank Andrew Constable, Peter Abrams, and an anonymous reviewer for their suggestions which greatly improved our manuscript.</t>
  </si>
  <si>
    <t>0964-5691</t>
  </si>
  <si>
    <t>1873-524X</t>
  </si>
  <si>
    <t>OCEAN COAST MANAGE</t>
  </si>
  <si>
    <t>Ocean Coastal Manage.</t>
  </si>
  <si>
    <t>10.1016/j.ocecoaman.2023.106580</t>
  </si>
  <si>
    <t>Oceanography; Water Resources</t>
  </si>
  <si>
    <t>D3DM9</t>
  </si>
  <si>
    <t>WOS:000967563600001</t>
  </si>
  <si>
    <t>Darham, S; Zakaria, NN; Zulkharnain, A; Sabri, S; Khalil, KA; Merican, F; Gomez-Fuentes, C; Lim, S; Ahmad, SA</t>
  </si>
  <si>
    <t>Darham, Syazani; Zakaria, Nur Nadhirah; Zulkharnain, Azham; Sabri, Suriana; Khalil, Khalilah Abdul; Merican, Faradina; Gomez-Fuentes, Claudio; Lim, Sooa; Ahmad, Siti Aqlima</t>
  </si>
  <si>
    <t>Antarctic heavy metal pollution and remediation efforts: state of the art of research and scientific publications</t>
  </si>
  <si>
    <t>BRAZILIAN JOURNAL OF MICROBIOLOGY</t>
  </si>
  <si>
    <t>Heavy metal pollution; Antarctica; Remediation; Bibliometric analysis; Scopus</t>
  </si>
  <si>
    <t>PERMEABLE REACTIVE BARRIER; CASEY-STATION; OXIDATIVE STRESS; MCMURDO SOUND; TRACE-METALS; SCOTT BASE; ROSS SEA; CONTAMINATION; SOIL; HYDROCARBON</t>
  </si>
  <si>
    <t>In Antarctica, human activities have been reported to be the major cause of the accumulation of heavy metal contaminants. A comprehensive bibliometric analysis of publications on heavy metal contamination in Antarctica from year 2000 to 2020 was performed to obtain an overview of the current landscape in this line of research. A total of 106 documents were obtained from Scopus, the largest citation database. Extracted data were analysed, and VOSviewer software was used to visualise trends. The result showed an increase in publications and citations in the past 20 years indicating the rising interest on heavy metal contamination in the Antarctic region. Based on the analysis of keywords, the publications largely discuss various types of heavy metals found in the Antarctic water and sediment. The analysis on subject areas detects multiple disciplines involved, wherein the environmental science was well-represented. The top countries and authors producing the most publication in this field were from Australia, China, Brazil and Chile. Numerous efforts have been exercised to investigate heavy metal pollution and its mitigation approaches in the region in the past decades. This paper not only is relevant for scholars to understand the development status and trends in this field but also offers clear insights on the future direction of Antarctic heavy metal contamination and remediation research.</t>
  </si>
  <si>
    <t>[Darham, Syazani; Zakaria, Nur Nadhirah; Ahmad, Siti Aqlima] Univ Putra Malaysia, Fac Biotechnol &amp; Biomol Sci, Dept Biochem, Serdang 43400, Selangor, Malaysia; [Zulkharnain, Azham] Shibaura Inst Technol, Coll Syst Engn &amp; Sci, Dept Biosci &amp; Engn, 307 Fukasaku,Minuma Ku, Saitama 3378570, Japan; [Sabri, Suriana] Univ Putra Malaysia, Fac Biotechnol &amp; Biomol Sci, Dept Microbiol, Serdang 43400, Selangor, Malaysia; [Khalil, Khalilah Abdul] Univ Teknol MARA, Fac Appl Sci, Sch Biol, Shah Alam 40450, Selangor, Malaysia; [Merican, Faradina] Univ Sains Malaysia, Sch Biol Sci, Minden 11800, Pulai Pinang, Malaysia; [Gomez-Fuentes, Claudio] Univ Magallanes, Dept Chem Engn, Avda Bulnes 01855, Punta Arenas, Chile; [Gomez-Fuentes, Claudio; Ahmad, Siti Aqlima] Univ Magallanes, Ctr Res &amp; Antarctic Environm Monitoring CIMAA, Avda Bulnes 01855, Punta Arenas, Chile; [Lim, Sooa] Hoseo Univ, Dept Pharmaceut Engn, Asan 31499, Chungnam, South Korea</t>
  </si>
  <si>
    <t>Universiti Putra Malaysia; Shibaura Institute of Technology; Universiti Putra Malaysia; Universiti Teknologi MARA; Universiti Sains Malaysia; Universidad de Magallanes; Universidad de Magallanes; Hoseo University</t>
  </si>
  <si>
    <t>Ahmad, SA (corresponding author), Univ Putra Malaysia, Fac Biotechnol &amp; Biomol Sci, Dept Biochem, Serdang 43400, Selangor, Malaysia.;Ahmad, SA (corresponding author), Univ Magallanes, Ctr Res &amp; Antarctic Environm Monitoring CIMAA, Avda Bulnes 01855, Punta Arenas, Chile.</t>
  </si>
  <si>
    <t>aqlima@upm.edu.my</t>
  </si>
  <si>
    <t>Darham, Syazani/ISU-3369-2023; Merican, Faradina/F-6785-2019</t>
  </si>
  <si>
    <t>Ahmad, Siti Aqlima/0000-0002-7625-3704</t>
  </si>
  <si>
    <t>1517-8382</t>
  </si>
  <si>
    <t>1678-4405</t>
  </si>
  <si>
    <t>BRAZ J MICROBIOL</t>
  </si>
  <si>
    <t>Braz. J. Microbiol.</t>
  </si>
  <si>
    <t>10.1007/s42770-023-00949-9</t>
  </si>
  <si>
    <t>FG3Z1</t>
  </si>
  <si>
    <t>WOS:000959690200001</t>
  </si>
  <si>
    <t>Zhang, WJ; Liu, YD; Zheng, KY; Xing, JY; Li, Q; Gu, CX; Wang, ZY; Shao, HB; Guo, C; He, H; Wang, HL; Sung, YY; Mok, WJ; Wong, LL; Liang, YT; McMinn, A; Wang, M</t>
  </si>
  <si>
    <t>Zhang, Wenjing; Liu, Yundan; Zheng, Kaiyang; Xing, Jinyan; Li, Qian; Gu, Chengxiang; Wang, Ziyue; Shao, Hongbing; Guo, Cui; He, Hui; Wang, Hualong; Sung, Yeong Yik; Mok, Wen Jye; Wong, Li Lian; Liang, Yantao; McMinn, Andrew; Wang, Min</t>
  </si>
  <si>
    <t>Discovery of an Abundant Viral Genus in Polar Regions through the Isolation and Genomic Characterization of a New Virus against Oceanospirillaceae</t>
  </si>
  <si>
    <t>APPLIED AND ENVIRONMENTAL MICROBIOLOGY</t>
  </si>
  <si>
    <t>Oceanospirillum phage vB_OsaM_PD0307; Oceanospimyovirus; genomic and phylogenetic analysis; ecological distribution</t>
  </si>
  <si>
    <t>ALANINE-CLEAVING CARBOXYPEPTIDASE; TETR FAMILY; SEQUENCE; GENES; LYSIS</t>
  </si>
  <si>
    <t>The marine bacterial family Oceanospirillaceae, is well-known for its ability to degrade hydrocarbons and for its close association with algal blooms. However, only a few Oceanospirillaceae-infecting phages have been reported thus far. Here, we report on a novel Oceanospirillum phage, namely, vB_OsaM_PD0307, which has a 44,421 bp linear dsDNA genome and is the first myovirus infecting Oceanospirillaceae. A genomic analysis demonstrated that vB_OsaM_PD0307 is a variant of current phage isolates from the NCBI data set but that it has similar genomic features to two high-quality, uncultured viral genomes identified from marine metagenomes. Hence, we propose that vB_OsaM_PD0307 can be classified as the type phage of a new genus, designated Oceanospimyovirus. Additionally, metagenomic read mapping results have further shown that Oceanospimyovirus species are widespread in the global ocean, display distinct biogeographic distributions, and are abundant in polar regions. In summary, our findings expand the current understanding of the genomic characteristics, phylogenetic diversity, and distribution of Oceanospimyovirus phages.IMPORTANCE Oceanospirillum phage vB_OsaM_PD0307 is the first myovirus found to infect Oceanospirillaceae, and it represents a novel abundant viral genus in polar regions. This study provides insights into the genomic, phylogenetic, and ecological characteristics of the new viral genus, namely Oceanospimyovirus. Oceanospirillum phage vB_OsaM_PD0307 is the first myovirus found to infect Oceanospirillaceae, and it represents a novel abundant viral genus in polar regions. This study provides insights into the genomic, phylogenetic, and ecological characteristics of the new viral genus, namely Oceanospimyovirus.</t>
  </si>
  <si>
    <t>[Zhang, Wenjing; Liu, Yundan; Zheng, Kaiyang; Gu, Chengxiang; Wang, Ziyue; Shao, Hongbing; Guo, Cui; He, Hui; Wang, Hualong; Liang, Yantao; McMinn, Andrew; Wang, Min] Ocean Univ China, Coll Marine Life Sci, Inst Evolut &amp; Marine Biodivers, Frontiers Sci Ctr Deep Ocean Multispheres &amp; Earth, Qingdao, Peoples R China; [Zhang, Wenjing; Li, Qian] Shanghai Jiao Tong Univ, Sch Oceanog, Shanghai, Peoples R China; [Xing, Jinyan; Wang, Min] Qingdao Univ, Affiliated Hosp, Qingdao, Peoples R China; [Shao, Hongbing; Guo, Cui; He, Hui; Wang, Hualong; Sung, Yeong Yik; Mok, Wen Jye; Wong, Li Lian; Liang, Yantao; Wang, Min] UMT OUC Joint Ctr Marine Studies, Qingdao, Peoples R China; [Sung, Yeong Yik; Mok, Wen Jye; Wong, Li Lian] Univ Malaysia Terengganu UMT, Inst Marine Biotechnol, Kuala Nerus, Malaysia; [McMinn, Andrew] Univ Tasmania, Inst Marine &amp; Antarctic Studies, Hobart, Tas, Australia; [Wang, Min] Ocean Univ China, Haide Coll, Qingdao, Peoples R China</t>
  </si>
  <si>
    <t>Ocean University of China; Shanghai Jiao Tong University; Qingdao University; Universiti Malaysia Terengganu; University of Tasmania; Ocean University of China</t>
  </si>
  <si>
    <t>Liang, YT; Wang, M (corresponding author), Ocean Univ China, Coll Marine Life Sci, Inst Evolut &amp; Marine Biodivers, Frontiers Sci Ctr Deep Ocean Multispheres &amp; Earth, Qingdao, Peoples R China.;Wang, M (corresponding author), Qingdao Univ, Affiliated Hosp, Qingdao, Peoples R China.;Liang, YT; Wang, M (corresponding author), UMT OUC Joint Ctr Marine Studies, Qingdao, Peoples R China.;Wang, M (corresponding author), Ocean Univ China, Haide Coll, Qingdao, Peoples R China.</t>
  </si>
  <si>
    <t>Mok, Wen Jye/AAF-9229-2019; li, jixiang/JXN-7599-2024; gu, chengxiang/ABA-7780-2021; JIANG, Peng/KGL-3427-2024; Li, Yan/JRW-0176-2023; WONG, LI LIAN/ABE-1887-2022; Han, Yang/JVN-5921-2024; Wang, Min/AFR-9645-2022</t>
  </si>
  <si>
    <t>Mok, Wen Jye/0000-0002-7629-8312; Wang, Min/0000-0002-2357-589X; Yeong, Yik Sung/0000-0001-5897-9037</t>
  </si>
  <si>
    <t>high-performance servers of the Center for High Performance Computing and System Simulation; National Key Research and Development Program of China [2022YFC2807500]; Natural Science Foundation of China [42120104006, 42176111, 4218810, 421060972, 202172002]; Fundamental Research Funds for the Central Universities [201812002, 202072001, SL2021PT104]; Oceanic Interdisciplinary Program of Shanghai Jiao Tong University [LSKJ202203201]; Pilot National Laboratory for Marine Science and Technology (Qingdao); Marine Big Data Center of the Institute for Advanced Ocean Study of Ocean University of China; IEMB-1; high-performance servers of the Frontiers Science Center for Deep Ocean Multispheres and Earth System; Laoshan Laboratory; [41976117]</t>
  </si>
  <si>
    <t>high-performance servers of the Center for High Performance Computing and System Simulation; National Key Research and Development Program of China; Natural Science Foundation of China(National Natural Science Foundation of China (NSFC)); Fundamental Research Funds for the Central Universities(Fundamental Research Funds for the Central Universities); Oceanic Interdisciplinary Program of Shanghai Jiao Tong University; Pilot National Laboratory for Marine Science and Technology (Qingdao); Marine Big Data Center of the Institute for Advanced Ocean Study of Ocean University of China; IEMB-1; high-performance servers of the Frontiers Science Center for Deep Ocean Multispheres and Earth System; Laoshan Laboratory;</t>
  </si>
  <si>
    <t>We sincerely thank Jia Zhen, School of Computer Science and Technology, Guizhou University, for his help in the data processing. We are also thankful for the support of the high-performance servers of the Center for High Performance Computing and System Simulation, the Pilot National Laboratory for Marine Science and Technology (Qingdao), the Marine Big Data Center of the Institute for Advanced Ocean Study of Ocean University of China, the IEMB-1, a high-performance computing cluster operated by the Institute of Evolution and Marine Biodiversity, and the high-performance servers of the Frontiers Science Center for Deep Ocean Multispheres and Earth System.This work was supported by the National Key Research and Development Program of China (2022YFC2807500), the Laoshan Laboratory (No. LSKJ202203201), the Natural Science Foundation of China (no. 41976117, 42120104006, 42176111, 4218810, and 421060972), the Fundamental Research Funds for the Central Universities (202172002, 201812002, 202072001, and Andrew McMinn), and the Oceanic Interdisciplinary Program of Shanghai Jiao Tong University (project no. SL2021PT104).</t>
  </si>
  <si>
    <t>0099-2240</t>
  </si>
  <si>
    <t>1098-5336</t>
  </si>
  <si>
    <t>APPL ENVIRON MICROB</t>
  </si>
  <si>
    <t>Appl. Environ. Microbiol.</t>
  </si>
  <si>
    <t>2023 MAR 28</t>
  </si>
  <si>
    <t>10.1128/aem.01896-22</t>
  </si>
  <si>
    <t>Biotechnology &amp; Applied Microbiology; Microbiology</t>
  </si>
  <si>
    <t>A8KC7</t>
  </si>
  <si>
    <t>WOS:000957541900001</t>
  </si>
  <si>
    <t>Gerli, C; Rosier, S; Gudmundsson, GH</t>
  </si>
  <si>
    <t>Gerli, C.; Rosier, S.; Gudmundsson, G. H.</t>
  </si>
  <si>
    <t>Activation of Existing Surface Crevasses Has Limited Impact on Grounding Line Flux of Antarctic Ice Streams</t>
  </si>
  <si>
    <t>crevasse propagation; ice shelves vulnerability; ice shelf buttressing; sea level rise</t>
  </si>
  <si>
    <t>SHELVES; VULNERABILITY; STABILITY; FLOW</t>
  </si>
  <si>
    <t>Recent studies have identified widespread vulnerable ice shelf regions in Antarctica which are both highly buttressed and susceptible to crevasse hydrofracturing, raising concern for potential crevasse driven ice-shelf collapse and future sea level rise. Here, we employ the finite element ice flow model, ua, to investigate whether crevasses which have propagated through the entire ice column have a significant impact on upstream flow and quantify their contribution to sea level rise. We find a large variability in the response of ice shelves to this perturbation, with changes in grounding line flux as large as 155% for the Filchner-Ronne and 46% for the Ross, when compared to the present day. Crevasses located close to the grounding lines contribute most of this change. When compared to a second perturbation in which ice shelves are completely removed, however, the response is relatively small for all modeled ice shelves.</t>
  </si>
  <si>
    <t>[Gerli, C.; Rosier, S.; Gudmundsson, G. H.] Northumbria Univ, Dept Geog &amp; Environm Sci, Newcastle Upon Tyne, England</t>
  </si>
  <si>
    <t>Northumbria University</t>
  </si>
  <si>
    <t>Gerli, C (corresponding author), Northumbria Univ, Dept Geog &amp; Environm Sci, Newcastle Upon Tyne, England.</t>
  </si>
  <si>
    <t>cristina.gerli@northumbria.ac.uk</t>
  </si>
  <si>
    <t>Gudmundsson, Gudmundur Hilmar/AAU-5987-2020</t>
  </si>
  <si>
    <t>Gudmundsson, Gudmundur Hilmar/0000-0003-4236-5369; GERLI, CRISTINA/0000-0003-2219-5040</t>
  </si>
  <si>
    <t>National Science Foundation (NSF) [1739031]; Natural Environment Research Council (NERC) [NE/S006745/1, ITGC-098]; PROPHET project, a component of the International Thwaites Glacier Collaboration (ITGC); NERC [NE/S006745/1] Funding Source: UKRI</t>
  </si>
  <si>
    <t>National Science Foundation (NSF)(National Science Foundation (NSF)); Natural Environment Research Council (NERC)(UK Research &amp; Innovation (UKRI)Natural Environment Research Council (NERC)); PROPHET project, a component of the International Thwaites Glacier Collaboration (ITGC); NERC(UK Research &amp; Innovation (UKRI)Natural Environment Research Council (NERC))</t>
  </si>
  <si>
    <t>The authors would like to thank the editor and two anonymous reviewers for their insightful comments. Sebastian Rosier is supported by the PROPHET project, a component of the International Thwaites Glacier Collaboration (ITGC). Support from National Science Foundation (NSF: Grant 1739031) and Natural Environment Research Council (NERC: Grant NE/S006745/1). ITGC Contribution No. ITGC-098. There are no real or perceived financial conflicts of interest for any author.</t>
  </si>
  <si>
    <t>e2022GL101687</t>
  </si>
  <si>
    <t>10.1029/2022GL101687</t>
  </si>
  <si>
    <t>9W4PT</t>
  </si>
  <si>
    <t>WOS:000949061000001</t>
  </si>
  <si>
    <t>Giorli, G; Pinkerton, MH</t>
  </si>
  <si>
    <t>Giorli, Giacomo; Pinkerton, Matthew H.</t>
  </si>
  <si>
    <t>Sperm whales forage year-round in the ross sea region</t>
  </si>
  <si>
    <t>sperm whale; ross sea; toothfish; Antarctica; passive acoustics monitoring</t>
  </si>
  <si>
    <t>PATAGONIAN TOOTHFISH; PHYSETER-MACROCEPHALUS; ANTARCTIC TOOTHFISH; ACOUSTIC BEHAVIOR; KILLER WHALES; ORCINUS-ORCA; FOOD-WEB; FISHERY; PREY; POPULATION</t>
  </si>
  <si>
    <t>We investigated the seasonal and spatial occurrence of sperm whale (Physeter macrocephalus) in the Ross Sea region of the Southern Ocean derived from passive acoustic data. Two Autonomous Multichannel Acoustic Recorders (AMARs) moored about 10 m above the seabed were deployed in the austral summer of 2018 and recovered 1 year later. The northern AMAR (A3) was located on the Pacific-Antarctic Ridge at 63.7 degrees S and the southern AMAR (A1) at 73.1 degrees S on the Iselin Bank, part of the continental slope of the Ross Sea. Sperm whale echolocation signals were detected using signal processing scripts and validated by visual inspection of spectrograms. Our results demonstrate that sperm whales are present in the Ross Sea region year-round. At A1, sperm whale vocalisations were detected in every month between February and November, but absent in December and January. Whales were detected most often in February with an average of 0.310 detections per hour. Sperm whale vocalisations were detected at station A3 in every month except February when we had no observations. Our results contrast to a paucity of reported sightings of sperm whales from fishing and research vessels in the Ross Sea region between December and February. Probabilities of detecting sperm whales at A3 were on average 14.2 times higher than at A1 for the same month and monthly mean detections per hour were an average of 74.4 times higher at A3 than A1. At A1, we found a significant preference for day-time foraging rather than during the night or nautical twilight. In contrast, at A3, no clear day/dusk/night/dawn differences in sperm whale occurrence were found. Low sea-ice concentration (&lt; 80%) and open water within similar to 50 km were necessary but not sufficient conditions for higher detection rates of sperm whales (&gt;0.1 detections per hour). Overall, our research provides baseline information on sperm whale occurrence and establishes a method to track long-term change to help evaluate the conservation value of the Ross Sea region Marine Protected Area.</t>
  </si>
  <si>
    <t>[Giorli, Giacomo] NATO Sci &amp; Technol Org, Ctr Maritime Res &amp; Experimentat STO CMRE, La Spezia, Italy; [Pinkerton, Matthew H.] Natl Inst Water &amp; Atmospher Res NIWA, Wellington, New Zealand</t>
  </si>
  <si>
    <t>NATO (North Atlantic Treaty Organisation); National Institute of Water &amp; Atmospheric Research (NIWA) - New Zealand</t>
  </si>
  <si>
    <t>Giorli, G (corresponding author), NATO Sci &amp; Technol Org, Ctr Maritime Res &amp; Experimentat STO CMRE, La Spezia, Italy.</t>
  </si>
  <si>
    <t>giacomo.giorli@cmre.nato.int</t>
  </si>
  <si>
    <t>MBIE Endeavour Fund programme Ross-RAMP [C01X1710]; NIWA</t>
  </si>
  <si>
    <t>MBIE Endeavour Fund programme Ross-RAMP(New Zealand Ministry of Business, Innovation and Employment (MBIE)); NIWA</t>
  </si>
  <si>
    <t>This work was funded by MBIE Endeavour Fund programme Ross-RAMP (C01X1710) with strategic capex funding from NIWA.</t>
  </si>
  <si>
    <t>MAR 27</t>
  </si>
  <si>
    <t>10.3389/frsen.2023.940627</t>
  </si>
  <si>
    <t>R7BH1</t>
  </si>
  <si>
    <t>WOS:001065864200001</t>
  </si>
  <si>
    <t>Inan, B; Mutlu, B; Karaca, GA; Koç, RÇ; Özçimen, D</t>
  </si>
  <si>
    <t>Inan, Benan; Mutlu, Betul; Karaca, Guelcan Aysin; Koc, Rabia Cakir; Ozcimen, Didem</t>
  </si>
  <si>
    <t>Bioprospecting Antarctic microalgae as anticancer agent against PC-3 and AGS cell lines</t>
  </si>
  <si>
    <t>BIOCHEMICAL ENGINEERING JOURNAL</t>
  </si>
  <si>
    <t>Antarctic microalgae; Microalgae oil; Anticancer activity; Encapsulation; Nanoparticle</t>
  </si>
  <si>
    <t>FRESH-WATER MICROALGA; ETHANOL EXTRACT; ENCAPSULATION; OIL; INFLAMMATION; ANTIOXIDANT; FIBERS</t>
  </si>
  <si>
    <t>Studies on pharmaceutical and medicine applications of cold adapted polar microalgae are very limited. In this study, it is aimed to evaluate the cytotoxic activity of polar microalgae extracts against different cancer cell lines. In this context, the cultivation of Chlorella variabilis YTU.ANTARCTIC.001 and Auxenochlorella pyrenoidosa OZCIMEN.001 were carried out and their oil extracts were encapsulated in nanoparticle to preserve its bioactive components against oxidation and to increase the penetration of the extract into the cancer cells. To investigate the anticancer effects of microalgae, cell culture studies were performed and then the extracts and nanoparticles were applied to the AGS and PC-3 cell lines via XTT method. In line with the study, it was observed that C. pyrenoidosa extracts showed higher cytotoxicity than C. variabilis against AGS and PC-3 cells. At 500 &amp; mu;g/ml, AGS cells tested with C. variabilis showed a decrease down to 58 % and at the same concentration of C. pyrenoidosa, it was determined as 51 %. As for nanoparticle form, C. variabilis extracts exhibited higher cytotoxic activity and better anticancer properties. It was found that, these potential anticancer effects appeared to be largely concentration-dependent. Moreover, C. variabilis extract was determined as less effective on scratch closure than C. pyrenoidosa. In conclusion, the obtained data will pave the way to produce biotechnological drugs based on polar microalgae.</t>
  </si>
  <si>
    <t>[Inan, Benan; Mutlu, Betul; Karaca, Guelcan Aysin; Koc, Rabia Cakir; Ozcimen, Didem] Yildiz Tech Univ, Fac Chem &amp; Met Engn, Dept Bioengn, Davutpasa Campus, TR-34220 Istanbul, Turkiye; [Inan, Benan; Mutlu, Betul; Karaca, Guelcan Aysin; Koc, Rabia Cakir; Ozcimen, Didem] Hlth Biotechnol Joint Res &amp; Applicat Ctr Excellenc, TR-34220 Istanbul, Turkiye</t>
  </si>
  <si>
    <t>Yildiz Technical University</t>
  </si>
  <si>
    <t>Inan, B (corresponding author), Yildiz Tech Univ, Fac Chem &amp; Met Engn, Dept Bioengn, Davutpasa Campus, TR-34220 Istanbul, Turkiye.</t>
  </si>
  <si>
    <t>benan.inan@yildiz.edu.tr</t>
  </si>
  <si>
    <t>MUTLU, BETUL/T-9718-2017; Karaca, Gulcan Aysin/IZD-9616-2023; İnan, Benan/AAK-2064-2021; Ozcimen, Didem/AAZ-4681-2020</t>
  </si>
  <si>
    <t>MUTLU, BETUL/0000-0002-6198-132X; Karaca, Gulcan Aysin/0000-0003-3905-851X; İnan, Benan/0000-0002-2315-3099; Ozcimen, Didem/0000-0003-2483-7617</t>
  </si>
  <si>
    <t>Turkish Academy of Sciences (TUEBA); 100/2000 The Council of Higher Education (YOK) Doctorate Scholarship Programme; Scientific and Technological Research Council of Turkey (TUBITAK - BIDEB 2210/C National Scholarship Programme for MSc. Students)</t>
  </si>
  <si>
    <t>Turkish Academy of Sciences (TUEBA)(Turkish Academy of Sciences); 100/2000 The Council of Higher Education (YOK) Doctorate Scholarship Programme; Scientific and Technological Research Council of Turkey (TUBITAK - BIDEB 2210/C National Scholarship Programme for MSc. Students)(Turkiye Bilimsel ve Teknolojik Arastirma Kurumu (TUBITAK))</t>
  </si>
  <si>
    <t>This study was supported by Turkish Academy of Sciences (TUEBA) as a part of Prof. Dr. Didem Ozcimen's The Outstanding Young Scientist Award (TUEBA-GEBIP) of the year 2020. Betuel Mutlu was supported by 100/2000 The Council of Higher Education (YOK) Doctorate Scholarship Programme. Guelcan Ays, in Karaca was supported by The Scientific and Technological Research Council of Turkey (TUBITAK - BIDEB 2210/C National Scholarship Programme for MSc. Students).</t>
  </si>
  <si>
    <t>1369-703X</t>
  </si>
  <si>
    <t>1873-295X</t>
  </si>
  <si>
    <t>BIOCHEM ENG J</t>
  </si>
  <si>
    <t>Biochem. Eng. J.</t>
  </si>
  <si>
    <t>10.1016/j.bej.2023.108900</t>
  </si>
  <si>
    <t>Biotechnology &amp; Applied Microbiology; Engineering, Chemical</t>
  </si>
  <si>
    <t>Biotechnology &amp; Applied Microbiology; Engineering</t>
  </si>
  <si>
    <t>N0XB8</t>
  </si>
  <si>
    <t>WOS:001034336300001</t>
  </si>
  <si>
    <t>Grochowicz, J</t>
  </si>
  <si>
    <t>Grochowicz, Joanna</t>
  </si>
  <si>
    <t>Antarctic Pioneer - The Trailblazing Life of Jackie Ronne</t>
  </si>
  <si>
    <t>POLAR RECORD</t>
  </si>
  <si>
    <t>joanna.grochowicz@gmail.com</t>
  </si>
  <si>
    <t>0032-2474</t>
  </si>
  <si>
    <t>1475-3057</t>
  </si>
  <si>
    <t>POLAR REC</t>
  </si>
  <si>
    <t>POLAR REC.</t>
  </si>
  <si>
    <t>10.1017/S0032247423000025</t>
  </si>
  <si>
    <t>J6TJ0</t>
  </si>
  <si>
    <t>WOS:001010919800001</t>
  </si>
  <si>
    <t>Bowen, MM; Fernandez, D; Gordon, AL; Huber, B; Castagno, P; Falco, P; Budillon, G; Gunn, KL; Forcen-Vazquez, A</t>
  </si>
  <si>
    <t>Bowen, Melissa M.; Fernandez, Denise; Gordon, Arnold L.; Huber, Bruce; Castagno, Pasquale; Falco, Pierpaolo; Budillon, Giorgio; Gunn, Kathryn L.; Forcen-Vazquez, Aitana</t>
  </si>
  <si>
    <t>Tides regulate the flow and density of Antarctic Bottom Water from the western Ross Sea (vol 13, 3873, 2023)</t>
  </si>
  <si>
    <t>m.bowen@auckland.ac.nz</t>
  </si>
  <si>
    <t>Gordon, Arnold/H-1049-2011</t>
  </si>
  <si>
    <t>Forcen-Vazquez, Aitana/0000-0003-2471-705X; Gunn, Kathryn/0000-0003-2397-5364</t>
  </si>
  <si>
    <t>New Zealand Strategic Science Investment Fund [ANTA1801]; Deep South National Science Challenge; Italian National Program for Antarctic Research-PNRA; PNRA [PNRA18_00256]; Italian Minister of the University</t>
  </si>
  <si>
    <t>New Zealand Strategic Science Investment Fund; Deep South National Science Challenge; Italian National Program for Antarctic Research-PNRA; PNRA; Italian Minister of the University</t>
  </si>
  <si>
    <t>This study and support for M.B. and D.F. were funded by the New Zealand Strategic Science Investment Fund: Antarctic Science Platform Contract ANTA1801. A.F.-V. was supported by the Deep South National Science Challenge. The mooring G data were collected in the framework of MORSea projects supported by the Italian National Program for Antarctic Research-PNRA, which provided financial and logistic support. P.C. was funded by the PNRA, Grant PNRA18_00256. The PNRA is funded by the Italian Minister of the University.</t>
  </si>
  <si>
    <t>10.1038/s41598-023-32101-w</t>
  </si>
  <si>
    <t>F7LB4</t>
  </si>
  <si>
    <t>WOS:000984110600048</t>
  </si>
  <si>
    <t>Nicholls, KH</t>
  </si>
  <si>
    <t>Nicholls, Kenneth H.</t>
  </si>
  <si>
    <t>Marine and freshwater centrohelid heliozoans (Haptista: Centroplasthelida) in Canada, including taxonomic revisions and descriptions of 22 new species and subspecies</t>
  </si>
  <si>
    <t>CANADIAN JOURNAL OF ZOOLOGY</t>
  </si>
  <si>
    <t>heliozoans; silica-scaled protists; taxonomy; new species; Haptista; Centroplasthelida</t>
  </si>
  <si>
    <t>SILICIA-SCALED CHRYSOPHYTES; GENUS ACANTHOCYSTIS; GENERA ACANTHOCYSTIS; RAPHIDIOPHRYS; RAPHIDOCYSTIS; MORPHOLOGY; SARCODINA; HACROBIA; WATERCOURSES; ACTINOPODA</t>
  </si>
  <si>
    <t>Canadian coastal waters of the Pacific Ocean and the Atlantic Ocean as well as inland freshwater habitats in Ontario were sampled for centrohelid heliozoans (free-living heterotrophic single-celled organisms) over a period of nearly five decades. More than 60 species and subspecies were revealed, including 1 Triangulopteris, 1 Raphidocystis, 2 Pseudoraphidocystis, 3 Raineriophrys, 4 Pseudoraphidiophrys, 12 Choanocystis, 15 Pterocystis, and 25 Acanthocystis taxa. Of these, 22 were officially named and described as new to science based primarily on the morphology of the siliceous scales that cover the cell. New species were compared with images and/or descriptions of close relatives to validate their new species assignments. New data on five species of Acanthocystis and one species of Choanocystis required revisions of their descriptive taxonomy that in some cases resulted in the splitting off of separate species or subspecies. Very little can be concluded about global distribution of centrohelid heliozoans, owing to the paucity of records. For many of the taxa reported here, previous records consist of just one or two findings from other parts of the world. One example is Choanocystis antarctica Tikhonenkov and Mylnikov, 2011 that was previously known only from Antarctic seawater, but is reported here from an Ontario softwater lake.</t>
  </si>
  <si>
    <t>[Nicholls, Kenneth H.] RR 1, Sunderland, ON L0C 1H0, Canada</t>
  </si>
  <si>
    <t>Nicholls, KH (corresponding author), RR 1, Sunderland, ON L0C 1H0, Canada.</t>
  </si>
  <si>
    <t>khnicholls@interhop.net</t>
  </si>
  <si>
    <t>CANADIAN SCIENCE PUBLISHING</t>
  </si>
  <si>
    <t>OTTAWA</t>
  </si>
  <si>
    <t>65 AURIGA DR, SUITE 203, OTTAWA, ON K2E 7W6, CANADA</t>
  </si>
  <si>
    <t>0008-4301</t>
  </si>
  <si>
    <t>1480-3283</t>
  </si>
  <si>
    <t>CAN J ZOOL</t>
  </si>
  <si>
    <t>Can. J. Zool.</t>
  </si>
  <si>
    <t>10.1139/cjz-2022-0114</t>
  </si>
  <si>
    <t>AR0M1</t>
  </si>
  <si>
    <t>WOS:000962856900001</t>
  </si>
  <si>
    <t>Nichols, KA</t>
  </si>
  <si>
    <t>Nichols, Keir Alexander</t>
  </si>
  <si>
    <t>A decade of in situ cosmogenic 14C in Antarctica</t>
  </si>
  <si>
    <t>Glacial geology; ice chronology; dating; paleoclimate</t>
  </si>
  <si>
    <t>WEDDELL SEA EMBAYMENT; GROUNDING-LINE RETREAT; NUCLIDE EXPOSURE AGES; ICE-SHEET; GLACIAL GEOMORPHOLOGY; PENSACOLA MOUNTAINS; DEGLACIAL HISTORY; EXTRACTION; TERRESTRIAL; UNIVERSITY</t>
  </si>
  <si>
    <t>Cosmogenic nuclide measurements in glacial deposits extend our knowledge of glacier chronologies beyond the observational record. The short half-life of in situ cosmogenic C-14 makes it particularly useful for studying glacier chronologies, as resulting exposure ages are less sensitive to nuclide inheritance when compared with more commonly measured, long-lived nuclides. An increasing number of laboratories using an automated process to extract carbon from quartz has led to in situ C-14 measurements in Antarctic samples at an accelerating rate over the past decade, shedding light on deglaciation in Antarctica. In situ C-14 has had the greatest impact in the Weddell Sea Embayment, where inferences on the thickness of ice and timing of deglaciation were limited by inheritance in other cosmogenic nuclide systems. Future subglacial measurements of the nuclide hold much potential as they can provide direct evidence of proposed Holocene thinning and subsequent re-thickening of parts of the Antarctic ice sheets.</t>
  </si>
  <si>
    <t>[Nichols, Keir Alexander] Imperial Coll London, London, England</t>
  </si>
  <si>
    <t>Nichols, KA (corresponding author), Imperial Coll London, London, England.</t>
  </si>
  <si>
    <t>keir.nichols@imperial.ac.uk</t>
  </si>
  <si>
    <t>Nichols, Keir/0000-0002-9447-9918</t>
  </si>
  <si>
    <t>NERC [NE/S006753/1] Funding Source: UKRI</t>
  </si>
  <si>
    <t>PII S0260305523000137</t>
  </si>
  <si>
    <t>10.1017/aog.2023.13</t>
  </si>
  <si>
    <t>WOS:000956668500001</t>
  </si>
  <si>
    <t>Kogure, M; Nakamura, T; Murphy, DJ; Taylor, MJ; Zhao, YC; Pautet, PD; Tsutsumi, M; Tomikawa, Y; Ejiri, MK; Nishiyama, T</t>
  </si>
  <si>
    <t>Kogure, Masaru; Nakamura, Takuji; Murphy, Damian J.; Taylor, Michael J.; Zhao, Yucheng; Pautet, Pierre-Dominique; Tsutsumi, Masaki; Tomikawa, Yoshihiro; Ejiri, Mitsumu K.; Nishiyama, Takanori</t>
  </si>
  <si>
    <t>Characteristics of Gravity Wave Horizontal Phase Velocity Spectra in the Mesosphere Over the Antarctic Stations, Syowa and Davis</t>
  </si>
  <si>
    <t>gravity wave; airglow imager; jet wave</t>
  </si>
  <si>
    <t>MOMENTUM FLUX; NEW-ZEALAND; MIDDLE ATMOSPHERE; SECONDARY WAVES; MOUNT COOK; PART I; PROPAGATION; GENERATION; TRANSMISSION; STRATOSPHERE</t>
  </si>
  <si>
    <t>Mesospheric gravity-wave (GW) phase velocity spectra and total powers at two Antarctic stations, Davis and Syowa, were derived using OH airglow data from March to October in 2016. The total powers have similar seasonal variation, that is, maxima in winter at both stations. The average powers at both stations in winter were not significantly different. However, the power at Davis in September was three times smaller than that at Syowa. This lower power at Davis was attributed to GWs with omnidirectional phase velocity. These lower GW activities at Davis could be attributed to a longitudinal variation in wave filtering; a stronger wind at Davis filtered out more GWs than at Syowa. Also, to explore possible sources in the middle atmosphere, we investigated one event, in which GWs with similar to 100 ms(-1) southeastward phase velocity appeared at Davis on 29 August. The raytracing method was applied, and its result indicated that those GWs with high southeastward phase velocity propagated from similar to 45 km altitude or higher over the Southern Ocean. A large residual of the non-linear balanced equation was found at 50 km on its ray path. GWs, very likely emitted from a tropospheric jet, were also found near the ray path at the termination altitude over the Southern Ocean and possibly appeared saturated between 45 and 50 km. Therefore, the OH imager at Davis probably captured GWs generated by a spontaneous adjustment in the upper stratosphere and/or secondary GWs produced by the breaking of the GWs that have originated from the tropospheric jet.</t>
  </si>
  <si>
    <t>[Kogure, Masaru] Kyushu Univ, Dept Earth &amp; Planetary Sci, Fukuoka, Japan; [Nakamura, Takuji; Tsutsumi, Masaki; Tomikawa, Yoshihiro; Ejiri, Mitsumu K.] Natl Inst Polar Res, Tachikawa, Japan; [Nakamura, Takuji; Tsutsumi, Masaki; Tomikawa, Yoshihiro; Ejiri, Mitsumu K.; Nishiyama, Takanori] SOKENDAI Grad Univ Adv Studies, Dept Polar Sci, Tachikawa, Japan; [Murphy, Damian J.] Australian Antarctic Div, Dept Agr Water &amp; Environm, Kingston, Tas, Australia; [Taylor, Michael J.; Zhao, Yucheng; Pautet, Pierre-Dominique] Utah State Univ, Ctr Atmospher &amp; Space Sci, Phys Dept, Logan, UT USA; [Tomikawa, Yoshihiro] Res Org Informat &amp; Syst, Polar Environm Data Sci Ctr, Tachikawa, Japan</t>
  </si>
  <si>
    <t>Kyushu University; Research Organization of Information &amp; Systems (ROIS); National Institute of Polar Research (NIPR) - Japan; Graduate University for Advanced Studies - Japan; Australian Antarctic Division; Utah System of Higher Education; Utah State University; Research Organization of Information &amp; Systems (ROIS)</t>
  </si>
  <si>
    <t>Kogure, M (corresponding author), Kyushu Univ, Dept Earth &amp; Planetary Sci, Fukuoka, Japan.</t>
  </si>
  <si>
    <t>kogure.masaru.055@m.kyushu-u.ac.jp</t>
  </si>
  <si>
    <t>Kogure, Masaru/IUP-8537-2023; Wang, Jiacheng/ABE-5948-2020; Tomikawa, Yoshihiro/D-5304-2012; Nishiyama, Takanori/D-5546-2016</t>
  </si>
  <si>
    <t>Kogure, Masaru/0000-0003-0774-8647; Wang, Jiacheng/0000-0003-4327-1508; Tomikawa, Yoshihiro/0000-0002-5652-3017; Taylor, Michael/0000-0002-3796-0836; Pautet, Pierre-Dominique/0000-0001-9452-7337; Nishiyama, Takanori/0000-0002-3648-6589</t>
  </si>
  <si>
    <t>JSPS grant JRPs-LEAD; DFG program [JPJSJRP 20181602]; JSPS KAKENHI [JP19K23465, JP22J00331, JP15H02137]; JSPS Overseas Challenge Program for Young Researchers [201780038]; 2022 Research Start Program [202204]; Scientific Committee on Antarctic Research (SCAR); NSF [1143587, 1443730]; ROIS-DS-JOINT [046RP2022]; AAS [4025, 4056, 4445]</t>
  </si>
  <si>
    <t>JSPS grant JRPs-LEAD; DFG program(German Research Foundation (DFG)); JSPS KAKENHI(Ministry of Education, Culture, Sports, Science and Technology, Japan (MEXT)Japan Society for the Promotion of ScienceGrants-in-Aid for Scientific Research (KAKENHI)); JSPS Overseas Challenge Program for Young Researchers; 2022 Research Start Program; Scientific Committee on Antarctic Research (SCAR); NSF(National Science Foundation (NSF)); ROIS-DS-JOINT; AAS</t>
  </si>
  <si>
    <t>This work is supported by the JSPS grant JRPs-LEAD with DFG program (JPJSJRP 20181602), JSPS KAKENHI Grant JP15H02137, JP19K23465 and JP22J00331, JSPS Overseas Challenge Program for Young Researchers (No. 201780038), ROIS-DS-JOINT (046RP2022), 2022 Research Start Program 202204, and the Scientific Committee on Antarctic Research (SCAR) fellowship award 2019. Support for the operation of the Davis MF radar and its analysis was provided through AAS project number 4025, 4056, and 4445. The USU all-sky OH imager operated at Davis Station and its data analysis are supported by NSF 1143587 and NSF 1443730.</t>
  </si>
  <si>
    <t>e2022JD037751</t>
  </si>
  <si>
    <t>10.1029/2022JD037751</t>
  </si>
  <si>
    <t>9X4GG</t>
  </si>
  <si>
    <t>WOS:000949729900001</t>
  </si>
  <si>
    <t>Lapere, R; Thomas, JL; Marelle, L; Ekman, AML; Frey, MM; Lund, MT; Makkonen, R; Ranjithkumar, A; Salter, ME; Samset, BH; Schulz, M; Sogacheva, L; Yang, X; Zieger, P</t>
  </si>
  <si>
    <t>Lapere, Remy; Thomas, Jennie L.; Marelle, Louis; Ekman, Annica M. L.; Frey, Markus M.; Lund, Marianne Tronstad; Makkonen, Risto; Ranjithkumar, Ananth; Salter, Matthew E.; Samset, Bjorn Hallvard; Schulz, Michael; Sogacheva, Larisa; Yang, Xin; Zieger, Paul</t>
  </si>
  <si>
    <t>The Representation of Sea Salt Aerosols and Their Role in Polar Climate Within CMIP6</t>
  </si>
  <si>
    <t>CMIP6; sea salt aerosol; polar climate</t>
  </si>
  <si>
    <t>EARTH SYSTEM MODEL; CLOUD CONDENSATION NUCLEI; ARCTIC AEROSOL; SPRAY AEROSOL; PART 1; ICE; PRECIPITATION; EMISSIONS; AEROCOM; AMPLIFICATION</t>
  </si>
  <si>
    <t>Natural aerosols and their interactions with clouds remain an important uncertainty within climate models, especially at the poles. Here, we study the behavior of sea salt aerosols (SSaer) in the Arctic and Antarctic within 12 climate models from CMIP6. We investigate the driving factors that control SSaer abundances and show large differences based on the choice of the source function, and the representation of aerosol processes in the atmosphere. Close to the poles, the CMIP6 models do not match observed seasonal cycles of surface concentrations, likely due to the absence of wintertime SSaer sources such as blowing snow. Further away from the poles, simulated concentrations have the correct seasonality, but have a positive mean bias of up to one order of magnitude. SSaer optical depth is derived from the MODIS data and compared to modeled values, revealing good agreement, except for winter months. Better agreement for aerosol optical depth than surface concentration may indicate a need for improving the vertical distribution, the size distribution and/or hygroscopicity of modeled polar SSaer. Source functions used in CMIP6 emit very different numbers of small SSaer, potentially exacerbating cloud-aerosol interaction uncertainties in these remote regions. For future climate scenarios SSP126 and SSP585, we show that SSaer concentrations increase at both poles at the end of the 21st century, with more than two times mid-20th century values in the Arctic. The pre-industrial climate CMIP6 experiments suggest there is a large uncertainty in the polar radiative budget due to SSaer.Plain Language Summary Aerosols emitted from the ocean, such as sea salt particles (aerosols), are critical for the climate of polar regions. However, there is still uncertainty in their representation in climate models. The purpose of this work is to evaluate the representation of sea salt aerosols (SSaer) in the Arctic and Antarctic in a recent model inter-comparison initiative, and to assess the consequences for our understanding of present-day and future polar climate. We find that the models disagree between them and with observations from ground stations and from space. This suggests that the formulation of sea salt emissions in global models is not adapted for polar regions. With sea ice retreat, SSaer will most likely increase in the future, which makes addressing the current uncertainty an important next step for the scientific community.</t>
  </si>
  <si>
    <t>[Lapere, Remy; Thomas, Jennie L.] Univ Grenoble Alpes, CNRS, IRD, Grenoble INP,IGE, Grenoble, France; [Marelle, Louis] Sorbonne Univ, LATMOS, IPSL, UVSQ, Paris, France; [Ekman, Annica M. L.; Salter, Matthew E.; Zieger, Paul] Stockholm Univ, Dept Meteorol, Stockholm, Sweden; [Ekman, Annica M. L.] Bolin Ctr Climate Res, Stockholm, Sweden; [Ranjithkumar, Ananth; Yang, Xin] British Antarctic Survey, Nat Environm Res Council, Cambridge, England; [Lund, Marianne Tronstad; Samset, Bjorn Hallvard] CICERO Ctr Int Climate Res, Oslo, Norway; [Makkonen, Risto; Sogacheva, Larisa] Finnish Meteorol Inst, Climate Res Programme, Helsinki, Finland; [Salter, Matthew E.; Zieger, Paul] Stockholm Univ, Dept Environm Sci, Stockholm, Sweden; [Schulz, Michael] Norwegian Meteorol Inst, Oslo, Norway</t>
  </si>
  <si>
    <t>Centre National de la Recherche Scientifique (CNRS); Communaute Universite Grenoble Alpes; Universite Grenoble Alpes (UGA); Institut de Recherche pour le Developpement (IRD); Institut National Polytechnique de Grenoble; Universite Paris Saclay; Universite Paris Cite; Sorbonne Universite; Stockholm University; UK Research &amp; Innovation (UKRI); Natural Environment Research Council (NERC); NERC British Antarctic Survey; Finnish Meteorological Institute; Stockholm University; Norwegian Meteorological Institute</t>
  </si>
  <si>
    <t>Lapere, R; Thomas, JL (corresponding author), Univ Grenoble Alpes, CNRS, IRD, Grenoble INP,IGE, Grenoble, France.</t>
  </si>
  <si>
    <t>remy.lapere@univ-grenoble-alpes.fr; jennie.thomas@univ-grenoble-alpes.fr</t>
  </si>
  <si>
    <t>Makkonen, Risto/F-3059-2015; Sogacheva, Larisa/N-5762-2017; Samset, Bjørn H./H-6828-2016; Schulz, Michael/A-6930-2011; Lund, Marianne T/J-6465-2016; Frey, Markus/G-1756-2012; Zieger, Paul C/C-3408-2011; Marelle, Louis/R-1912-2017; Salter, Matthew/G-5483-2012; Ekman, Annica/D-7004-2017</t>
  </si>
  <si>
    <t>Sogacheva, Larisa/0000-0003-3455-8638; Samset, Bjørn H./0000-0001-8013-1833; Schulz, Michael/0000-0003-4493-4158; Frey, Markus/0000-0003-0535-0416; Lund, Marianne Tronstad/0000-0001-9911-4160; Marelle, Louis/0000-0003-4925-0046; Salter, Matthew/0000-0003-0645-3265; Ekman, Annica/0000-0002-5940-2114; Lapere, Remy/0000-0001-8311-0042</t>
  </si>
  <si>
    <t>European Union [101003826]; EU H2020 FORCeS project; [821205]; NERC [NE/S00257X/1, NE/X009319/1] Funding Source: UKRI</t>
  </si>
  <si>
    <t>European Union(European Union (EU)); EU H2020 FORCeS project; ; NERC(UK Research &amp; Innovation (UKRI)Natural Environment Research Council (NERC))</t>
  </si>
  <si>
    <t>This project has received funding from the European Union's Horizon 2020 research and innovation programme under Grant agreement No 101003826 via project CRiceS (Climate Relevant interactions and feedbacks: the key role of sea ice and Snow in the polar and global climate system). The authors also acknowledge the EU H2020 FORCeS project, contract No 821205. We also appreciate the effort of the CMIP6 modeling groups which contributed the data to the CMIP6 data archive. We acknowledge Yves Balkanski, Jean-Christophe Raut, and Dirk Olivie for the fruitful discussions. Furthermore, the authors acknowledge EBAS/NILU for making the observation data available through their platform. We also want to acknowledge the people responsible for these difficult measurements that we downloaded from EBAS: Karin Sjoberg from the Swedish Environmental Research Institute for the Bredkalen station, Arni Sigurdsson for the Irafoss station, Wenche Aas from the Norwegian Institute for Air Research for the Karasjok and Zeppelin stations, Timo Salmi from the Finnish Meteorological Institute for the Pallas station, and Kaare Kemp from the National Environmental Research Institute, Denmark, for the Villum station. Finally, the authors thank the editor and the two anonymous reviewers for their feedback which helped improve the quality of this work.</t>
  </si>
  <si>
    <t>e2022JD038235</t>
  </si>
  <si>
    <t>10.1029/2022JD038235</t>
  </si>
  <si>
    <t>9W6QD</t>
  </si>
  <si>
    <t>Green Published, hybrid, Green Submitted, Green Accepted</t>
  </si>
  <si>
    <t>WOS:000949203000001</t>
  </si>
  <si>
    <t>Santos, A; Gómez-Espinoza, O; Núñez-Montero, K; Zárate, A; Andreote, FD; Pylro, VS; Bravo, L; Barrientos, L</t>
  </si>
  <si>
    <t>Santos, Andres; Gomez-Espinoza, Olman; Nunez-Montero, Kattia; Zarate, Ana; Andreote, Fernando D.; Pylro, Victor S.; Bravo, Leon; Barrientos, Leticia</t>
  </si>
  <si>
    <t>Measuring the effect of climate change in Antarctic microbial communities: toward novel experimental approaches</t>
  </si>
  <si>
    <t>CURRENT OPINION IN BIOTECHNOLOGY</t>
  </si>
  <si>
    <t>IMPACTS</t>
  </si>
  <si>
    <t>The Antarctic continent is undergoing a rapid warming, affecting microbial communities throughout its ecosystems. This continent is a natural laboratory for studying the effect of climate change, however, assessing the microbial communities' responses to environmental changes is challenging from a methodological point of view. We suggest novel experimental designs, including multivariable assessments that apply multiomics methods in combination with continuous environmental data recording and new warming simulation systems. Moreover, we propose that climate change studies in Antarctica should consider three main objectives, including descriptive studies, short-term temporary adaptation studies, and long-term adaptive evolution studies. This will help us to understand and manage the effects of climate change on the Earth.</t>
  </si>
  <si>
    <t>[Santos, Andres] Univ Autonoma Barcelona, Inst Biotecnol &amp; Biomed, Cerdanyola Del Valles 08193, Spain; [Gomez-Espinoza, Olman; Nunez-Montero, Kattia] Inst Tecnol Costa Rica, Biotechnol Res Ctr, Dept Biol, Cartago, Costa Rica; [Zarate, Ana; Barrientos, Leticia] Univ La Frontera, Ctr Excellence Translat Med, Extreme Environm Biotechnol Lab, Ave Alemania 0458, Temuco 4810296, Chile; [Barrientos, Leticia] Univ La Frontera, Nucleo Cient &amp; Tecnol Biorecursos BIOREN, Ave Francisco Salazar 01145, Temuco 4811230, Chile; [Andreote, Fernando D.] Univ Sao Paulo, Luiz Queiroz Coll Agr, Dept Soil Sci, Piracicaba, SP, Brazil; [Pylro, Victor S.] Fed Univ Lavras UFLA, Dept Biol, Lavras, MG, Brazil; [Bravo, Leon] Univ La Frontera, Soil Interact &amp; Nat Resources Biotechnol, Sci &amp; Technol Bioresource Nucleus, Temuco 4811230, Chile</t>
  </si>
  <si>
    <t>Autonomous University of Barcelona; Instituto Tecnologico de Costa Rica; Universidad de La Frontera; Universidad de La Frontera; Universidade de Sao Paulo; Universidade Federal de Lavras; Universidad de La Frontera</t>
  </si>
  <si>
    <t>Barrientos, L (corresponding author), Univ La Frontera, Ctr Excellence Translat Med, Extreme Environm Biotechnol Lab, Ave Alemania 0458, Temuco 4810296, Chile.;Barrientos, L (corresponding author), Univ La Frontera, Nucleo Cient &amp; Tecnol Biorecursos BIOREN, Ave Francisco Salazar 01145, Temuco 4811230, Chile.</t>
  </si>
  <si>
    <t>leticia.barrientos@ufrontera.cl</t>
  </si>
  <si>
    <t>Barrientos, Leticia/R-6205-2017; Pylro, Victor Satler/G-6045-2010</t>
  </si>
  <si>
    <t>Barrientos, Leticia/0000-0002-5344-054X; Pylro, Victor Satler/0000-0003-2154-9150; Zarate, Ana/0000-0002-3803-1430; Nunez-Montero, Kattia/0000-0002-8629-5107</t>
  </si>
  <si>
    <t>Agencia Nacional de Investigacion y Desarrollo de Chile [Fondecyt-1210563, Fondecyt-11230475]</t>
  </si>
  <si>
    <t>Agencia Nacional de Investigacion y Desarrollo de Chile</t>
  </si>
  <si>
    <t>Funding This research was funded by the Agencia Nacional de Investigacion y Desarrollo de Chile (ANID) , grants Fondecyt-1210563 and Fondecyt-11230475</t>
  </si>
  <si>
    <t>0958-1669</t>
  </si>
  <si>
    <t>1879-0429</t>
  </si>
  <si>
    <t>CURR OPIN BIOTECH</t>
  </si>
  <si>
    <t>Curr. Opin. Biotechnol.</t>
  </si>
  <si>
    <t>10.1016/j.copbio.2023.102918</t>
  </si>
  <si>
    <t>Biochemical Research Methods; Biotechnology &amp; Applied Microbiology</t>
  </si>
  <si>
    <t>Biochemistry &amp; Molecular Biology; Biotechnology &amp; Applied Microbiology</t>
  </si>
  <si>
    <t>C9SW3</t>
  </si>
  <si>
    <t>WOS:000965242800001</t>
  </si>
  <si>
    <t>Mohapatra, S; Gnanaseelan, C; Fousiya, TS; Dandapat, S</t>
  </si>
  <si>
    <t>Mohapatra, Sandeep; Gnanaseelan, C.; Fousiya, T. S.; Dandapat, Sumit</t>
  </si>
  <si>
    <t>What drives the decadal variability in sea surface salinity and stratification over the tropical Indian Ocean?</t>
  </si>
  <si>
    <t>THEORETICAL AND APPLIED CLIMATOLOGY</t>
  </si>
  <si>
    <t>CORAL RECORDS; BAY; MONSOON; BENGAL; TEMPERATURE; CIRCULATION; DIPOLE; IMPACT; OSCILLATION; ANOMALIES</t>
  </si>
  <si>
    <t>The decadal variability in the surface salinity and stratification over the tropical Indian Ocean (TIO) is investigated for the period 1979-2017 using analysis and reanalysis products and ocean model simulations. The present study reveals that upper ocean (from surface to 50 m depth) stratification exhibits decadal and multidecadal variability in the eastern equatorial Indian Ocean (EEIO), southwestern tropical Indian Ocean (SWTIO), and head Bay of Bengal. The forced ocean model successfully simulated the decadal variability in stratification and is consistent with analysis and reanalysis products though with some underestimation of amplitude. The study further shows that upper ocean salinity has a stronger influence on the EEIO stratification variability whereas stratification over SWTIO is largely affected by the upper ocean temperature through Rossby wave propagation. The present study also highlights the growing role of equatorial currents in modulating the stratification over EEIO in the recent decades. The anomalous equatorial currents amplify the stratification variability along EEIO especially in the recent decades. Apart from the atmospheric and surface oceanic impact, subsurface ocean dynamics do impact stratification over EEIO and SWTIO regions by modulating subsurface temperature and salinity. Model sensitivity experiments reveal that decadal variability in both stratification and surface salinity over the head Bay of Bengal is modulated by river runoff. On the other hand, TIO stratification is largely unaffected by the Pacific Ocean pathways except for the southeastern Indian Ocean. Moreover, the climate modes, such as the decadal Indian Ocean Dipole and Interdecadal Pacific Oscillation, modulate stratification over the TIO through modulation of precipitation and evaporation.</t>
  </si>
  <si>
    <t>[Mohapatra, Sandeep; Gnanaseelan, C.; Fousiya, T. S.; Dandapat, Sumit] Minist Earth Sci, Indian Inst Trop Meteorol, Pune, India; [Mohapatra, Sandeep] Univ Tasmania, Inst Marine &amp; Antarctic Studies, Hobart, Australia; [Fousiya, T. S.] Meteo France, Ctr Natl Rech Meteorol, Toulouse, France; [Dandapat, Sumit] King Abdullah Univ Sci &amp; Technol, Thuwal, Saudi Arabia</t>
  </si>
  <si>
    <t>Ministry of Earth Sciences (MoES) - India; Indian Institute of Tropical Meteorology (IITM); University of Tasmania; Meteo France; King Abdullah University of Science &amp; Technology</t>
  </si>
  <si>
    <t>Gnanaseelan, C (corresponding author), Minist Earth Sci, Indian Inst Trop Meteorol, Pune, India.</t>
  </si>
  <si>
    <t>seelan@tropmet.res.in</t>
  </si>
  <si>
    <t>Dandapat, Sumit/0000-0002-1622-0513; mohapatra, sandeep/0000-0003-4205-3437</t>
  </si>
  <si>
    <t>IITM; Ministry of Earth Sciences (MoES), Government of India</t>
  </si>
  <si>
    <t>IITM; Ministry of Earth Sciences (MoES), Government of India(Ministry of Earth Science (MoES), Government of India)</t>
  </si>
  <si>
    <t>We thank the Director IITM and the Ministry of Earth Sciences (MoES), Government of India, for the support. SM thanks IITM for the research fellowship. Comments from anonymous reviewers have helped us to improve the manuscript. The model simulations are done at Aditya and Pratyush High Performance Computing (HPC) of IITM, Pune, India. All the data sources are duly acknowledged. Figures are prepared using PyFerret and Python.</t>
  </si>
  <si>
    <t>SPRINGER WIEN</t>
  </si>
  <si>
    <t>WIEN</t>
  </si>
  <si>
    <t>SACHSENPLATZ 4-6, PO BOX 89, A-1201 WIEN, AUSTRIA</t>
  </si>
  <si>
    <t>0177-798X</t>
  </si>
  <si>
    <t>1434-4483</t>
  </si>
  <si>
    <t>THEOR APPL CLIMATOL</t>
  </si>
  <si>
    <t>Theor. Appl. Climatol.</t>
  </si>
  <si>
    <t>3-4</t>
  </si>
  <si>
    <t>10.1007/s00704-023-04429-w</t>
  </si>
  <si>
    <t>H7CH9</t>
  </si>
  <si>
    <t>WOS:000958744300002</t>
  </si>
  <si>
    <t>Gasiorek, P</t>
  </si>
  <si>
    <t>Gasiorek, Piotr</t>
  </si>
  <si>
    <t>Eventually tested: Phylogenetic position of ?Testechiniscus? meridionalis (Murray, 1906) (Heterotardigrada) revealed</t>
  </si>
  <si>
    <t>ZOOLOGISCHER ANZEIGER</t>
  </si>
  <si>
    <t>Antarctica; Echiniscidae; Papilla; Sexual dimorphism; Testechiniscus macronyx</t>
  </si>
  <si>
    <t>INTEGRATIVE DESCRIPTION; SEXUAL-DIMORPHISM; SP. NOV.; IQ-TREE; TARDIGRADA; ECHINISCIDAE; ISLANDS; REDESCRIPTION; ECHINISCOIDEA; BIOGEOGRAPHY</t>
  </si>
  <si>
    <t>Tardigrade fauna of Antarctic and sub-Antarctic islands has been extensively studied from the beginning of the 20th century, which led to many species descriptions from that part of the globe. Echiniscus meridionalis, described by Murray in 1906 based on a small population found in the South Orkney Islands, is one of such species. Currently, E. meridionalis is classified as a member of the genus Testechiniscus, due to the presence of well-developed ventral plate armature. I intended to verify the affinity of this species to Testechiniscus, which has already been questioned, with the application of integrative approach to populations recently collected in the King George Island (South Shetland Islands). Consequently, I revealed that E. meridionalis stat. rev. belongs in Echiniscus, likely being an isolated phylogenetic lineage of a Southern Hemisphere/Gondwanan origin. I provided a redescription of the species and discussed its morphological oddities in comparison with other echiniscids, pinpointing to similarities between E. meridionalis and several other Echiniscus species endemic to some Southern Hemisphere localities. The study has broad implications to the classification of Diploechiniscus, Echiniscus and Testechiniscus, which were redefined accordingly. Phylogenetic positions of Testechiniscus macronyx, Echiniscus becki, E. laterosetosus, and E. polygonalis were also considered, and I concluded that the present generic assign-ments are wobbly. The following combinations are proposed: Diploechiniscus laterosetosus comb. nov. and D. polygonalis comb. nov.</t>
  </si>
  <si>
    <t>[Gasiorek, Piotr] Jagiellonian Univ, Fac Biol, Dept Invertebrate Evolut, Gronostajowa 9, PL-30387 Krakow, Poland</t>
  </si>
  <si>
    <t>Jagiellonian University</t>
  </si>
  <si>
    <t>Gasiorek, P (corresponding author), Jagiellonian Univ, Fac Biol, Dept Invertebrate Evolut, Gronostajowa 9, PL-30387 Krakow, Poland.</t>
  </si>
  <si>
    <t>piotr.lukas.gasiorek@gmail.com</t>
  </si>
  <si>
    <t>Gasiorek, Piotr/L-3152-2017</t>
  </si>
  <si>
    <t>Gasiorek, Piotr/0000-0002-2814-8117</t>
  </si>
  <si>
    <t>Polish National Science Centre [2019/35/N/NZ8/04487, 2019/33/N/NZ8/02777, 2016/22/E/NZ8/00417]</t>
  </si>
  <si>
    <t>Polish National Science Centre</t>
  </si>
  <si>
    <t>Acknowledgements Katarzyna Fudala is acknowledged for the sample collecting in Antarctica. Witold Morek examined most of the samples containing E. meridionalis and is warmly thanked for his assistance. Roberto Guidetti (University of Modena and Reggio Emilia, Italy) and the Museum of Natural History in Verona kindly made the Bertolani, Ramazzotti &amp; Maucci collections available for examination. Atsushi C. Suzuki (Keio University, Japan) is acknowledged for his sampling in Japan. Associate Editor Mart?n Ram?rez and Reviewers are thanked for their suggestions to the draft of this paper. The research received funding from the Polish National Science Centre via the ?Preludium? (grants no. 2019/35/N/NZ8/04487 and 2019/33/N/NZ8/02777) and ?Sonata Bis? programmes (grant no. 2016/22/E/NZ8/00417) . This research was presented at the 15th International Symposium on Tardi-grada (22-26th August 2022, Krak?ow, Poland) .</t>
  </si>
  <si>
    <t>0044-5231</t>
  </si>
  <si>
    <t>ZOOL ANZ</t>
  </si>
  <si>
    <t>Zool. Anz.</t>
  </si>
  <si>
    <t>10.1016/j.jcz.2023.02.004</t>
  </si>
  <si>
    <t>E1DG0</t>
  </si>
  <si>
    <t>WOS:000973019900001</t>
  </si>
  <si>
    <t>Fahrin, F; Jones, DC; Wu, Y; Keeble, J; Archibald, AT</t>
  </si>
  <si>
    <t>Fahrin, Fouzia; Jones, Daniel C.; Wu, Yan; Keeble, James; Archibald, Alexander T.</t>
  </si>
  <si>
    <t>Technical note: Unsupervised classification of ozone profiles in UKESM1</t>
  </si>
  <si>
    <t>BREWER-DOBSON CIRCULATION; GREENHOUSE-GAS CONCENTRATIONS; STRATOSPHERIC OZONE; TROPOSPHERIC OZONE; FUTURE CHANGES; DESTRUCTION; HEMISPHERE; CHEMISTRY; EXPANSION; SURFACE</t>
  </si>
  <si>
    <t>The vertical distribution of ozone in the atmosphere, which features complex spatial and temporal variability set by a balance of production, loss, and advection, is relevant for both surface air pollution and climate via its role in radiative forcing. At present, the way in which regions of coherent ozone structure are defined relies on somewhat arbitrarily drawn boundaries. Here we consider a more general, data-driven method for defining coherent regimes of ozone structure. We apply an unsupervised classification technique called Gaussian mixture modeling (GMM), which represents the underlying distribution of ozone profiles as a linear combination of multi-dimensional Gaussian functions. In doing so, GMM identifies coherent groups or subpopulations of the ozone profile distribution. As a proof-of-concept study, we apply GMM to ozone profiles from three subsets of the UKESM1 coupled climate model runs carried out for CMIP6: specifically, the seasonal mean of a historical subset (2009-2014) and two subsets from two different future climate projections (i.e., SSP1-2.6 and SSP5-8.5). Despite not being given any spatiotemporal information, GMM identifies several spatially coherent regions of ozone structure. Using a combination of statistical guidance and post hoc judgment, we select a six-class representation of global ozone, consisting of two tropical classes and four mid-to-high-latitude classes. The tropical classes feature a relatively high-altitude tropopause, while the higher-latitude classes feature a lower-altitude tropopause and low values of tropospheric ozone, as expected based on broad patterns observed in the atmosphere. Both of the future projections feature lower ozone concentrations at 850 hPa than the historical benchmark, with signatures of ozone hole recovery. We find that the area occupied by the tropical classes is expanded in both future projections, which are most prominent during austral summer. Our results suggest that GMM may be a useful method for identifying coherent ozone regimes, particularly in the context of model analysis.</t>
  </si>
  <si>
    <t>[Fahrin, Fouzia] Iowa State Univ, Dept Geol &amp; Atmospher Sci, Ames, IA 50011 USA; [Fahrin, Fouzia; Wu, Yan] Georgia Southern Univ, Dept Math Sci, Statesboro, GA USA; [Jones, Daniel C.] British Antarctic Survey, NERC, UKRI, Cambridge, England; [Keeble, James; Archibald, Alexander T.] Univ Cambridge, Dept Chem, Cambridge, England; [Keeble, James; Archibald, Alexander T.] Univ Cambridge, Natl Ctr Atmospher Sci NCAS, Cambridge, England</t>
  </si>
  <si>
    <t>Iowa State University; University System of Georgia; Georgia Southern University; UK Research &amp; Innovation (UKRI); Natural Environment Research Council (NERC); NERC British Antarctic Survey; University of Cambridge; University of Cambridge</t>
  </si>
  <si>
    <t>Fahrin, F (corresponding author), Iowa State Univ, Dept Geol &amp; Atmospher Sci, Ames, IA 50011 USA.</t>
  </si>
  <si>
    <t>ffahrin@iastate.edu</t>
  </si>
  <si>
    <t>Jones, Dani/0000-0002-8701-4506; Wu, Yan/0000-0002-7202-8980; Archibald, Alexander/0000-0001-9302-4180; Fahrin, Fouzia/0000-0001-5586-8788; Keeble, James/0000-0003-2714-1084</t>
  </si>
  <si>
    <t>UK Research and Innovation, Natural Environment Research Council [MR/T020822/1]; Natural Environment Research Council, British Antarctic Survey [NE/N018028/1]; NERC [NE/N018028/1] Funding Source: UKRI</t>
  </si>
  <si>
    <t>UK Research and Innovation, Natural Environment Research Council(UK Research &amp; Innovation (UKRI)Natural Environment Research Council (NERC)); Natural Environment Research Council, British Antarctic Survey; NERC(UK Research &amp; Innovation (UKRI)Natural Environment Research Council (NERC))</t>
  </si>
  <si>
    <t>This research has been supported by the Natural Environment Research Council, British Antarctic Survey (grant no. NE/N018028/1), and the UK Research and Innovation, Natural Environment Research Council (grant no. MR/T020822/1).</t>
  </si>
  <si>
    <t>MAR 24</t>
  </si>
  <si>
    <t>10.5194/acp-23-3609-2023</t>
  </si>
  <si>
    <t>A9CE9</t>
  </si>
  <si>
    <t>WOS:000958016600001</t>
  </si>
  <si>
    <t>Zhou, H; Wang, PH; Pail, R; Guo, X; Wu, YL; Luo, ZC</t>
  </si>
  <si>
    <t>Zhou, Hao; Wang, Penghui; Pail, Roland; Guo, Xiang; Wu, Yunlong; Luo, Zhicai</t>
  </si>
  <si>
    <t>Assessment of a near-polar pair mission for detecting the Earth's temporal gravity field</t>
  </si>
  <si>
    <t>GEOPHYSICAL JOURNAL INTERNATIONAL</t>
  </si>
  <si>
    <t>Satellite geodesy; Satellite gravity; Time variable gravity; Next generation gravity mission; Near-polar mission</t>
  </si>
  <si>
    <t>GRACE-FO; IMPACT; ORBITS; MODEL</t>
  </si>
  <si>
    <t>To ensure the global observability of next generation gravimetric mission (NGGM), different agencies have to repeatedly launch satellites to about 89.0 degrees orbit inclination. However, due to the poor isotropy of observation system, only minor improvement in terms of temporal gravity field estimation can be obtained via these repeatedly launched polar pair missions. To ensure the global observability as well as the isotropy of observation system, a near-polar pair mission rather than a polar mission is likely an optimal selection, especially considering that the Gravity Recovery and Climate Experiment (GRACE) Follow-On mission has been already in operation. In this study, for the upcoming NGGMs (for instance, the Chinese NGGM), we design a closed-loop simulation to assess the performance of a near-polar mission at a near-circular orbit with about 500 km altitude for detecting the Earth's temporal gravity field, and the main conclusions are summarized as follows. (1) Based on the statistic results, 85.0 degrees is selected as the optimal orbit inclination for the near-polar mission, which provides 37 per cent noise reduction in terms of cumulative geoid height error in spectral domain, but also 31 per cent noise reduction in terms of mean oceanic root-mean-square (RMS) error in spatial domain when compared to the 89.0 degrees polar mission (89-PM). (2) To figure out the reason of these noise reductions, we also compare the contribution of single error components [including instrument error, atmospheric and oceanic (AO) aliasing error, ocean tide error]. It indicates that the outperformance of the 85.0 degrees near-polar mission (85-NPM) is mainly derived from the relatively smaller non-tidal atmospheric and oceanic mass variation error. (3) Although there are inevitable 5.0 degrees polar gaps in the 85-NPM, the analysis result (including the comparison via in-orbit observations and simulated retrieved solutions) still demonstrates a comparable performance of the 85-NPM in tracking mass variations over the Antarctic, and even an outperformance with 12 per cent noise reduction over the Greenland when compared to the 89-PM. The result confirms the feasibility of implementing a near-polar mission as a stand-alone mission or a complementary observation system for the repeatedly launched polar missions, which offers an alternative option of launching the Chinese NGGM satellites to an 85.0 degrees inclination orbit instead of 89.0 degrees.</t>
  </si>
  <si>
    <t>[Zhou, Hao; Wang, Penghui; Guo, Xiang; Luo, Zhicai] Huazhong Univ Sci &amp; Technol, Key Lab Fundamental Phys Quant Measurement, Minist Educ MOE, Wuhan 430074, Peoples R China; [Zhou, Hao; Wang, Penghui; Guo, Xiang; Luo, Zhicai] Huazhong Univ Sci &amp; Technol, Hubei Key Lab Gravitat &amp; Quantum Phys, Natl Precise Grav Measurement Facil PGMF, Wuhan 430074, Peoples R China; [Zhou, Hao; Wang, Penghui; Guo, Xiang; Luo, Zhicai] Huazhong Univ Sci &amp; Technol, Sch Phys, Wuhan 430074, Peoples R China; [Zhou, Hao; Wang, Penghui; Guo, Xiang; Luo, Zhicai] Huazhong Univ Sci &amp; Technol, Inst Geophys, Wuhan 430074, Peoples R China; [Zhou, Hao; Wang, Penghui; Guo, Xiang; Luo, Zhicai] Huazhong Univ Sci &amp; Technol, PGMF, Wuhan 430074, Peoples R China; [Pail, Roland] Tech Univ Munich, Inst Astron &amp; Phys Geodesy, D-80333 Munich, Germany; [Wu, Yunlong] China Univ Geosci, Sch Geog &amp; Informat Engn, Wuhan 430071, Peoples R China</t>
  </si>
  <si>
    <t>Huazhong University of Science &amp; Technology; Huazhong University of Science &amp; Technology; Huazhong University of Science &amp; Technology; Huazhong University of Science &amp; Technology; Huazhong University of Science &amp; Technology; Technical University of Munich; China University of Geosciences</t>
  </si>
  <si>
    <t>Guo, X (corresponding author), Huazhong Univ Sci &amp; Technol, Key Lab Fundamental Phys Quant Measurement, Minist Educ MOE, Wuhan 430074, Peoples R China.;Guo, X (corresponding author), Huazhong Univ Sci &amp; Technol, Hubei Key Lab Gravitat &amp; Quantum Phys, Natl Precise Grav Measurement Facil PGMF, Wuhan 430074, Peoples R China.;Guo, X (corresponding author), Huazhong Univ Sci &amp; Technol, Sch Phys, Wuhan 430074, Peoples R China.;Guo, X (corresponding author), Huazhong Univ Sci &amp; Technol, PGMF, Wuhan 430074, Peoples R China.</t>
  </si>
  <si>
    <t>xiangguo@hust.edu.cn</t>
  </si>
  <si>
    <t>Pail, Roland/H-5621-2011; Zhou, Hao/C-3442-2018</t>
  </si>
  <si>
    <t>National Natural Science Foundation of China [42061134007, 42074018, 41931074, 41904009, 11925503]</t>
  </si>
  <si>
    <t>Acknowledgement This research was funded by the National Natural Science Foundation of China (nos 42061134007, 42074018, 41931074, 41904009 and 11925503). The computation is completed in the HPC Platform of Huazhong University of Science and Technology. The authors would also like to thank editor and the reviewers for their helpful comments.</t>
  </si>
  <si>
    <t>0956-540X</t>
  </si>
  <si>
    <t>1365-246X</t>
  </si>
  <si>
    <t>GEOPHYS J INT</t>
  </si>
  <si>
    <t>Geophys. J. Int.</t>
  </si>
  <si>
    <t>10.1093/gji/ggad107</t>
  </si>
  <si>
    <t>A9ND8</t>
  </si>
  <si>
    <t>WOS:000958304600005</t>
  </si>
  <si>
    <t>Alley, KE; Scambos, TA; Alley, RB</t>
  </si>
  <si>
    <t>Alley, Karen E.; Scambos, Ted A.; Alley, Richard B.</t>
  </si>
  <si>
    <t>The role of channelized basal melt in ice-shelf stability: recent progress and future priorities</t>
  </si>
  <si>
    <t>Ice shelves; ice; ocean interactions; ice-shelf break-up</t>
  </si>
  <si>
    <t>PINE ISLAND GLACIER; OCEAN CIRCULATION; WARM WATER; BENEATH; EVOLUTION</t>
  </si>
  <si>
    <t>Basal channels, which form where buoyant plumes of ocean water and meltwater carve troughs upwards into ice-shelf bases, are widespread on Antarctic ice shelves. The formation of these features modulates ice-shelf basal melt by influencing the flow of buoyant plumes, and influences structural stability through concentration of strain and interactions with fractures. Because of these effects, and because basal channels can change rapidly, on timescales similar to those of ice-shelf evolution, constraining the impacts of basal channels on ice shelves is necessary for predicting future ice-shelf destabilization and retreat. We suggest that future research priorities should include constraining patterns and rates of basal channel change, determining mechanisms and detailed patterns of basal melt, and quantifying the influence that channel-related fractures have on ice-shelf stability.</t>
  </si>
  <si>
    <t>[Alley, Karen E.] Univ Manitoba, Dept Environm &amp; Geog, Winnipeg, MB, Canada; [Scambos, Ted A.] Univ Colorado Boulder, Cooperat Inst Res Environm Sci, Boulder, CO USA; [Alley, Richard B.] Penn State Univ, Earth &amp; Environm Syst Inst, University Pk, PA USA; [Alley, Richard B.] Penn State Univ, Dept Geosci, University Pk, PA USA</t>
  </si>
  <si>
    <t>University of Manitoba; University of Colorado System; University of Colorado Boulder;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</si>
  <si>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Alley, KE (corresponding author), Univ Manitoba, Dept Environm &amp; Geog, Winnipeg, MB, Canada.</t>
  </si>
  <si>
    <t>karen.alley@umanitoba.ca</t>
  </si>
  <si>
    <t>Alley, Karen E/HGE-5249-2022</t>
  </si>
  <si>
    <t>Alley, Karen E/0000-0003-0358-3806; Alley, Richard/0000-0003-1833-0115; SCAMBOS, Ted A./0000-0003-4268-6322</t>
  </si>
  <si>
    <t>NSERC [RGPIN-2021-02910]; Centre for Earth Observation Science; USGS [140G0118C0005]; NSF, part of International Thwaites Glacier Collaboration (ITGC) [OPP-1738992]; NASA [2018-0769]; Heising-Simons Foundation [NSF-NERC-OPP-1738934]; [80NSSC22K0384]</t>
  </si>
  <si>
    <t>NSERC(Natural Sciences and Engineering Research Council of Canada (NSERC)); Centre for Earth Observation Science; USGS(United States Geological Survey); NSF, part of International Thwaites Glacier Collaboration (ITGC)(National Science Foundation (NSF)); NASA(National Aeronautics &amp; Space Administration (NASA)); Heising-Simons Foundation;</t>
  </si>
  <si>
    <t>We thank Juliana Marson and Alex Crawford for feedback on figures. KEA was supported by NSERC grant RGPIN-2021-02910 and the Centre for Earth Observation Science. TAS was supported by USGS contract 140G0118C0005 supporting cryospheric applications of Landsat data, and NSF grant award OPP-1738992 supporting the Thwaites-Amundsen Regional Survey and Network, a part of the International Thwaites Glacier Collaboration (ITGC). RBA was supported by NSF-NERC-OPP-1738934, NASA 80NSSC22K0384, and Heising-Simons Foundation 2018-0769. ITGC contribution number ITGC-086.</t>
  </si>
  <si>
    <t>PII S0260305523000058</t>
  </si>
  <si>
    <t>10.1017/aog.2023.5</t>
  </si>
  <si>
    <t>WOS:000955859500001</t>
  </si>
  <si>
    <t>Yang, F; Sang, ML; Lu, JR; Zhao, HM; Zou, YK; Wu, W; Yu, Y; Liu, YW; Ma, WC; Zhang, Y; Zhang, W; Lin, HW</t>
  </si>
  <si>
    <t>Yang, Fan; Sang, Moli; Lu, Jing-Rong; Zhao, Hui-Min; Zou, Yike; Wu, Wei; Yu, Yong; Liu, Ya-Wei; Ma, Wencheng; Zhang, Yun; Zhang, Wei; Lin, Hou-Wen</t>
  </si>
  <si>
    <t>Somalactams A-D: Anti-inflammatory Macrolide Lactams with Unique Ring Systems from an Arctic Actinomycete Strain</t>
  </si>
  <si>
    <t>ANGEWANDTE CHEMIE-INTERNATIONAL EDITION</t>
  </si>
  <si>
    <t>Anti-Inflammatory Activity; Biosynthesis; Macrolide Lactams; Marine Natural Products; Structure Elucidation</t>
  </si>
  <si>
    <t>ACYL CARRIER PROTEIN; SECONDARY METABOLITE; NATURAL-PRODUCTS; POLYKETIDE; BIOSYNTHESIS; DOMAINS; STEREOCHEMISTRY; GLYCOLATE; ZEBRAFISH; SUBSTRATE</t>
  </si>
  <si>
    <t>Four new PKS-NRPS-derived macrolide lactams with three unique ring fusion types were discovered from the Arctic sponge associated actinomycete Streptomyces somaliensis 1107 using a genome mining strategy. Their structures were elucidated by a combination of MS, NMR spectroscopic analysis, and single-crystal X-ray diffraction. Biosynthetically, a novel gene cluster sml consisting of three polyketide synthases and one hybrid polyketide synthase-nonribosomal peptide synthetase together with cytochrome P450s and flavin-containing monooxygenases and oxidoreductases was demonstrated to assemble the unique skeleton. Pharmacological studies revealed that compound 1 displayed a potent anti-inflammatory effect without cytotoxicity. It inhibited IL-6 and TNF-alpha release in the serum of LPS-stimulated RAW264.7 macrophage cells with IC50 values of 5.76 and 0.18 mu M, respectively, and modulated the MAPK pathway. Moreover, compound 1 alleviated LPS-induced systemic inflammation in our transgenic fluorescent zebrafish model.</t>
  </si>
  <si>
    <t>[Yang, Fan; Lu, Jing-Rong; Zhao, Hui-Min; Wu, Wei; Liu, Ya-Wei; Lin, Hou-Wen] Shanghai Jiao Tong Univ, Renji Hosp, Res Ctr Marine Drugs, Dept Pharm,Sch Med,StateKey Lab Microbial Metab, Shanghai 200127, Peoples R China; [Sang, Moli; Ma, Wencheng; Zhang, Wei] Shandong Univ, State Key Lab Microbial Technol, Qingdao 266237, Shandong, Peoples R China; [Sang, Moli; Ma, Wencheng; Zhang, Wei] Shandong Univ, Shenzhen Res Inst, Shenzhen 518057, Peoples R China; [Zou, Yike] Univ Calif Los Angeles, Dept Chem &amp; Biochem, Los Angeles, CA 90095 USA; [Yu, Yong] Minist Nat Resources, Key Lab Polar Sci, Shanghai 200136, Peoples R China; [Yu, Yong] Antarctic Great Wall Ecol Natl Observat &amp; Res Stn, Shanghai 200136, Peoples R China; [Yu, Yong] Polar Res Inst China, Shanghai 200136, Peoples R China; [Yu, Yong] Shanghai Jiao Tong Univ, Sch Oceanog SOO, Shanghai 200030, Peoples R China; [Zhang, Yun] Qilu Univ Technol, Shandong Acad Sci, Biol Inst, Jinan 250103, Peoples R China</t>
  </si>
  <si>
    <t>Shanghai Jiao Tong University; Shandong University; Shandong University; University of California System; University of California Los Angeles; Ministry of Natural Resources of the People's Republic of China; Polar Research Institute of China; Shanghai Jiao Tong University; Qilu University of Technology</t>
  </si>
  <si>
    <t>Lin, HW (corresponding author), Shanghai Jiao Tong Univ, Renji Hosp, Res Ctr Marine Drugs, Dept Pharm,Sch Med,StateKey Lab Microbial Metab, Shanghai 200127, Peoples R China.;Zhang, W (corresponding author), Shandong Univ, State Key Lab Microbial Technol, Qingdao 266237, Shandong, Peoples R China.;Zhang, W (corresponding author), Shandong Univ, Shenzhen Res Inst, Shenzhen 518057, Peoples R China.</t>
  </si>
  <si>
    <t>zhang_wei@sdu.edu.cn; franklin67@126.com</t>
  </si>
  <si>
    <t>National Key Research and Development Program of China [2022YFC2804300, 2022YFC2804100]; National Natural Science Foundation of China [U2106227, 82022066, 22137006]; Taishan Scholar Project from Shandong Province [ZR2021ZD28]; Shandong Provincial Natural Science Foundation [20220523121619003]; Shenzhen Fundamental Research Program [SL2020MS029]; Oceanic Interdisciplinary Program of Shanghai Jiao Tong University [TMSK-2021-206]; Open Project of National Major Science and Technology Infrastructure of Translational Medicine [M2021-04]; Open Projects Fund of SKLMT of Shandong University [82073758]; [ts20190950]</t>
  </si>
  <si>
    <t>National Key Research and Development Program of China; National Natural Science Foundation of China(National Natural Science Foundation of China (NSFC)); Taishan Scholar Project from Shandong Province; Shandong Provincial Natural Science Foundation(Natural Science Foundation of Shandong Province); Shenzhen Fundamental Research Program; Oceanic Interdisciplinary Program of Shanghai Jiao Tong University; Open Project of National Major Science and Technology Infrastructure of Translational Medicine; Open Projects Fund of SKLMT of Shandong University;</t>
  </si>
  <si>
    <t>This research was funded by the National Key Research and Development Program of China (2022YFC2804300, 2022YFC2804100), the National Natural Science Foundation of China (U2106227, 82022066, 82073758 and 22137006), the Taishan Scholar Project from Shandong Province (ts20190950), the Shandong Provincial Natural Science Foundation (ZR2021ZD28), the Shenzhen Fundamental Research Program (20220523121619003), the Oceanic Interdisciplinary Program of Shanghai Jiao Tong University (SL2020MS029), the Open Project of National Major Science and Technology Infrastructure of Translational Medicine (TMSK-2021-206), and the Open Projects Fund of SKLMT of Shandong University (M2021-04). The authors thank Yuan Tian, Jing He, and Dr. Wei-Zhuo Tang for providing assistance for experiments and manuscript writing. We also thank Zhifeng Li, Jingyao Qu, and Jing Zhu of the Core Facilities for Life and Environmental Sciences, State Key laboratory of Microbial Technology of Shandong University for HR-LCMS analysis.</t>
  </si>
  <si>
    <t>WILEY-V C H VERLAG GMBH</t>
  </si>
  <si>
    <t>WEINHEIM</t>
  </si>
  <si>
    <t>POSTFACH 101161, 69451 WEINHEIM, GERMANY</t>
  </si>
  <si>
    <t>1433-7851</t>
  </si>
  <si>
    <t>1521-3773</t>
  </si>
  <si>
    <t>ANGEW CHEM INT EDIT</t>
  </si>
  <si>
    <t>Angew. Chem.-Int. Edit.</t>
  </si>
  <si>
    <t>10.1002/anie.202218085</t>
  </si>
  <si>
    <t>Chemistry, Multidisciplinary</t>
  </si>
  <si>
    <t>Q4DV2</t>
  </si>
  <si>
    <t>WOS:000956009000001</t>
  </si>
  <si>
    <t>Grilli, MG; Di Virgilio, A; Alarcón, PAE; Cherel, Y</t>
  </si>
  <si>
    <t>Grana Grilli, Maricel; Di Virgilio, Agustina; Alarcon, Pablo A. E.; Cherel, Yves</t>
  </si>
  <si>
    <t>Apparent mismatch between stable isotopes and foraging habitat suggests high secondary ingestion of Antarctic krill in brown skuas</t>
  </si>
  <si>
    <t>MARINE ECOLOGY PROGRESS SERIES</t>
  </si>
  <si>
    <t>Antarctica; Isotopic analysis; Movement; South Shetland Islands; Stercorarius antarcticus; Trophic ecology</t>
  </si>
  <si>
    <t>SOUTH SHETLAND ISLANDS; MIGRATION STRATEGIES; SEASONAL-CHANGES; TROPHIC ECOLOGY; DIET; SEABIRD; PENGUINS; GROWTH; BEHAVIOR; POLAR</t>
  </si>
  <si>
    <t>Changes in seasonal resource availability and in energetic requirements as offspring grow may force parents to change their trophic ecology throughout the breeding season. Brown skuas Stercorarius antarcticus breed in a highly seasonal environment where the availability of their main food resource changes during the season. We studied the feeding plasticity of breeding brown skuas by assessing their isotopic diet and movement patterns at different stages of their breeding cycle. Blood delta 15N values indicated that penguin chicks Pygoscelis spp. and Antarctic krill Euphausia superba constituted most of the diet of brown skuas (up to similar to 70%), and that there was an increase in the ingestion of lower trophic level prey (most likely Antarctic krill) throughout the breeding period (from 30-46%). This contrasts with movement analysis indicating that 65% of the overall foraging locations were within penguin rookeries. The apparent contradiction between the results from both techniques may be explained by a combination of some skuas feeding mostly at sea or on shore together with secondary ingestion of marine resources from the penguins' gut by feeding mostly within penguin rookeries. Krill obtained in that way may provide protein to replenish reserves before migration along with globulins through the intake of carotenoids. These results highlight the fact that the trophic ecology of species can be more complex than that suggested by one single method and emphasizes the importance of combining techniques to draw robust conclusions. In addition, our study indicates that skuas may select portions of prey to obtain specific resources to fulfill their nutritional requirements.</t>
  </si>
  <si>
    <t>[Grana Grilli, Maricel; Di Virgilio, Agustina; Alarcon, Pablo A. E.] Univ Nacl Comahue, CONICET, INIBIOMA, Pasaje Gutierrez 1250, RA-8400 San Carlos De Bariloche, Argentina; [Cherel, Yves] Rochelle Univ, Ctr Etudes Biolog Chize CEBC, CNRS, UMR 7372, F-79360 Villier En Bois, France</t>
  </si>
  <si>
    <t>Consejo Nacional de Investigaciones Cientificas y Tecnicas (CONICET); Universidad Nacional del Comahue; Centre National de la Recherche Scientifique (CNRS); CNRS - Institute of Ecology &amp; Environment (INEE)</t>
  </si>
  <si>
    <t>Grilli, MG (corresponding author), Univ Nacl Comahue, CONICET, INIBIOMA, Pasaje Gutierrez 1250, RA-8400 San Carlos De Bariloche, Argentina.</t>
  </si>
  <si>
    <t>ggmaricel@comahue-conicet.gob.ar</t>
  </si>
  <si>
    <t>Alarcon, Pablo A. E./0000-0002-7814-8422</t>
  </si>
  <si>
    <t>Company of Biologists; American Ornithologist's Union; Association of Field Ornithologists; Explorers Club</t>
  </si>
  <si>
    <t>We thank G. Guillou for running stable isotope analysis at the analytical Plateforme de Spectromerie Isotopique of the LIENSs laboratory from the La Rochelle Universite, D. Podesta, F. Di Sallo, L. Pagano, and E. Depino for their help in the field, A. Pande for improving the English, and the work of 4 anonymous reviewers and one editor for improving the manuscript. M.G.G. thanks The Company of Biologists for the Travelling Fellowship that allowed her to do this work at The CEBC in France, and to Idea Wild, the American Ornithologist's Union, the Association of Field Ornithologists, and the Explorers Club for their financial support.</t>
  </si>
  <si>
    <t>INTER-RESEARCH</t>
  </si>
  <si>
    <t>OLDENDORF LUHE</t>
  </si>
  <si>
    <t>NORDBUNTE 23, D-21385 OLDENDORF LUHE, GERMANY</t>
  </si>
  <si>
    <t>0171-8630</t>
  </si>
  <si>
    <t>1616-1599</t>
  </si>
  <si>
    <t>MAR ECOL PROG SER</t>
  </si>
  <si>
    <t>Mar. Ecol.-Prog. Ser.</t>
  </si>
  <si>
    <t>MAR 23</t>
  </si>
  <si>
    <t>10.3354/meps14277</t>
  </si>
  <si>
    <t>Ecology; Marine &amp; Freshwater Biology; Oceanography</t>
  </si>
  <si>
    <t>Environmental Sciences &amp; Ecology; Marine &amp; Freshwater Biology; Oceanography</t>
  </si>
  <si>
    <t>G5QV4</t>
  </si>
  <si>
    <t>WOS:000989709200008</t>
  </si>
  <si>
    <t>Bezus, B; de Ovalle, S; González-Pombo, P; Cavalitto, S; Cavello, I</t>
  </si>
  <si>
    <t>Bezus, Brenda; de Ovalle, Stefani; Gonzalez-Pombo, Paula; Cavalitto, Sebastian; Cavello, Ivana</t>
  </si>
  <si>
    <t>Production and characterization of a novel cold-active B-glucosidase and its influence on aromatic precursors of Muscat wine</t>
  </si>
  <si>
    <t>FOOD BIOSCIENCE</t>
  </si>
  <si>
    <t>Antarctic yeasts; Wine-aroma enhancement; Cold-active B-glucosidase; Mrakia sp; Monoterpenes; Muscat wine</t>
  </si>
  <si>
    <t>BETA-GLUCOSIDASE; ALCOHOLIC FERMENTATION; ISSATCHENKIA-TERRICOLA; SACCHAROMYCES; ENHANCEMENT; HYDROLYSIS; YEAST; PURIFICATION; GLYCOSIDASES; JUICE</t>
  </si>
  <si>
    <t>B-Glucosidases (BGL)-widely used in the enological field-are enzymes that catalyze the liberation of aromatic volatiles from their glycosidic precursors during winemaking. In the present study, a BGL obtained from the Antarctic yeast Mrakia sp. LP 7.1.2016 was produced on a bioreactor scale, purified, characterized, and the enzyme's properties studied for a potential enological application. Sodium-dodecylsulfate-polyacrylamide-gel electrophoresis indicated a high molecular weight for this enzyme, it having at least two subunits of 134 and 14 kDa. BGL exhibited a pH optimum of 5.0 and retained substantial activity and stability at pH 4.0. The temper-ature range for optimal activity was 50-55 degrees C, with the enzyme demonstrating thermostability up to 50 degrees C and retaining 87% of residual activity at that temperature after 3 h. The respective kinetic constants determined with p-nitrophenyl-B-D-glucopyranoside and cellobiose were 0.38 and 1.79 mM for Km and 20.1 and 5.65 mu mol-1 mg- 1 min.1 for Vmax, B-Glucosidase manifested high activity in 10-25% (v/v) ethanol, 30.0 mg L-1 sulfur di-oxide, and 10-200 g L-1 fructose; but it was strongly inhibited by glucose, retaining only 6% of residual activity in the presence of 20 g L-1. Upon investigating the influence of the enzyme on Muscat-wine glycosidic pre-cursors, we found significant differences in terpene content after 14 days of BGL treatment at an eightfold in-crease over control-wine levels. The enzyme was more active toward the precursors of the monoterpenes nerol and geraniol and oxides of trans- and cis-linalool. These findings contribute to our understanding of the potential of cold-active enzymes in advantageous biotechnological applications to enology.</t>
  </si>
  <si>
    <t>[Bezus, Brenda; Cavalitto, Sebastian; Cavello, Ivana] UNLP, CONICET, Ctr Invest &amp; Desarrollo Fermentac Ind CINDEFI, CCT La Plata, Calle 47 &amp; 115,B1900ASH, La Plata, Buenos Aires, Argentina; [de Ovalle, Stefani; Gonzalez-Pombo, Paula] UdelaR, Dept Biociencias, Area Bioquim, Fac Quim, Gen Flores 2124, Montevideo 1157, Uruguay</t>
  </si>
  <si>
    <t>National University of La Plata; Consejo Nacional de Investigaciones Cientificas y Tecnicas (CONICET); Universidad de la Republica, Uruguay</t>
  </si>
  <si>
    <t>Cavello, I (corresponding author), UNLP, CONICET, Ctr Invest &amp; Desarrollo Fermentac Ind CINDEFI, CCT La Plata, Calle 47 &amp; 115,B1900ASH, La Plata, Buenos Aires, Argentina.</t>
  </si>
  <si>
    <t>icavello@biotec.quimica.unlp.edu.ar</t>
  </si>
  <si>
    <t>Gonzalez -Pombo, Paula/0000-0002-5698-3590</t>
  </si>
  <si>
    <t>National Scientific and Technological Research Council; National Agency for the Pro- motion of Science and Technology [PICT 2018- 3194, PICT 2019-3123]; National Scientific and Tech- nological Research Council; National Agency for the Promotion of Science and Technology (ANPCyT) [PICT 2019-3123, PICT 2018-3194]</t>
  </si>
  <si>
    <t>National Scientific and Technological Research Council; National Agency for the Pro- motion of Science and Technology(ANPCyT); National Scientific and Tech- nological Research Council; National Agency for the Promotion of Science and Technology (ANPCyT)(ANPCyT)</t>
  </si>
  <si>
    <t>This work was supported by grants from the National Scientific and Technological Research Council and the National Agency for the Pro- motion of Science and Technology under Grants number PICT 2018- 3194 and PICT 2019-3123. Dr. Donald F. Haggerty, a retired academic career investigator and native English speaker, edited the final version of the manuscript. This work was supported by grants from the National Scientific and Tech- nological Research Council and the National Agency for the Promotion of Science and Technology (ANPCyT, PICT 2018-3194 and PICT 2019-3123) .</t>
  </si>
  <si>
    <t>2212-4292</t>
  </si>
  <si>
    <t>2212-4306</t>
  </si>
  <si>
    <t>FOOD BIOSCI</t>
  </si>
  <si>
    <t>Food Biosci.</t>
  </si>
  <si>
    <t>10.1016/j.fbio.2023.102572</t>
  </si>
  <si>
    <t>C9PT4</t>
  </si>
  <si>
    <t>WOS:000965161600001</t>
  </si>
  <si>
    <t>Gomez-Fell, R; Marsh, OJ; Rack, W; Wild, CT; Purdie, H</t>
  </si>
  <si>
    <t>Gomez-Fell, Rodrigo; Marsh, Oliver J. J.; Rack, Wolfgang; Wild, Christian T. T.; Purdie, Heather</t>
  </si>
  <si>
    <t>Basal mass balance and prevalence of ice tongues in the Western ross sea</t>
  </si>
  <si>
    <t>Antarctica; Ross Sea; ice tongue; melt rate; mass balance; ICESat-2; laser altimetry; Sentinel-1</t>
  </si>
  <si>
    <t>EAST ANTARCTICA; GLACIER TONGUE; CLIMATE-DRIVEN; VICTORIA LAND; MERTZ GLACIER; MCMURDO-SOUND; MELT RATES; SHELF; VARIABILITY; FRONT</t>
  </si>
  <si>
    <t>Ice tongues at the fringes of the Antarctic ice sheet lose mass primarily through both basal melting and calving. They are sensitive to ocean conditions which can weaken the ice both mechanically or through thinning. Ice tongues, which are laterally unconfined, are likely to be particularly sensitive to ocean-induced stresses. Here we examine ice tongues in the Western Ross Sea, by looking into the factors affecting their stability. We calculate the basal mass change of twelve Antarctic ice tongues using a flux gate approach, deriving thickness from ICESat-2 height measurements and ice surface velocities from Sentinel-1 feature-tracking over the same period (October 2018 to December 2021). The basal mass balance ranges between -0.14 +/- 0.07 m yr(-1) and -1.50 +/- 1.2 m yr(-1). The average basal mass change for all the ice tongues is -0.82 +/- 0.68 m of ice yr(-1). Low values of basal melt suggest a stable mass balance condition in this region, with low thermal ocean forcing, as other studies have shown. We found a heterogeneous basal melt pattern with no latitudinal gradient and no clear driver in basal melt indicating that local variables are important in the persistence of ice tongues in the absence of a strong oceanographic melting force. Moreover, thanks to the temporal resolution of the data we were able to resolve the seasonal variability of Drygalski and Aviator Ice Tongues, the two largest ice tongues studied.</t>
  </si>
  <si>
    <t>[Gomez-Fell, Rodrigo; Rack, Wolfgang] Univ Canterbury, Sch Earth &amp; Environm, Gateway Antarct, Christchurch, New Zealand; [Marsh, Oliver J. J.] British Antarctic Survey, Cambridge, England; [Wild, Christian T. T.] Oregon State Univ, Coll Earth Ocean &amp; Atmospher Sci, Corvallis, OR USA; [Purdie, Heather] Univ Canterbury, Sch Earth &amp; Environm, Christchurch, New Zealand</t>
  </si>
  <si>
    <t>University of Canterbury; UK Research &amp; Innovation (UKRI); Natural Environment Research Council (NERC); NERC British Antarctic Survey; Oregon State University; University of Canterbury</t>
  </si>
  <si>
    <t>Gomez-Fell, R (corresponding author), Univ Canterbury, Sch Earth &amp; Environm, Gateway Antarct, Christchurch, New Zealand.</t>
  </si>
  <si>
    <t>rodrigo.gomezfell@pg.canterbury.ac.nz</t>
  </si>
  <si>
    <t>Rack, Wolfgang/U-8898-2017</t>
  </si>
  <si>
    <t>New Zealand Antarctic Science Platform (ASP); Antarctic and High Latitude Climate Project (NIWA)</t>
  </si>
  <si>
    <t>The New Zealand Antarctic Science Platform (ASP) and the Antarctic and High Latitude Climate Project (NIWA) partially funded WR.</t>
  </si>
  <si>
    <t>10.3389/feart.2023.1057761</t>
  </si>
  <si>
    <t>C8TZ7</t>
  </si>
  <si>
    <t>WOS:000964593200001</t>
  </si>
  <si>
    <t>Naz, B; Liu, ZY; Malard, LA; Ali, I; Song, HX; Wang, YJ; Li, X; Usman, M; Ali, I; Liu, K; An, LZ; Xiao, S; Chen, SY</t>
  </si>
  <si>
    <t>Naz, Beenish; Liu, Ziyang; Malard, Lucie A.; Ali, Izhar; Song, Hongxian; Wang, Yajun; Li, Xin; Usman, Muhammad; Ali, Ikram; Liu, Kun; An, Lizhe; Xiao, Sa; Chen, Shuyan</t>
  </si>
  <si>
    <t>Dominant plant species play an important role in regulating bacterial antagonism in terrestrial Antarctica</t>
  </si>
  <si>
    <t>Antarctica; bacterial antagonism; dominant plants; edaphic characteristics; structural equation model</t>
  </si>
  <si>
    <t>MICROBIAL COMMUNITY COMPOSITION; PSEUDOMONAS SPP.; VASCULAR PLANTS; SOIL; DIVERSITY; DISEASE; STREPTOMYCES; BIOGEOGRAPHY; RICHNESS; RESOURCE</t>
  </si>
  <si>
    <t>In Antarctic terrestrial ecosystems, dominant plant species (grasses and mosses) and soil physicochemical properties have a significant influence on soil microbial communities. However, the effects of dominant plants on bacterial antagonistic interactions in Antarctica remain unclear. We hypothesized that dominant plant species can affect bacterial antagonistic interactions directly and indirectly by inducing alterations in soil physicochemical properties and bacterial abundance. We collected soil samples from two typical dominant plant species; the Antarctic grass Deschampsia antarctica and the Antarctic moss Sanionia uncinata, as well as bulk soil sample, devoid of vegetation. We evaluated bacterial antagonistic interactions, focusing on species from the genera Actinomyces, Bacillus, and Pseudomonas. We also measured soil physicochemical properties and evaluated bacterial abundance and diversity using high-throughput sequencing. Our results suggested that Antarctic dominant plants significantly influenced bacterial antagonistic interactions compared to bulk soils. Using structural equation modelling (SEM), we compared and analyzed the direct effect of grasses and mosses on bacterial antagonistic interactions and the indirect effects through changes in edaphic properties and bacterial abundance. SEMs showed that (1) grasses and mosses had a significant direct influence on bacterial antagonistic interactions; (2) grasses had a strong influence on soil water content, pH, and abundances of Actinomyces and Pseudomonas and (3) mosses influenced bacterial antagonistic interactions by impacting abundances of Actinomyces, Bacillus, and Pseudomonas. This study highlights the role of dominant plants in modulating bacterial antagonistic interactions in Antarctic terrestrial ecosystems.</t>
  </si>
  <si>
    <t>[Naz, Beenish; Liu, Ziyang; Ali, Izhar; Song, Hongxian; Wang, Yajun; Li, Xin; Ali, Ikram; An, Lizhe; Chen, Shuyan] Lanzhou Univ, Sch Life Sci, Minist Educ Key Lab Cell Act &amp; Stress Adaptat, Lanzhou, Gansu, Peoples R China; [Malard, Lucie A.] Univ Lausanne, Dept Ecol &amp; Evolut, Lausanne, Switzerland; [Usman, Muhammad] Lanzhou Univ, Coll Pastoral Agr Sci &amp; Technol, Lanzhou, Gansu, Peoples R China; [Liu, Kun; Xiao, Sa] Lanzhou Univ, Coll Ecol, State Key Lab Herbage Improvement &amp; Grassland Agro, Lanzhou, Gansu, Peoples R China</t>
  </si>
  <si>
    <t>Lanzhou University; University of Lausanne; Lanzhou University; Lanzhou University</t>
  </si>
  <si>
    <t>Chen, SY (corresponding author), Lanzhou Univ, Sch Life Sci, Minist Educ Key Lab Cell Act &amp; Stress Adaptat, Lanzhou, Gansu, Peoples R China.</t>
  </si>
  <si>
    <t>chenshy@lzu.edu.cn</t>
  </si>
  <si>
    <t>li, yansong/JXL-5023-2024; Wang, Peiyun/JVE-1196-2024; ZHU, Licheng/KHT-6106-2024; Sun, Xinyu/JXX-2281-2024; zheng, yan/JKJ-3632-2023; yang, xu/JMP-5558-2023; li, bai/JNE-1502-2023; Ma, Wei/JXY-5019-2024; Zhou, Yue/JHS-8791-2023; zhang, xiang/JJD-7003-2023; Zhang, Ge/KGL-7634-2024; Li, Shiyu/KHE-1376-2024; xu, wei/JZD-2112-2024; Wang, lingyu/JLM-2013-2023; Wang, Huiyan/JXW-9178-2024; Wang, yl/JNR-4963-2023; USMAN, MUHAMMAD/ISA-6541-2023; Zhang, Lijuan/KAM-0174-2024; zhang, xinyu/JKI-8403-2023; WANG, Bin/JGM-2639-2023; wang, hongyuan/JWP-2279-2024; Wang, Siying/KHX-1894-2024; Chen, Chao/JHS-6563-2023; LI, Wenhui/JCD-9947-2023; CHEN, AN/KFT-3370-2024; Wang, Yibin/KEZ-9645-2024; QIU, LI/JPK-7397-2023; wang, chen/JED-7289-2023; liu, xy/JEP-3175-2023; Zhang, Wenbin/JXX-8070-2024; Jiang, Yu/JEZ-9814-2023; zhou, xian/JYQ-9844-2024; yang, kun/JGM-4169-2023; Wang, Yuchen/JPW-9345-2023; Qi, Ling/KHE-3068-2024; liu, jianyang/JXL-6273-2024; Song, Hongxian/HHN-0331-2022; ali, izhar/JQN-9232-2023; Li, Jiawei/JOJ-9277-2023; zhao, lin/JJF-0406-2023; liu, xinyu/IWD-6630-2023; xuan, li/JNI-7432-2023; Zhang, Zhipeng/KHY-2239-2024; yu, hui/KDO-3946-2024</t>
  </si>
  <si>
    <t>Ma, Wei/0000-0002-7344-998X; USMAN, MUHAMMAD/0000-0002-0177-8442;</t>
  </si>
  <si>
    <t>10.3389/fmicb.2023.1130321</t>
  </si>
  <si>
    <t>D1QB7</t>
  </si>
  <si>
    <t>WOS:000966525600001</t>
  </si>
  <si>
    <t>Dow, CF</t>
  </si>
  <si>
    <t>Dow, Christine F.</t>
  </si>
  <si>
    <t>The role of subglacial hydrology in Antarctic ice sheet dynamics and stability: a modelling perspective</t>
  </si>
  <si>
    <t>Antarctic glaciology; glacier hydrology; ice-sheet modelling; subglacial processes</t>
  </si>
  <si>
    <t>BENEATH THWAITES GLACIER; DRAINAGE SYSTEM; WATER; MELT; SHELVES; FLOW; MELTWATER; DRIVEN</t>
  </si>
  <si>
    <t>Subglacial hydrology is an important component of the ice dynamic system in Antarctica but is challenging to investigate due to the large spatial scales of the catchment systems, the ice thickness, and remote location. Here I discuss key discoveries about Antarctic subglacial hydrology from the Glacier Drainage System (GlaDS) model, including the presence of long, often high-pressure, subglacial channels. These channels pump tens of cubic metres per second of freshwater into ice-shelf cavities and directly affect melt rates at the critical grounding zone regions. Future ice dynamics and ice-shelf cavity models should take subglacial hydrology into account if they are to accurately predict future behaviour of the Antarctic Ice Sheet.</t>
  </si>
  <si>
    <t>[Dow, Christine F.] Univ Waterloo, Dept Geog &amp; Environm Management, Waterloo, ON, Canada</t>
  </si>
  <si>
    <t>University of Waterloo</t>
  </si>
  <si>
    <t>Dow, CF (corresponding author), Univ Waterloo, Dept Geog &amp; Environm Management, Waterloo, ON, Canada.</t>
  </si>
  <si>
    <t>christine.dow@uwaterloo.ca</t>
  </si>
  <si>
    <t>Dow, Christine/0000-0003-1346-2258</t>
  </si>
  <si>
    <t>Natural Sciences and Engineering Research Council of Canada (NSERC) [RGPIN-03761-2017]; Canada Research Chairs Program [950-231237]</t>
  </si>
  <si>
    <t>Natural Sciences and Engineering Research Council of Canada (NSERC)(Natural Sciences and Engineering Research Council of Canada (NSERC)); Canada Research Chairs Program(Canada Research Chairs)</t>
  </si>
  <si>
    <t>Thanks go to Mauro Werder for use of the Glacier Drainage System (GlaDS) model and Mathieu Morlighem for provision of basal ice velocity and melt rates from the Ice Sheet and Sea-Level System (ISSM) model. Funding was provided by the Natural Sciences and Engineering Research Council of Canada (NSERC; RGPIN-03761-2017) and the Canada Research Chairs Program (950-231237). Supercomputing resources were provided by Compute Canada. Thanks also to Sue Cook for suggestions on this manuscript and to Kevin Siu for initial setup of the modelled domain.</t>
  </si>
  <si>
    <t>PII S0260305523000095</t>
  </si>
  <si>
    <t>10.1017/aog.2023.9</t>
  </si>
  <si>
    <t>WOS:000955665100001</t>
  </si>
  <si>
    <t>Heneghan, RF; Everett, JD; Blanchard, JL; Sykes, P; Richardson, AJ</t>
  </si>
  <si>
    <t>Heneghan, Ryan F.; Everett, Jason D.; Blanchard, Julia L.; Sykes, Patrick; Richardson, Anthony J.</t>
  </si>
  <si>
    <t>Climate-driven zooplankton shifts cause large-scale declines in food quality for fish</t>
  </si>
  <si>
    <t>NATURE CLIMATE CHANGE</t>
  </si>
  <si>
    <t>PHYTOPLANKTON BLOOM; SIZE STRUCTURE; GROWTH-RATES; BODY-SIZE; OCEAN; ECOSYSTEMS; MODEL; ATLANTIC; SPECTRA; REPRODUCTION</t>
  </si>
  <si>
    <t>Zooplankton are the primary energy pathway from phytoplankton to fish. Yet, there is limited understanding about how climate change will modify zooplankton communities and the implications for marine food webs globally. Using a trait-based marine ecosystem model resolving key zooplankton groups, we find that future oceans, particularly in tropical regions, favour food webs increasingly dominated by carnivorous (chaetognaths, jellyfish and carnivorous copepods) and gelatinous filter-feeding zooplankton (larvaceans and salps) at the expense of omnivorous copepods and euphausiids. By providing a direct energetic pathway from small phytoplankton to fish, the rise of gelatinous filter feeders partially offsets the increase in trophic steps between primary producers and fish from declining phytoplankton biomass and increases in carnivorous zooplankton. However, future fish communities experience reduced carrying capacity from falling phytoplankton biomass and less nutritious food as environmental conditions increasingly favour gelatinous zooplankton, slightly exacerbating projected declines in small pelagic fish biomass in tropical regions by 2100. Using a trait-based model that resolves key zooplankton groups, the authors reveal future shifts to food webs dominated by carnivorous and gelatinous filter-feeding zooplankton. Subsequent decreases in food nutrition are linked to declines in small pelagic fish biomass, particularly in tropical regions.</t>
  </si>
  <si>
    <t>[Heneghan, Ryan F.] Queensland Univ Technol, Sch Math Sci, Brisbane, Qld, Australia; [Everett, Jason D.; Sykes, Patrick; Richardson, Anthony J.] Univ Queensland, Sch Math &amp; Phys, St Lucia, Qld, Australia; [Everett, Jason D.; Richardson, Anthony J.] Commonwealth Sci &amp; Ind Res Org CSIRO Environm, Queensland Biosci Precinct, St Lucia, Qld, Australia; [Everett, Jason D.] Univ New South Wales, Ctr Marine Sci &amp; Innovat, Sch Biol Earth &amp; Environm Sci, Sydney, NSW, Australia; [Blanchard, Julia L.] Univ Tasmania, Inst Marine &amp; Antarctic Studies, Hobart, Tas, Australia</t>
  </si>
  <si>
    <t>Queensland University of Technology (QUT); University of Queensland; University of New South Wales Sydney; University of Tasmania</t>
  </si>
  <si>
    <t>Heneghan, RF (corresponding author), Queensland Univ Technol, Sch Math Sci, Brisbane, Qld, Australia.</t>
  </si>
  <si>
    <t>ryan.heneghan@gmail.com</t>
  </si>
  <si>
    <t>Richardson, Anthony J/B-3649-2010; Everett, Jason/C-4557-2008</t>
  </si>
  <si>
    <t>Richardson, Anthony J/0000-0002-9289-7366; Everett, Jason/0000-0002-6681-8054; Sykes, Patrick/0000-0002-8530-5932; Heneghan, Ryan/0000-0001-7626-1248</t>
  </si>
  <si>
    <t>Australian Government Research Training Program Scholarship - Australian Research Council [DP150102656, DP190102293]</t>
  </si>
  <si>
    <t>Australian Government Research Training Program Scholarship - Australian Research Council</t>
  </si>
  <si>
    <t>AcknowledgementsP.S. was supported by an Australian Government Research Training Program Scholarship. J.D.E. was funded by Australian Research Council Discovery Projects DP150102656 and DP190102293.</t>
  </si>
  <si>
    <t>1758-678X</t>
  </si>
  <si>
    <t>1758-6798</t>
  </si>
  <si>
    <t>NAT CLIM CHANGE</t>
  </si>
  <si>
    <t>Nat. Clim. Chang.</t>
  </si>
  <si>
    <t>s41558-023-01630-7</t>
  </si>
  <si>
    <t>10.1038/s41558-023-01630-7</t>
  </si>
  <si>
    <t>Environmental Sciences; Environmental Studies; Meteorology &amp; Atmospheric Sciences</t>
  </si>
  <si>
    <t>AR5Y7</t>
  </si>
  <si>
    <t>WOS:000955633200002</t>
  </si>
  <si>
    <t>Jonker, G; van Elsas, R; van der Lubbe, JHJL; van Westrenen, W</t>
  </si>
  <si>
    <t>Jonker, Guido; van Elsas, Roel; van Der Lubbe, Jeroen H. J. L.; van Westrenen, Wim</t>
  </si>
  <si>
    <t>Improved collection of rooftop micrometeorites through optimized extraction methods: The Budel collection</t>
  </si>
  <si>
    <t>COSMIC SPHERULES; ACCRETION RATE; INTERNAL STRUCTURE; ANTARCTIC SNOW; FRACTIONATION; DENSITY; NUGGETS; OXYGEN; DUST</t>
  </si>
  <si>
    <t>The scientific value of micrometeorites collected from deep-sea sediments or glacial deposits can be limited by poorly constrained accumulation times or severe alteration, coupled with a complex infrastructure of sampling expeditions. Collecting micrometeorites from rooftops has recently become a feasible alternative, but extraction methods have not been optimized or standardized to date. Here, we show that existing methods for the recovery of melted cosmic spherules (CSs) can be strongly improved by using a sequence of mineral separation techniques, including shape separation with an asymmetric vibrator and heavy liquid density separation with overflow centrifuges. We retrieved 1006 micrometeorites from the gutter of a barn in Budel, the Netherlands. Particle diameters are 80-515 mu m, with the major mode at 130 mu m and a slope exponent of -4.88. Differences in size distributions among various types of CSs indicate a multi-source influx, with CS textures controlled by their parent body's mineralogy and orbital parameters. Repeated sampling of the rooftop after accumulation times of 959 and 333 days allows for a time-integrated global mass flux estimate of 472 t year(-1). This estimate is notably higher than previous rooftop-based estimates but is still severely affected by micrometeorite loss from the gutter through drainage. The mass flux peaks at an equivalent particle diameter of similar to 200 mu m. The Budel collection is the first rooftop collection to contain abundant vitreous micrometeorites and include the coarse-grained S-type CS class. Unmelted and I-type micrometeorites remain difficult to extract from rooftop samples. Vitreous micrometeorites display various stages of weathering, showing that severe alteration of glass can progress at a faster rate in populated regions than previously assumed. This study demonstrates that methodological adjustments can drastically increase the scientific potential of rooftop micrometeorite collections.</t>
  </si>
  <si>
    <t>[Jonker, Guido; van Elsas, Roel; van Der Lubbe, Jeroen H. J. L.; van Westrenen, Wim] Vrije Univ Amsterdam, Fac Sci, Dept Earth Sci, De Boelelaan 1085, NL-1081 HV Amsterdam, Netherlands</t>
  </si>
  <si>
    <t>Vrije Universiteit Amsterdam</t>
  </si>
  <si>
    <t>Jonker, G (corresponding author), Vrije Univ Amsterdam, Fac Sci, Dept Earth Sci, De Boelelaan 1085, NL-1081 HV Amsterdam, Netherlands.</t>
  </si>
  <si>
    <t>guidojonker.vua@gmail.com</t>
  </si>
  <si>
    <t>van Westrenen, Wim/D-6495-2012</t>
  </si>
  <si>
    <t>van Westrenen, Wim/0000-0001-5828-8885; Jonker, Guido/0000-0001-7529-0282</t>
  </si>
  <si>
    <t>Department of Earth Sciences</t>
  </si>
  <si>
    <t>This study, funded by the Lunar and Planetary Laboratory at the Department of Earth Sciences (VU Amsterdam), was part of the MSc thesis of GJ. Samples were obtained from the gutter of a barn in Budel, the Netherlands, for which the owners (Beerten family) kindly granted permission. Epoxy mounts were prepared in the Geological Technical Laboratory by Bouke Lacet. GJ acknowledges the assistance of VU Amsterdam BSc students Tim Schipper and Jasper Tuithof during part of the SEM analyses. The authors thank Jan Smit for his advice at the onset of this project and Michel Haak for providing color images of the weathered vitreous micrometeorites. We extend our gratitude to Martin Suttle, Susan Taylor, Matthew Genge, and associate editor Donald Brownlee for their constructive comments and suggestions that helped to improve this manuscript.</t>
  </si>
  <si>
    <t>10.1111/maps.13966</t>
  </si>
  <si>
    <t>D3RM9</t>
  </si>
  <si>
    <t>WOS:000954778700001</t>
  </si>
  <si>
    <t>Canseco, JA; Chavez, L; Niklitschek, EJ; Yarnes, C; Harrod, C</t>
  </si>
  <si>
    <t>Canseco, J. A.; Chavez, L.; Niklitschek, E. J.; Yarnes, C.; Harrod, C.</t>
  </si>
  <si>
    <t>Variability and uncertainty associated to methods for estimating diet composition: The case of Champsocephalus gunnari in the South Orkney Islands</t>
  </si>
  <si>
    <t>ESTUARINE COASTAL AND SHELF SCIENCE</t>
  </si>
  <si>
    <t>Mixing models; S13C; S15N; Stable isotopes; Euphausia superba; Champsocephalus gunnari; Gut content analysis</t>
  </si>
  <si>
    <t>ISOTOPE MIXING MODELS; DISCRIMINATION FACTORS; NITROGEN ISOTOPES; STABLE-ISOTOPES; CARBON; GEORGIA; DELTA-C-13; VALUES; KRILL; FISH</t>
  </si>
  <si>
    <t>Diet studies are essential to understand predator-prey dynamics within a marine ecosystem and how diet changes with growth and habitat. Although a large number of diet estimation methods are currently used in fish ecology, few studies have assessed results sensitivity and variability within and between methods. Such sensitivity and variability might be higher for fishes inhabiting the Southern Ocean given strong seasonality, limited sampling opportunities and methodological assumptions derived from temperate waters. Being interested in characterizing the diet of Champsocephalus gunnari in the South Orkney Islands, we compared results from stomach content analysis (SCA) and stable isotope analysis (SIA), while assessing the sensitivity of SIA estimates to (i) prey lipid correction, (ii) trophic enrichment factors (TEFs), (iii) putative prey, and (iv) diet composition priors. Thus, 284 stomach contents and 600 muscle isotopic compositions (S13C/S15N) were used to produce SCA and SIA estimates using Bayesian methods. SIA sensitivity to TEF values was assessed by comparing McCutchan et al. (2003)'s global averages and Canseco et al. (2022)'s temperature- and baseline-adjusted values. SIA sensitivity to putative prey was tested by comparing 4- and 6-prey models based on our own and previously published SCA results, respectively. Tested informative priors corresponded to SCA estimates. SCA showed krill Euphausia superba contributed &gt;98% of C. gunnari diet. SIA estimates tended to produce smaller and more uncertain krill contribution estimates, which resulted highly sensitive to d15N assumptions. Thus, when d15N decreased from 5.2%0 (adjusted value) to 2.9%0 (global average) the estimated krill contribution decreased from 94% to 8%, departing largely from SCA estimates. As expected, informative priors enhanced consistency between SCA and SIA results. Overall, contribution means and credible intervals were highly sensitive to all tested methodological choices and, particularly, to TEF assumptions. While contrasting SCA and SIA seems a sensible way to identify methodological issues, our results highlight that adjusting TEF by temperature and prey isotopic baselines yield more accurate and precise results for cold-water fishes.</t>
  </si>
  <si>
    <t>[Canseco, J. A.] Univ Lagos, Programa Doctorado Ciencias, menc Conservac &amp; Manejo Recursos Nat, Camino Chinquihue Km 6, Puerto Montt, Chile; [Chavez, L.; Niklitschek, E. J.] Univ Lagos, Ctr imar, Osorno, Chile; [Yarnes, C.] Univ Calif Davis, Stable Isotope Facil, Davis, CA USA; [Harrod, C.] Univ Antofagasta, Inst Ciencias Nat Alexander Humboldt, Antofagasta, Chile</t>
  </si>
  <si>
    <t>Universidad de Los Lagos; Universidad de Los Lagos; University of California System; University of California Davis; Universidad de Antofagasta</t>
  </si>
  <si>
    <t>Canseco, JA (corresponding author), Univ Lagos, Programa Doctorado Ciencias, menc Conservac &amp; Manejo Recursos Nat, Camino Chinquihue Km 6, Puerto Montt, Chile.</t>
  </si>
  <si>
    <t>joseantonio.canseco@alumnos.ulagos.cl</t>
  </si>
  <si>
    <t>; Harrod, Chris/A-8830-2008</t>
  </si>
  <si>
    <t>Yarnes, Christopher/0000-0003-4559-0465; Harrod, Chris/0000-0002-5353-1556</t>
  </si>
  <si>
    <t>INACH; University of Los Lagos [RT_68-18]; ANID; University of Los Lagos-Campus Puerto Montt; Chilean Antarctic Institute (INACH) [RT 29/18]; Norwegian Institute of Marine Research and DERIS; ANID Millennium Science Initiatives [NCN2021_056, NCN19_153]</t>
  </si>
  <si>
    <t>INACH; University of Los Lagos; ANID; University of Los Lagos-Campus Puerto Montt; Chilean Antarctic Institute (INACH); Norwegian Institute of Marine Research and DERIS; ANID Millennium Science Initiatives</t>
  </si>
  <si>
    <t>The authors declare the following financial interests/personal relationships which may be considered as potential competing interests: Edwin Niklitschek reports financial support was provided by INACH. Edwin J. Niklitschek reports financial support was provided by University of Los Lagos. Chris Harrod reports financial support was provided by ANID. Jose Canseco reports financial support was provided by University of Los Lagos-Campus Puerto Montt. J. Canseco was supported by a doctoral fellowship from Universidad de Los Lagos (Chile). E. Niklitschek was supported by the Chilean Antarctic Institute (INACH) trough grant RT_68-18 and by Universidad de Los Lagos trough Research Grant RT 29/18. The Norwegian Institute of Marine Research and DERIS S.A. provided key sampling opportunities aboard the RV Kronprins Haakon and the FV Antarctic Endeavour, respectively. C. Harrod is supported by ANID Millennium Science Initiatives: NCN2021_056-Millennium Nucleus of Austral Invasive Sal- monids and NCN19_153-Millennium Nucleus UPWELL.</t>
  </si>
  <si>
    <t>0272-7714</t>
  </si>
  <si>
    <t>1096-0015</t>
  </si>
  <si>
    <t>ESTUAR COAST SHELF S</t>
  </si>
  <si>
    <t>Estuar. Coast. Shelf Sci.</t>
  </si>
  <si>
    <t>MAY 31</t>
  </si>
  <si>
    <t>10.1016/j.ecss.2023.108302</t>
  </si>
  <si>
    <t>M3KN1</t>
  </si>
  <si>
    <t>WOS:001029202100001</t>
  </si>
  <si>
    <t>Edgar, GJ; Stuart-Smith, RD; Heather, FJ; Barrett, NS; Turak, E; Sweatman, H; Emslie, MJ; Brock, DJ; Hicks, J; French, B; Baker, SC; Howe, SA; Jordan, A; Knott, NA; Mooney, P; Cooper, AT; Oh, ES; Soler, GA; Mellin, C; Ling, SD; Dunic, JC; Turnbull, JW; Day, PB; Larkin, MF; Seroussi, Y; Stuart-Smith, J; Clausius, E; Davis, TR; Shields, J; Shields, D; Johnson, OJ; Fuchs, YH; Denis-Roy, L; Jones, T; Bates, AE</t>
  </si>
  <si>
    <t>Edgar, Graham J.; Stuart-Smith, Rick D.; Heather, Freddie J.; Barrett, Neville S.; Turak, Emre; Sweatman, Hugh; Emslie, Michael J.; Brock, Danny J.; Hicks, Jamie; French, Ben; Baker, Susan C.; Howe, Steffan A.; Jordan, Alan; Knott, Nathan A.; Mooney, Peter; Cooper, Antonia T.; Oh, Elizabeth S.; Soler, German A.; Mellin, Camille; Ling, Scott D.; Dunic, Jillian C.; Turnbull, John W.; Day, Paul B.; Larkin, Meryl F.; Seroussi, Yanir; Stuart-Smith, Jemina; Clausius, Ella; Davis, Tom R.; Shields, Joe; Shields, Derek; Johnson, Olivia J.; Fuchs, Yann Herrera; Denis-Roy, Lara; Jones, Tyson; Bates, Amanda E.</t>
  </si>
  <si>
    <t>Continent-wide declines in shallow reef life over a decade of ocean warming</t>
  </si>
  <si>
    <t>MARINE; BIODIVERSITY; CLIMATE; POPULATION; TRENDS; HALF; RESPONSES; IMPACT; ROCKY; SCALE</t>
  </si>
  <si>
    <t>Human society is dependent on nature(1,2), but whether our ecological foundations are at risk remains unknown in the absence of systematic monitoring of species' populations(3). Knowledge of species fluctuations is particularly inadequate in the marine realm(4). Here we assess the population trends of 1,057 common shallow reef species from multiple phyla at 1,636 sites around Australia over the past decade. Most populations decreased over this period, including many tropical fishes, temperate invertebrates (particularly echinoderms) and southwestern Australian macroalgae, whereas coral populations remained relatively stable. Population declines typically followed heatwave years, when local water temperatures were more than 0.5 ? above temperatures in 2008. Following heatwaves(5,6), species abundances generally tended to decline near warm range edges, and increase near cool range edges. More than 30% of shallow invertebrate species in cool latitudes exhibited high extinction risk, with rapidly declining populations trapped by deep ocean barriers, preventing poleward retreat as temperatures rise. Greater conservation effort is needed to safeguard temperate marine ecosystems, which are disproportionately threatened and include species with deep evolutionary roots. Fundamental among such efforts, and broader societal needs to efficiently adapt to interacting anthropogenic and natural pressures, is greatly expanded monitoring of species' population trends(7,8).</t>
  </si>
  <si>
    <t>[Edgar, Graham J.; Stuart-Smith, Rick D.; Heather, Freddie J.; Barrett, Neville S.; Turak, Emre; Jordan, Alan; Cooper, Antonia T.; Oh, Elizabeth S.; Soler, German A.; Ling, Scott D.; Day, Paul B.; Stuart-Smith, Jemina; Clausius, Ella; Johnson, Olivia J.; Fuchs, Yann Herrera; Denis-Roy, Lara; Jones, Tyson] Univ Tasmania, Inst Marine &amp; Antarctic Studies, Hobart, Tas, Australia; [Edgar, Graham J.; Stuart-Smith, Rick D.; Mooney, Peter; Cooper, Antonia T.; Day, Paul B.; Shields, Joe; Shields, Derek] Reef Life Survey Fdn, Battery Point, Tas, Australia; [Sweatman, Hugh; Emslie, Michael J.] Australian Inst Marine Sci, Townsville, Qld, Australia; [Brock, Danny J.; Hicks, Jamie] Dept Environm &amp; Water, Marine Sci Program, Adelaide, SA, Australia; [French, Ben] Dept Biodivers Conservat &amp; Attract, Marine Sci Program, Kensington, WA, Australia; [Baker, Susan C.] Univ Tasmania, Sch Nat Sci, Hobart, Tas, Australia; [Howe, Steffan A.] Pk Victoria, Melbourne, Vic, Australia; [Jordan, Alan; Knott, Nathan A.] NSW Dept Primary Ind, Port Stephens Fisheries Inst, Nelson Bay, NSW, Australia; [Mellin, Camille] Univ Adelaide, Environm Inst, Adelaide, SA, Australia; [Mellin, Camille] Univ Adelaide, Sch Biol Sci, Adelaide, SA, Australia; [Dunic, Jillian C.] Simon Fraser Univ, Dept Biol Sci, Burnaby, BC, Canada; Univ Sydney, SOLES, Camperdown, NSW, Australia; Southern Cross Univ, Natl Marine Sci Ctr, Coffs Harbour, NSW, Australia; Underwater Res Grp Queensland, Yeerongpilly, Qld, Australia; NSW Dept Primary Ind, Fisheries Res, Coffs Harbour, NSW, Australia; Univ Victoria, Biol Dept, Victoria, BC, Canada</t>
  </si>
  <si>
    <t>University of Tasmania; Australian Institute of Marine Science; University of Tasmania; Melbourne Genomics Health Alliance; NSW Department of Primary Industries; University of Adelaide; University of Adelaide; Simon Fraser University; University of Sydney; Southern Cross University; NSW Department of Primary Industries; University of Victoria</t>
  </si>
  <si>
    <t>Edgar, GJ (corresponding author), Univ Tasmania, Inst Marine &amp; Antarctic Studies, Hobart, Tas, Australia.;Edgar, GJ (corresponding author), Reef Life Survey Fdn, Battery Point, Tas, Australia.</t>
  </si>
  <si>
    <t>g.edgar@utas.edu.au</t>
  </si>
  <si>
    <t>Edgar, Graham/AAY-3797-2020; Barrett, Neville/J-7593-2014; Davis, Thomas/T-5803-2017; Stuart-Smith, Rick/M-1829-2013</t>
  </si>
  <si>
    <t>Edgar, Graham/0000-0003-0833-9001; Barrett, Neville/0000-0002-6167-1356; Oh, Elizabeth/0000-0001-7061-5068; Jones, Tyson/0000-0002-7135-8136; Davis, Thomas/0000-0003-0199-2024; Mellin, Camille/0000-0002-7369-2349; Stuart-Smith, Rick/0000-0002-8874-0083; Johnson, Olivia/0000-0002-2928-7784</t>
  </si>
  <si>
    <t>Australia's Integrated Marine Observing System (IMOS)</t>
  </si>
  <si>
    <t>Support for field surveys and analyses was provided by the Australian Research Council; the Australian Institute of Marine Science; the Institute for Marine and Antarctic Studies; Parks Australia; Department of Natural Resources and Environment Tasmania; New South Wales Department of Primary Industries; Parks Victoria; South Australia Department of Environment, Water and Natural Resources; Western Australia Department of Biodiversity, Conservation and Attractions; The Ian Potter Foundation; Minderoo Foundation; and the Marine Biodiversity Hub, a collaborative partnership supported through the Australian Government's National Environmental Science Programme. We thank the many colleagues and Reef Life Survey (RLS) divers who participated in data collection. RLS and ATRC data management is supported by Australia's Integrated Marine Observing System (IMOS)-IMOS is enabled by the National Collaborative Research Infrastructure Strategy (NCRIS).</t>
  </si>
  <si>
    <t>10.1038/s41586-023-05833-y</t>
  </si>
  <si>
    <t>WOS:000985863500003</t>
  </si>
  <si>
    <t>Presta, ML; Riccialdelli, L; Bruno, DO; Castro, LR; Fioramonti, NE; Florentín, OV; Berghoff, CF; Capitanio, FL; Lovrich, GA</t>
  </si>
  <si>
    <t>Presta, Maria Laura; Riccialdelli, Luciana; Bruno, Daniel Osvaldo; Castro, Leonardo Roman; Fioramonti, Nicolas Ezequiel; Florentin, Olga Viviana; Berghoff, Carla Florencia; Capitanio, Fabiana Lia; Lovrich, Gustavo Alejandro</t>
  </si>
  <si>
    <t>Mesozooplankton community structure and trophic relationships in an austral high-latitude ecosystem (Beagle Channel): The role of bottom-up and top-down forces during springtime</t>
  </si>
  <si>
    <t>Zooplankton assemblages; Meroplankton; Food webs; Stable isotopes; Spatial variations; Sub -Antarctic region</t>
  </si>
  <si>
    <t>CARBON FLOW-THROUGH; PELAGIC FOOD-WEB; MUNIDA-GREGARIA; STABLE-ISOTOPES; COASTAL WATERS; ORGANIC-MATTER; SOUTHERN; ZOOPLANKTON; PLANKTON; DECAPODA</t>
  </si>
  <si>
    <t>High-latitude marine environments, such as the Beagle Channel, are highly vulnerable to modifications related to climate change and anthropogenic impacts, which can rapidly affect the ecological attributes of plankton communities and thus alter ecosystem trophodynamics. This study compares the mesozooplankton community structure in the inner and outer (eastern) Beagle Channel during spring and assesses the interactions of the main mesozooplankton trophic groups with lower and higher trophic level organisms under an isotopic approach. Oceanographic data and biological samples, ranging from sediment and phytoplankton to pelagic squat lobsters (Grimothea gregaria), were collected along the channel during two research cruises conducted in November 2019. Mesozooplankton abundance and taxonomic composition differed between sectors, in agreement with their distinct environmental conditions. The inner sector was dominated by copepods, mainly Clausocalanidae spp., followed by cirripede and echinoderm larvae and appendicularians. In the outer sector, with shallower, saltier, and warmer waters than the inner one, mesozooplankton abundances were notably higher and both copepods and decapod larvae, mainly Peltarion spinosulum and G. gregaria zoeae, were dominant. This pattern in meroplankton abundance was consistent with the bathymetric distribution reported for benthic adults. Betweensector differences in taxonomic composition, e.g., Macruronus novaezelandiae (hake) larvae occurring only in the outer sector, may be attributed to the higher connectivity between this sector and the open ocean and the semi-enclosed character of the inner channel. Mesozooplankton spatial variability was partially reflected in the isotopic niche width of their different trophic groups such as copepods, euphausiids and decapod larvae. However, at the community level, trophic attributes (i.e., baseline resources, trophic positions, isotopic diversity metrics) were quite similar in the two sectors, suggesting similar basal and vertical trophic structures. According to Bayesian stable isotope mixing models, most trophic groups, including pelagic G. gregaria, rely on phytoplankton as their main carbon source. This reveals a weak predation pressure on mesozooplankton by the squat lobster and reinforces a bottom-up regulation during the spring season. This study contributes to our knowledge of trophic interactions in plankton communities and how they are regulated by bottom-up and top-down forces, which is imperative for monitoring and management purposes.</t>
  </si>
  <si>
    <t>[Presta, Maria Laura; Capitanio, Fabiana Lia] Univ Buenos Aires, Fac Ciencias Exactas &amp; Nat, Dept Biodivers &amp; Biol Expt DBBE, Intendente Guiraldes 2160,C1428EGA, Buenos Aires, Argentina; [Presta, Maria Laura; Capitanio, Fabiana Lia] Univ Buenos Aires, Fac Ciencias Exactas &amp; Nat, Inst Biodivers &amp; Biol Expt &amp; Aplicada IBBEA, UBA,CONICET, Intendente Guiraldes 2160,C1428EGA, Buenos Aires, Argentina; [Riccialdelli, Luciana; Bruno, Daniel Osvaldo; Fioramonti, Nicolas Ezequiel; Florentin, Olga Viviana; Lovrich, Gustavo Alejandro] Ctr Austral Invest Cient CADIC CONICET, Bernardo Houssay 200,V9410CAB, Ushuaia, Tierra Del Fueg, Argentina; [Castro, Leonardo Roman] Univ Concepcion, Dept Oceanog, Concepcion, Chile; [Castro, Leonardo Roman] Univ Concepcion, Ctr Invest Oceanog COPAS Sur Austral, Concepcion, Chile; [Castro, Leonardo Roman] Ctr FONDAP Invest Dinam Ecosistemas Marinos Altas, Punta Arenas, Chile; [Berghoff, Carla Florencia] Inst Nacl Invest &amp; Desarrollo Pesquero INIDEP, Paseo Victoria Ocampo 1,Escollera Norte,B7602HSA, Buenos Aires, Argentina</t>
  </si>
  <si>
    <t>University of Buenos Aires; Consejo Nacional de Investigaciones Cientificas y Tecnicas (CONICET); University of Buenos Aires; Consejo Nacional de Investigaciones Cientificas y Tecnicas (CONICET); Universidad de Concepcion; Universidad de Concepcion; National Fisheries Research &amp; Development Institute (INIDEP)</t>
  </si>
  <si>
    <t>Presta, ML (corresponding author), Univ Buenos Aires, Fac Ciencias Exactas &amp; Nat, Dept Biodivers &amp; Biol Expt DBBE, Intendente Guiraldes 2160,C1428EGA, Buenos Aires, Argentina.</t>
  </si>
  <si>
    <t>mlaupresta@gmail.com</t>
  </si>
  <si>
    <t>Lovrich, Gustavo/0000-0001-8424-6566</t>
  </si>
  <si>
    <t>Iniciativa Pampa Azul, Ministerio de Ciencia, Tecnologia e Innovacion, Consejo Nacional de Investigaciones Cientificas y Tecnicas [26875]; Prince Albert II Foundation grant [2863]; FONDAP-IDEAL grant [15150003]; Centro COPAS Sur Austral [ANID PIA APOYO CCTE AFB170006]; Centro COPAS COASTAL [FB210021]; CONICET</t>
  </si>
  <si>
    <t>Iniciativa Pampa Azul, Ministerio de Ciencia, Tecnologia e Innovacion, Consejo Nacional de Investigaciones Cientificas y Tecnicas; Prince Albert II Foundation grant; FONDAP-IDEAL grant; Centro COPAS Sur Austral; Centro COPAS COASTAL; CONICET(Consejo Nacional de Investigaciones Cientificas y Tecnicas (CONICET))</t>
  </si>
  <si>
    <t>We are grateful to the Centro Austral de Investigaciones Cientificas (CADIC-CONICET), the Instituto Nacional de Investigacion y Desarrollo Pesquero (INIDEP), the captain and the crew of the RV Victor Angelescu, the Coast Guard Service of Argentina and the Chilean Navy for their assistance and logistic support during the survey. Special thanks to the scientific coordinators of the binational Argentina-Chile research cruise G.A. Ferreyra and H. Gonzalez Estay, the scientific chiefs M.J. Diez, A. Cabreira and R. Giesecke, and the Ministries of Foreign Affairs of Argentina and Chile. We also thank the entire scientific groups on board for their help during fieldwork in the VA1119 and the VA1019 research cruises and Drs. Mariela Spinelli and Emilse Rombola for their help with the taxonomic identification of euphausiids. This study was funded by Iniciativa Pampa Azul, Ministerio de Ciencia, Tecnologia e Innovacion, Consejo Nacional de Investigaciones Cientificas y Tecnicas, grant RES-2019-2020-APN-DIR#CONICET, MPA Namuncura-Burd-wood Bank (National Law 26875) (partial funding of ship time in the two research cruises), Prince Albert II Foundation grant to Gustavo Ferreyra (No 2863), and FONDAP-IDEAL grant No 15150003. LC was partially funded by FONDAP-IDEAL Center (grant No 15150003), Centro COPAS Sur Austral (ANID PIA APOYO CCTE AFB170006) and Centro COPAS COASTAL (FB210021). During this study, M.L. Presta had a CONICET post-doctoral fellowship.</t>
  </si>
  <si>
    <t>10.1016/j.jmarsys.2023.103881</t>
  </si>
  <si>
    <t>C4JZ0</t>
  </si>
  <si>
    <t>WOS:000961608300001</t>
  </si>
  <si>
    <t>Wang, JH; Zhang, Y; Liu, Y; Xie, Z; Cao, JW; Zhang, HC; Liu, J; Bao, TQ; Sun, CW; Liu, BL; Wei, YL; Fang, JS</t>
  </si>
  <si>
    <t>Wang, Jiahua; Zhang, Yan; Liu, Ying; Xie, Zhe; Cao, Junwei; Zhang, Hongcai; Liu, Jie; Bao, Tianqiang; Sun, Congwen; Liu, Bilin; Wei, Yuli; Fang, Jiasong</t>
  </si>
  <si>
    <t>The phylogeny and metabolic potentials of an n-alkane-degrading Venatorbacter bacterium isolated from deep-sea sediment of the Mariana Trench</t>
  </si>
  <si>
    <t>Trench sediment; Venatorbacter; n-alkane utilization; environmental distribution; extracellular macromolecule degradation</t>
  </si>
  <si>
    <t>GENOME SEQUENCE; SP-NOV.; OIL; DEGRADATION; ECTOINE; ACCUMULATION; HYDROCARBONS; ADAPTATION; ALIGNMENT; PRESSURE</t>
  </si>
  <si>
    <t>Recently, several reports showed that n-alkanes were abundant in the hadal zone, suggesting that n-alkanes could be an important source of nutrients for microorganisms in hadal ecosystems. To date, most of the published studies on the microbial capacity to degrade hydrocarbons were conducted only at atmospheric temperature and pressure (0.1 MPa), and little is known about whether and which microbes could utilize n-alkanes at in situ environmental conditions in the hadal zone, including low temperature and high hydrostatic pressure (especially &gt;30 MPa). In this study, a piezotolerant bacterium, strain C2-1, was isolated from a Mariana Trench sediment at depth of 5,800 m. Strain C2-1 was able to grow at in situ temperature (4 degrees C) and pressure (58 MPa) with n-alkanes as the sole carbon source. Phylogenetically, strain C2-1 and related strains (TMPB967, ST750PaO-4, IMCC1826, and TTBP476) should be classified into the genus Venatorbacter. Metagenomic analysis using similar to 5,000 publicly available datasets showed that Venatorbacter has a wide environmental distribution in seawater (38), marine sediments (3), hydrothermal vent plumes (2), Antarctic ice (1), groundwater (13), and marine sponge ecosystems (1). Most Venatorbacter species are non-obligate n-alkane degraders that could utilize, at a minimal, C16-C18 n-alkanes, as well as other different types of carbon substrates, including carbohydrates, amino acids, peptides, and phospholipids. The type II secretion system, extracellular proteases, phospholipase, and endonuclease of Venatorbacter species were robustly expressed in the metatranscriptomes of deep-sea hydrothermal vents, suggesting their important contribution to secondary productivity by degrading extracellular macromolecules. The identification of denitrifying genes suggested a genus-specific ecological potential that allowed Venatorbacter species to be active in anoxic environments, e.g., the oxygen-minimal zone (OMZ) and the deeply buried marine sediments. Our results show that Venatorbacter species are responsible for the degradation of hydrocarbon and extracellular macromolecules, suggesting that they may play an important role in the biogeochemistry process in the Trench ecosystems.</t>
  </si>
  <si>
    <t>[Wang, Jiahua; Zhang, Yan; Liu, Ying; Xie, Zhe; Cao, Junwei; Zhang, Hongcai; Liu, Jie; Bao, Tianqiang; Sun, Congwen; Liu, Bilin; Wei, Yuli; Fang, Jiasong] Shanghai Ocean Univ, Coll Marine Sci, Shanghai Engn Res Ctr Hadal Sci &amp; Technol, Shanghai, Peoples R China; [Zhang, Yan] Tongji Univ, State Key Lab Marine Geol, Shanghai, Peoples R China; [Xie, Zhe; Fang, Jiasong] Qingdao Natl Lab Marine Sci &amp; Technol, Lab Marine Biol &amp; Biotechnol, Qingdao, Peoples R China</t>
  </si>
  <si>
    <t>Shanghai Ocean University; Tongji University; Laoshan Laboratory</t>
  </si>
  <si>
    <t>Wei, YL; Fang, JS (corresponding author), Shanghai Ocean Univ, Coll Marine Sci, Shanghai Engn Res Ctr Hadal Sci &amp; Technol, Shanghai, Peoples R China.;Fang, JS (corresponding author), Qingdao Natl Lab Marine Sci &amp; Technol, Lab Marine Biol &amp; Biotechnol, Qingdao, Peoples R China.</t>
  </si>
  <si>
    <t>yl_wei@shou.edu.cn; jsfang@shou.edu.cn</t>
  </si>
  <si>
    <t>CAO, Junwei/V-6350-2019</t>
  </si>
  <si>
    <t>CAO, Junwei/0000-0002-6913-2509</t>
  </si>
  <si>
    <t>National Natural Science Foundation of China [91951210, 42073077, 92251303]; China Postdoctoral Science Foundation [2021M702086]; Ministry of Agriculture and Rural Affairs</t>
  </si>
  <si>
    <t>National Natural Science Foundation of China(National Natural Science Foundation of China (NSFC)); China Postdoctoral Science Foundation(China Postdoctoral Science Foundation); Ministry of Agriculture and Rural Affairs(Gida Tarim Ve Hayvancilik Bakanligi)</t>
  </si>
  <si>
    <t>Funding This study was funded by the National Natural Science Foundation of China (Grant Nos. 91951210, 42073077, and 92251303). JW acknowledges the China Postdoctoral Science Foundation (Grant No. 2021M702086). BL acknowledges the program on the survey, monitoring, and assessment of global fishery resources sponsored by the Ministry of Agriculture and Rural Affairs.</t>
  </si>
  <si>
    <t>MAR 22</t>
  </si>
  <si>
    <t>10.3389/fmicb.2023.1108651</t>
  </si>
  <si>
    <t>C6DE4</t>
  </si>
  <si>
    <t>WOS:000962791800001</t>
  </si>
  <si>
    <t>Stevens, MI; Mackintosh, AN</t>
  </si>
  <si>
    <t>Stevens, Mark I.; Mackintosh, Andrew N.</t>
  </si>
  <si>
    <t>Location, location, location: survival of Antarctic biota requires the best real estate</t>
  </si>
  <si>
    <t>BIOLOGY LETTERS</t>
  </si>
  <si>
    <t>springtails; ice-free; glacial refuge; cosmogenic dating; nunatak; ice sheet</t>
  </si>
  <si>
    <t>WEDDELL SEA EMBAYMENT; ICE-SHEET; TRANSANTARCTIC MOUNTAINS; ROSS SEA; MIDDLE MIOCENE; DUFEK MASSIF; BIOGEOGRAPHY; DEGLACIATION; SUCCESSION; SPRINGTAILS</t>
  </si>
  <si>
    <t>The origin of terrestrial biota in Antarctica has been debated since the discovery of springtails on the first historic voyages to the southern continent more than 120 years ago. A plausible explanation for the long-term persistence of life requiring ice-free land on continental Antarctica has, however, remained elusive. The default glacial eradication scenario has dominated because hypotheses to date have failed to provide a mechanism for their widespread survival on the continent, particularly through the Last Glacial Maximum when geological evidence demonstrates that the ice sheet was more extensive than present. Here, we provide support for the alternative nunatak refuge hypothesis-that ice-free terrain with sufficient relief above the ice sheet provided refuges and was a source for terrestrial biota found today. This hypothesis is supported here by an increased understanding from the combination of biological and geological evidence, and we outline a mechanism for these refuges during successive glacial maxima that also provides a source for coastal species. Our cross-disciplinary approach provides future directions to further test this hypothesis that will lead to new insights into the evolution of Antarctic landscapes and how they have shaped the biota through a changing climate.</t>
  </si>
  <si>
    <t>[Stevens, Mark I.] South Australian Museum, Securing Antarcticas Environm Future, Earth &amp; Biol Sci, Adelaide, SA 5000, Australia; [Stevens, Mark I.] Univ Adelaide, Sch Biol Sci, Adelaide, SA 5005, Australia; [Mackintosh, Andrew N.] Monash Univ, Sch Earth Atmosphere &amp; Environm, Securing Antarcticas Environm Future, Melbourne, Vic 3800, Australia</t>
  </si>
  <si>
    <t>South Australian Museum; University of Adelaide; Melbourne Genomics Health Alliance; Monash University</t>
  </si>
  <si>
    <t>Stevens, MI (corresponding author), South Australian Museum, Securing Antarcticas Environm Future, Earth &amp; Biol Sci, Adelaide, SA 5000, Australia.;Stevens, MI (corresponding author), Univ Adelaide, Sch Biol Sci, Adelaide, SA 5005, Australia.</t>
  </si>
  <si>
    <t>mark.stevens@samuseum.sa.gov.au</t>
  </si>
  <si>
    <t>Mackintosh, Andrew/0000-0002-6430-4711</t>
  </si>
  <si>
    <t>Australian Research Council (ARC) [SR200100005]</t>
  </si>
  <si>
    <t>Australian Research Council (ARC)(Australian Research Council)</t>
  </si>
  <si>
    <t>This manuscript was supported in part from the Australian Research Council (ARC) funding under the SRIEAS (grant agreement no. SR200100005) (Securing Antarctica's Environmental Future).</t>
  </si>
  <si>
    <t>1744-9561</t>
  </si>
  <si>
    <t>1744-957X</t>
  </si>
  <si>
    <t>BIOL LETTERS</t>
  </si>
  <si>
    <t>Biol. Lett.</t>
  </si>
  <si>
    <t>10.1098/rsbl.2022.0590</t>
  </si>
  <si>
    <t>Biology; Ecology; Evolutionary Biology</t>
  </si>
  <si>
    <t>Life Sciences &amp; Biomedicine - Other Topics; Environmental Sciences &amp; Ecology; Evolutionary Biology</t>
  </si>
  <si>
    <t>A7SP1</t>
  </si>
  <si>
    <t>Green Published, hybrid, Green Submitted</t>
  </si>
  <si>
    <t>WOS:000957083500002</t>
  </si>
  <si>
    <t>Volzke, S; Cleeland, JB; Hindell, MA; Corney, SP; Wotherspoon, SJ; McMahon, CR</t>
  </si>
  <si>
    <t>Volzke, Sophia; Cleeland, Jaimie B.; Hindell, Mark A.; Corney, Stuart P.; Wotherspoon, Simon J.; McMahon, Clive R.</t>
  </si>
  <si>
    <t>Extreme polygyny results in intersex differences in age-dependent survival of a highly dimorphic marine mammal</t>
  </si>
  <si>
    <t>Cormack-Jolly-Seber model; demography; southern elephant seal; mark-recapture; Mirounga leonina</t>
  </si>
  <si>
    <t>SOUTHERN ELEPHANT SEALS; MIROUNGA-LEONINA L; JUVENILE SOUTHERN; DECLINING POPULATION; SEX; SELECTION; DYNAMICS; SIZE</t>
  </si>
  <si>
    <t>Developmental differences in vital rates are especially profound in polygamous mating systems. Southern elephant seals (Mirounga leonina) are highly dimorphic and extremely polygynous marine mammals. A demographic model, supported by long-term capture-mark-recapture records, investigated the influence of sex and age on survival in this species. The study revealed clear differences between female and male age-dependent survival rates. Overall juvenile survival estimates were stable around 80-85% for both sexes. However, male survival estimates were 5-10% lower than females in the same age classes until 8 years of age. At this point, male survival decreased rapidly to 50% +/- 10% while female estimates remained constant at 80% +/- 5%. Different energetic requirements could underpin intersex differences in adult survival. However, the species' strong sexual dimorphism diverges during early juvenile development when sex-specific survival rates were less distinct. Maximizing growth is especially advantageous for males, with size being a major determinant of breeding probability. Maturing males may employ a high-risk high-reward foraging strategy to compensate for extensive sexual selection pressures and sex-specific energetic needs. Our findings suggest sex-specific adult survival is a result of in situ ecological interactions and evolutionary specialization associated with being a highly polygynous marine predator.</t>
  </si>
  <si>
    <t>[Volzke, Sophia; Cleeland, Jaimie B.; Hindell, Mark A.; Corney, Stuart P.; McMahon, Clive R.] Univ Tasmania, Inst Marine &amp; Antarctic Studies, Hobart, Tas 7005, Australia; [Corney, Stuart P.] Univ Tasmania, Ctr Marine Socioecol, Hobart, Tas 7005, Australia; [Corney, Stuart P.] Univ Tasmania, Australian Antarctic Partnership Program, Hobart, Tas 7005, Australia; [Volzke, Sophia; Cleeland, Jaimie B.; Wotherspoon, Simon J.] Dept Agr Water &amp; Environm, Australian Antarctic Div, Kingston, Tas 7050, Australia; [McMahon, Clive R.] Sydney Inst Marine Sci, IMOS Anim Tagging, Mosman, NSW 2088, Australia</t>
  </si>
  <si>
    <t>University of Tasmania; University of Tasmania; University of Tasmania; Australian Antarctic Division; Sydney Institute of Marine Science</t>
  </si>
  <si>
    <t>Volzke, S (corresponding author), Univ Tasmania, Inst Marine &amp; Antarctic Studies, Hobart, Tas 7005, Australia.;Volzke, S (corresponding author), Dept Agr Water &amp; Environm, Australian Antarctic Div, Kingston, Tas 7050, Australia.</t>
  </si>
  <si>
    <t>sophia.volzke@utas.edu.au</t>
  </si>
  <si>
    <t>McMahon, Clive R/D-5713-2013; Hindell, Mark A/K-1131-2013</t>
  </si>
  <si>
    <t>McMahon, Clive R/0000-0001-5241-8917; Wotherspoon, Simon/0000-0002-6947-4445; Hindell, Mark/0000-0002-7823-7185; Volzke, Sophia/0000-0002-2882-9414; Corney, Stuart/0000-0002-8293-0863</t>
  </si>
  <si>
    <t>Australian Antarctic Animal Ethics Committee [AAS 2794]; Australian Antarctic Division through the Australian National Antarctic Research Expeditions (ANARE; Tasmanian Parks and Wildlife Service</t>
  </si>
  <si>
    <t>Australian Antarctic Animal Ethics Committee; Australian Antarctic Division through the Australian National Antarctic Research Expeditions (ANARE; Tasmanian Parks and Wildlife Service</t>
  </si>
  <si>
    <t>We acknowledge the extensive efforts of field personnel who carried out data collection at Macquarie Island under ethics approval from the Australian Antarctic Animal Ethics Committee (AAS 2794) and the Tasmanian Parks and Wildlife Service. The Australian Antarctic Division through the Australian National Antarctic Research Expeditions (ANARE) supported this research. We thank the reviewers for their highly constructive input, which greatly improved the quality of this paper.</t>
  </si>
  <si>
    <t>10.1098/rsos.221635</t>
  </si>
  <si>
    <t>A7SK1</t>
  </si>
  <si>
    <t>WOS:000957078500004</t>
  </si>
  <si>
    <t>Totani, T</t>
  </si>
  <si>
    <t>Totani, Tomonori</t>
  </si>
  <si>
    <t>Solid grains ejected from terrestrial exoplanets as a probe of the abundance of life in the Milky Way</t>
  </si>
  <si>
    <t>INTERNATIONAL JOURNAL OF ASTROBIOLOGY</t>
  </si>
  <si>
    <t>Biosignature; exoplanets; panspermia</t>
  </si>
  <si>
    <t>BAYESIAN-ANALYSIS; COSMIC DUST; INTERSTELLAR; ACCRETION; RATIO</t>
  </si>
  <si>
    <t>Searching for extrasolar biosignatures is important to understand life on Earth and its origin. Astronomical observations of exoplanets may find such signatures, but it is difficult and may be impossible to claim unambiguous detection of life by remote sensing of exoplanet atmospheres. Here, another approach is considered: collecting grains ejected by asteroid impacts from exoplanets in the Milky Way and then travelling to the Solar System. The optimal grain size for this purpose is around 1 mu m, and though uncertainty is large, about 10(5) such grains are expected to be accreting on Earth every year, which may contain biosignatures of life that existed on their home planets. These grains may be collected by detectors placed in space, or extracted from Antarctic ice or deep-sea sediments, depending on future technological developments.</t>
  </si>
  <si>
    <t>[Totani, Tomonori] Univ Tokyo, Sch Sci, Dept Astron, 7-3-1 Hongo,Bunkyo Ku, Tokyo 1130033, Japan; [Totani, Tomonori] Univ Tokyo, Res Ctr Early Universe, Sch Sci, 7-3-1 Hongo,Bunkyo Ku, Tokyo 1130033, Japan</t>
  </si>
  <si>
    <t>University of Tokyo; University of Tokyo</t>
  </si>
  <si>
    <t>Totani, T (corresponding author), Univ Tokyo, Sch Sci, Dept Astron, 7-3-1 Hongo,Bunkyo Ku, Tokyo 1130033, Japan.;Totani, T (corresponding author), Univ Tokyo, Res Ctr Early Universe, Sch Sci, 7-3-1 Hongo,Bunkyo Ku, Tokyo 1130033, Japan.</t>
  </si>
  <si>
    <t>totani@astron.s.u-tokyo.ac.jp</t>
  </si>
  <si>
    <t>Totani, Tomonori/0000-0002-6156-6783</t>
  </si>
  <si>
    <t>1473-5504</t>
  </si>
  <si>
    <t>1475-3006</t>
  </si>
  <si>
    <t>INT J ASTROBIOL</t>
  </si>
  <si>
    <t>Int. J. Astrobiol.</t>
  </si>
  <si>
    <t>PII S147355042300006X</t>
  </si>
  <si>
    <t>10.1017/S147355042300006X</t>
  </si>
  <si>
    <t>Astronomy &amp; Astrophysics; Biology; Geosciences, Multidisciplinary</t>
  </si>
  <si>
    <t>Astronomy &amp; Astrophysics; Life Sciences &amp; Biomedicine - Other Topics; Geology</t>
  </si>
  <si>
    <t>CK6Q2</t>
  </si>
  <si>
    <t>Green Submitted, hybrid</t>
  </si>
  <si>
    <t>WOS:000954711700001</t>
  </si>
  <si>
    <t>Sánchez-Moguel, I; Costa-Silva, TA; Pillaca-Pullo, OS; Flores-Santos, JC; Freire, RKB; Carretero, G; Bueno, JD; Camacho-Córdova, DI; Santos, JHPM; Sette, LD; Pessoa, A</t>
  </si>
  <si>
    <t>Sanchez-Moguel, Ignacio; Costa-Silva, Tales A.; Pillaca-Pullo, Omar S.; Flores-Santos, Juan Carlos; Barros Freire, Rominne Karla; Carretero, Gustavo; Bueno, Julia da Luz; Camacho-Cordova, David I.; Santos, Joao H. P. M.; Sette, Lara Duraes; Pessoa-, Adalberto, Jr.</t>
  </si>
  <si>
    <t>Antarctic yeasts as a source of L-asparaginase: Characterization of a glutaminase-activity free L-asparaginase from psychrotolerant yeast Leucosporidium scottii L115</t>
  </si>
  <si>
    <t>PROCESS BIOCHEMISTRY</t>
  </si>
  <si>
    <t>L-asparaginase; Psychrotolerant yeast; Leucosporidium scottii; Antarctic ecosystems; Cold-adapted yeast; Leukemia</t>
  </si>
  <si>
    <t>MARINE; RHODOSPORIDIUM; PURIFICATION; STABILITY; ENZYMES</t>
  </si>
  <si>
    <t>Microorganisms from extreme environments, such as the Antarctic ecosystems, have a great potential to produce enzymes with novel characteristics. Within this context, L-asparaginase (ASNase) obtained from yeast species has been poorly studied. In this study, yeasts isolated from samples collected at Admiralty Bay (King George Island, Antarctica) were tested to produce ASNase. From an initial screening of 40 strains, belonging to 13 different species, Leucosporidium scottii L115 produced an ASNase activity (LsASNase activity: 6.24 U g-1 of dry cell weight) with the lowest glutaminase activity. The LsASNase was purified 227-fold, with a specific activity of 137.01 U mg-1 at 37 degrees C, without glutaminase activity. Moreover, the maximum enzyme activity was observed at pH 7.5 and at a temperature of 55 degrees C. The enzyme is a multimer of 462 kDa, presenting a single band of 53 kDa mo-lecular mass in reduced conditions; after PGNase F treatment, a single band of 45 kDa was observed. The enzymatic kinetic evaluation revealed an allosteric regulation of the enzyme and the kinetic parameters were determined at 37 degrees C, pH 7.0 as substrate affinity constant, K0.5 = 233 mu M, kcat = 54.7 s-1 and Hill coefficient, nH = 1.52, demonstrating positive cooperativity by the enzyme and the substrate. This is the first study to report L. scottii as a source of glutaminase-activity free L-asparaginase, an acute lymphoblastic leukemia drug feature suitable for the treatment of asparagine synthetase negative cancer cells.</t>
  </si>
  <si>
    <t>[Sanchez-Moguel, Ignacio; Costa-Silva, Tales A.; Flores-Santos, Juan Carlos; Barros Freire, Rominne Karla; Camacho-Cordova, David I.; Santos, Joao H. P. M.; Pessoa-, Adalberto, Jr.] Univ Sao Paulo, Sch Pharmaceut Sci, Dept Biochem &amp; Pharmaceut Technol, Sao Paulo, Brazil; [Pillaca-Pullo, Omar S.] Univ Privada Norbert Wiener, Ctr Invest Biodiversidad Salud, Lima, Peru; [Carretero, Gustavo] Univ Sao Paulo, Chem Inst, Dept Biochem, Sao Paulo, Brazil; [Bueno, Julia da Luz] Almirante Paulo Moreira Inst Studies Sea, Marine Biotechnol Div, Arraial Do Cabo, RJ, Brazil; [Sette, Lara Duraes] Sao Paulo State Univ, Biosci Inst, Dept Gen &amp; Appl Biol, Rio Claro, SP, Brazil; [Costa-Silva, Tales A.] Fed Univ ABC, Ctr Nat &amp; Human Sci, Santo Andre, SP, Brazil</t>
  </si>
  <si>
    <t>Universidade de Sao Paulo; Universidad Norbert Wiener; Universidade de Sao Paulo; Universidade Estadual Paulista; Universidade Federal do ABC (UFABC)</t>
  </si>
  <si>
    <t>Costa-Silva, TA; Pessoa, A (corresponding author), Univ Sao Paulo, Sch Pharmaceut Sci, Dept Biochem &amp; Pharmaceut Technol, Sao Paulo, Brazil.</t>
  </si>
  <si>
    <t>tales.costa@ufabc.edu.br; pessoajr@usp.br</t>
  </si>
  <si>
    <t>Pessoa-Junior, Adalberto/B-7963-2012; Sette, Lara Durães/C-8298-2013; Sánchez Moguel, Ignacio/KBC-5107-2024; Costa-Silva, Tales Alexandre/P-2673-2019; Santos, João H. P. M./G-8387-2017; Carretero, Gustavo/M-5352-2018</t>
  </si>
  <si>
    <t>Pessoa-Junior, Adalberto/0000-0002-5268-8690; Sette, Lara Durães/0000-0002-5980-3786; Sánchez Moguel, Ignacio/0000-0003-3706-4780; Costa-Silva, Tales Alexandre/0000-0002-7814-9257; Carretero, Gustavo/0000-0001-7776-6256</t>
  </si>
  <si>
    <t>State of Sao Paulo Research Foundation, FAPESP (Brazil) [2013/08617-7, 2013/19584-2, 2019/23620-0]; Mexican Council for Science and Technology, CONACYT [298596]</t>
  </si>
  <si>
    <t>State of Sao Paulo Research Foundation, FAPESP (Brazil)(Fundacao de Amparo a Pesquisa do Estado de Sao Paulo (FAPESP)); Mexican Council for Science and Technology, CONACYT(Consejo Nacional de Ciencia y Tecnologia (CONACyT))</t>
  </si>
  <si>
    <t>The authors would like to acknowledge to the State of Sao Paulo Research Foundation, FAPESP (Brazil, process numbers: 2013/08617-7, 2013/19584-2 and 2019/23620-0) and the Mexican Council for Science and Technology, CONACYT for the grant received (# 298596).</t>
  </si>
  <si>
    <t>1359-5113</t>
  </si>
  <si>
    <t>1873-3298</t>
  </si>
  <si>
    <t>PROCESS BIOCHEM</t>
  </si>
  <si>
    <t>Process Biochem.</t>
  </si>
  <si>
    <t>10.1016/j.procbio.2023.03.003</t>
  </si>
  <si>
    <t>Biochemistry &amp; Molecular Biology; Biotechnology &amp; Applied Microbiology; Engineering, Chemical</t>
  </si>
  <si>
    <t>Biochemistry &amp; Molecular Biology; Biotechnology &amp; Applied Microbiology; Engineering</t>
  </si>
  <si>
    <t>E0WS1</t>
  </si>
  <si>
    <t>WOS:000972848600001</t>
  </si>
  <si>
    <t>Beal, M; Catry, P; Phillips, RA; Oppel, S; Arnould, JPY; Bogdanova, MI; Bolton, M; Carneiro, APB; Clatterbuck, C; Conners, M; Daunt, F; Delord, K; Elliott, K; Fromant, A; Granadeiro, JP; Green, JA; Halsey, LG; Hamer, KC; Ito, M; Jeavons, R; Kim, JH; Kokubun, N; Koyama, S; Lane, JV; Young, W; Matsumoto, S; Orben, RA; Owen, E; Paiva, VH; Patterson, A; Pollock, CJ; Ramos, JA; Sagar, P; Sato, K; Shaffer, SA; Soanes, L; Takahashi, A; Thompson, DR; Thorne, L; Torres, L; Watanuki, Y; Waugh, SM; Weimerskirch, H; Whelan, S; Yoda, K; Xavier, JC; Dias, MP</t>
  </si>
  <si>
    <t>Beal, Martin; Catry, Paulo; Phillips, Richard A.; Oppel, Steffen; Arnould, John P. Y.; Bogdanova, Maria I.; Bolton, Mark; Carneiro, Ana P. B.; Clatterbuck, Corey; Conners, Melinda; Daunt, Francis; Delord, Karine; Elliott, Kyle; Fromant, Aymeric; Granadeiro, Jose Pedro; Green, Jonathan A.; Halsey, Lewis G.; Hamer, Keith C.; Ito, Motohiro; Jeavons, Ruth; Kim, Jeong-Hoon; Kokubun, Nobuo; Koyama, Shiho; Lane, Jude V.; Young, Won; Matsumoto, Sakiko; Orben, Rachael A.; Owen, Ellie; Paiva, Vitor H.; Patterson, Allison; Pollock, Christopher J.; Ramos, Jaime A.; Sagar, Paul; Sato, Katsufumi; Shaffer, Scott A.; Soanes, Louise; Takahashi, Akinori; Thompson, David R.; Thorne, Lesley; Torres, Leigh; Watanuki, Yutaka; Waugh, Susan M.; Weimerskirch, Henri; Whelan, Shannon; Yoda, Ken; Xavier, Jose C.; Dias, Maria P.</t>
  </si>
  <si>
    <t>Quantifying annual spatial consistency in chick-rearing seabirds to inform important site identification (vol 281, 109994, 2023)</t>
  </si>
  <si>
    <t>BIOLOGICAL CONSERVATION</t>
  </si>
  <si>
    <t>[Beal, Martin; Catry, Paulo; Sato, Katsufumi; Soanes, Louise] Ispa Inst Univ Ciencias Psicol Sociais &amp; Vida, ARNET Aquat Res Network, MARE Marine &amp; Environm Sci Ctr, Lisbon, Portugal; [Beal, Martin; Carneiro, Ana P. B.; Waugh, Susan M.; Dias, Maria P.] BirdLife Int, David Attenborough Bldg,Pembroke St, Cambridge CB2 3QZ, England; [Phillips, Richard A.] British Antarctic Survey, Nat Environm Res Council, Madingley Rd, Cambridge CB3 0ET, England; [Oppel, Steffen] Royal Soc Protect Birds, RSPB Ctr Conservat Sci, David Attenborough Bldg,Pembroke St, Cambridge CB2 3QZ, England; [Arnould, John P. Y.] Deakin Univ, Sch Life &amp; Environm Sci, 221 Burwood Highway, Burwood, Vic 3125, Australia; [Bogdanova, Maria I.] UK Ctr Ecol &amp; Hydrol, Bush Estate, Penicuik EH26 0QB, Scotland; [Bolton, Mark] Royal Soc Protect Birds, RSPB Ctr Conservat Sci, 10 Albyn Terrace, Aberdeen AB10 1YP, Scotland; [Clatterbuck, Corey; Shaffer, Scott A.] San Jose State Univ, Biol Sci, One Washington Sq, San Jose, CA 95192 USA; [Clatterbuck, Corey] Calif State Water Resources Control Board Off Info, 1001 1Street,19th Floor, Sacramento, CA 95814 USA; [Conners, Melinda] Univ Calif Santa Cruz, Long Marine Lab, 100 Shaffer Rd, Santa Cruz, CA 95060 USA; [Conners, Melinda; Thorne, Lesley] SUNY Stony Brook, Sch Marine &amp; Atmospher Sci, Stony Brook, NY 11794 USA; [Delord, Karine; Weimerskirch, Henri] La Rochelle Univ, Ctr Etud Biol Chize, CNRS, UMR 7372, F-79360 Villiers En Bois, France; [Elliott, Kyle; Patterson, Allison; Whelan, Shannon] McGill Univ, Dept Nat Resource Sci, 21111 Lakeshore Rd, Ste Anne De Bellevue, PQ H9X3V9, Canada; [Granadeiro, Jose Pedro] Univ Lisbon, Fac Ciencias, Dept Biol Anim, CESAM, Rua Ernesto Vasconcelos, P-1749016 Lisbon, Portugal; [Green, Jonathan A.] Univ Liverpool, Sch Environm Sci, Liverpool L69 3GP, England; [Halsey, Lewis G.] Univ Roehampton, Holybourne Ave, London SW15 4JD, England; [Hamer, Keith C.; Jeavons, Ruth; Lane, Jude V.; Pollock, Christopher J.] Univ Leeds, Sch Biol, Irene Manton Bldg, Leeds LS2 9JT, England; [Ito, Motohiro] Toyo Univ, Fac Life Sci, 1-1-1 Izumino, Itakura, Japan; [Kim, Jeong-Hoon; Young, Won] Korea Polar Res Inst KOPRI, 26 Songdomirae Ro, Incheon 21990, South Korea; [Kokubun, Nobuo; Takahashi, Akinori] Natl Inst Polar Res, Tachikawa, Tokyo 1908518, Japan; [Koyama, Shiho; Matsumoto, Sakiko; Yoda, Ken] Nagoya Univ, Grad Sch Environm Studies, Furo Cho,Chikusa Ku, Nagoya 4648601, Japan; [Lane, Jude V.] RSPB, RSPB Ctr Conservat Sci, 7-3-1 Cameron House,White Cross Estate, Carnforth LA1 4XF, Lancs, England; [Orben, Rachael A.] Oregon State Univ, Hatfield Marine Sci Ctr, Dept Fisheries Wildlife &amp; Conservat Sci, 2030 Marine Sci Dr, Newport, OR USA; [Owen, Ellie] Royal Soc Protect Birds, RSPB Ctr Conservat Sci, RSPB North Scotland Off, Etive House,Beechwood Pk, Inverness IV2 6AL, Scotland; [Paiva, Vitor H.; Ramos, Jaime A.; Xavier, Jose C.] Univ Coimbra, MARE Marine &amp; Environm Sci Ctr, Dept Life Sci, ARNET Aquat Res Network, P-3000456 Coimbra, Portugal; [Sagar, Paul] Natl Inst Water &amp; Atmospher Res, POB 8602, Christchurch 8011, New Zealand; [Sato, Katsufumi] Univ Tokyo, Atmosphere &amp; Ocean Res Inst, 5-1-5 Kashiwanoha, Kashiwa, Chiba 2778564, Japan; [Soanes, Louise] Univ Roehampton, Life Sci, Whiteland Campus, London SW154JD, England; [Thompson, David R.] Natl Inst Water &amp; Atmospher Res, 301 Evans Bay Parade, Wellington 6021, New Zealand; [Torres, Leigh] Oregon State Univ, Marine Mammal Inst, 2030 SE Marine Sci Dr, Newport, OR 97365 USA; [Watanuki, Yutaka] Hokkaido Univ, Fac Fisheries Sci, Minato Cho 3-1-1, Hakodate 0418611, Japan; [Waugh, Susan M.] Fonderies Royales, Ligue Protect Oiseaux, CS90263, F-17305 Rochefort, France; [Dias, Maria P.] Univ Lisbon, Fac Ciencias, Ctr Ecol Evolut &amp; Environm Changes E3c, P-1749016 Lisbon, Portugal; [Dias, Maria P.] Univ Lisbon, CHANGE Global Change &amp; Sustainabil Inst, Fac Ciencias, Dept Anim Biol, P-1749016 Lisbon, Portugal</t>
  </si>
  <si>
    <t>Instituto Superior Psicologia Aplicada (ISPA); BirdLife International; UK Research &amp; Innovation (UKRI); Natural Environment Research Council (NERC); NERC British Antarctic Survey; Royal Society for Protection of Birds; Deakin University; UK Centre for Ecology &amp; Hydrology (UKCEH); Royal Society for Protection of Birds; California State University System; San Jose State University; University of California System; University of California Santa Cruz; State University of New York (SUNY) System; State University of New York (SUNY) Stony Brook; Centre National de la Recherche Scientifique (CNRS); CNRS - Institute of Ecology &amp; Environment (INEE); McGill University; Universidade de Lisboa; University of Liverpool; Roehampton University; University of Leeds; Toyo University; Korea Polar Research Institute (KOPRI); Research Organization of Information &amp; Systems (ROIS); National Institute of Polar Research (NIPR) - Japan; Nagoya University; Royal Society for Protection of Birds; Oregon State University; Royal Society for Protection of Birds; Universidade de Coimbra; National Institute of Water &amp; Atmospheric Research (NIWA) - New Zealand; University of Tokyo; National Institute of Water &amp; Atmospheric Research (NIWA) - New Zealand; Oregon State University; Hokkaido University; Universidade de Lisboa; Universidade de Lisboa</t>
  </si>
  <si>
    <t>Beal, M (corresponding author), Ispa Inst Univ Ciencias Psicol Sociais &amp; Vida, ARNET Aquat Res Network, MARE Marine &amp; Environm Sci Ctr, Lisbon, Portugal.</t>
  </si>
  <si>
    <t>martinbeal88@gmail.com</t>
  </si>
  <si>
    <t>Patterson, Allison Glider Livingstone/AAW-5259-2021; Shaffer, Scott A/D-5015-2009; Ramos, Jaime A./B-6616-2018; Halsey, Lewis/B-8498-2011; Oppel, Steffen/H-2771-2019; Daunt, Francis/K-6688-2012; Xavier, José/KFB-6739-2024; Granadeiro, José Pedro/E-8060-2011; Weimerskirch, Henri/F-5562-2013; Dias, Maria P./D-1331-2012; Catry, Paulo/I-5408-2013</t>
  </si>
  <si>
    <t>Patterson, Allison Glider Livingstone/0000-0001-9931-2693; Ramos, Jaime A./0000-0002-9533-987X; Halsey, Lewis/0000-0002-0786-7585; Oppel, Steffen/0000-0002-8220-3789; Granadeiro, José Pedro/0000-0002-7207-3474; Dias, Maria P./0000-0002-7281-4391;</t>
  </si>
  <si>
    <t>0006-3207</t>
  </si>
  <si>
    <t>1873-2917</t>
  </si>
  <si>
    <t>BIOL CONSERV</t>
  </si>
  <si>
    <t>Biol. Conserv.</t>
  </si>
  <si>
    <t>10.1016/j.biocon.2023.110025</t>
  </si>
  <si>
    <t>Biodiversity Conservation; Ecology; Environmental Sciences</t>
  </si>
  <si>
    <t>D3NX5</t>
  </si>
  <si>
    <t>WOS:000967838100001</t>
  </si>
  <si>
    <t>de Lemos, EA; Procópio, L; da Mota, FF; Jurelevicius, D; Rosado, AS; Seldin, L</t>
  </si>
  <si>
    <t>de Lemos, Ericka Arregue; Procopio, Luciano; da Mota, Fabio Faria; Jurelevicius, Diogo; Rosado, Alexandre Soares; Seldin, Lucy</t>
  </si>
  <si>
    <t>Molecular characterization of Paenibacillus antarcticus IPAC21, a bioemulsifier producer isolated from Antarctic soil</t>
  </si>
  <si>
    <t>Paenibacillus antarcticus; genome; bioemulsifier; levan; Antarctica</t>
  </si>
  <si>
    <t>BACTERIAL ADAPTATION; CRUDE-OIL; SP NOV.; BIOSURFACTANTS; POLYMYXA; PAH; BIODEGRADATION; DENDRITIFORMIS; ENVIRONMENTS; DEGRADATION</t>
  </si>
  <si>
    <t>Paenibacillus antarcticus IPAC21, an endospore-forming and bioemulsifier-producing strain, was isolated from King George Island, Antarctica. As psychrotolerant/psychrophilic bacteria can be considered promising sources for novel products such as bioactive compounds and other industrially relevant substances/compounds, the IPAC21 genome was sequenced using Illumina Hi-seq, and a search for genes related to the production of bioemulsifiers and other metabolic pathways was performed. The IPAC21 strain has a genome of 5,505,124 bp and a G + C content of 40.5%. Genes related to the biosynthesis of exopolysaccharides, such as the gene that encodes the extracellular enzyme levansucrase responsible for the synthesis of levan, the 2,3-butanediol pathway, PTS sugar transporters, cold-shock proteins, and chaperones were found in its genome. IPAC21 cell-free supernatants obtained after cell growth in trypticase soy broth at different temperatures were evaluated for bioemulsifier production by the emulsification index (EI) using hexadecane, kerosene and diesel. EI values higher than 50% were obtained using the three oil derivatives when IPAC21 was grown at 28 degrees C. The bioemulsifier produced by P. antarcticus IPAC21 was stable at different NaCl concentrations, low temperatures and pH values, suggesting its potential use in lower and moderate temperature processes in the petroleum industry.</t>
  </si>
  <si>
    <t>[de Lemos, Ericka Arregue; Procopio, Luciano; Jurelevicius, Diogo; Seldin, Lucy] Univ Fed Rio De Janeiro, Inst Microbiol Paulo De Goes, Rio De Janeiro, Brazil; [da Mota, Fabio Faria] Inst Oswaldo Cruz, Rio De Janeiro, Brazil; [Rosado, Alexandre Soares] King Abdullah Univ Sci &amp; Technol, Biol &amp; Environm Sci &amp; Engn BESE, Thuwal, Saudi Arabia</t>
  </si>
  <si>
    <t>Universidade Federal do Rio de Janeiro; Fundacao Oswaldo Cruz; King Abdullah University of Science &amp; Technology</t>
  </si>
  <si>
    <t>Seldin, L (corresponding author), Univ Fed Rio De Janeiro, Inst Microbiol Paulo De Goes, Rio De Janeiro, Brazil.</t>
  </si>
  <si>
    <t>Rosado, Alexandre Soares/G-1955-2012; Jurelevicius, Diogo A/I-8235-2014</t>
  </si>
  <si>
    <t>Rosado, Alexandre Soares/0000-0001-5135-1394; da Mota, Fabio Faria/0000-0002-0692-4939; Procopio, Luciano/0000-0003-0687-5927</t>
  </si>
  <si>
    <t>Conselho Nacional de Desenvolvimento Cientifico e Tecnologico (CNPq); Coordenacao de Aperfeicoamento de Pessoal de Nivel Superior (CAPES) [001]; Fundacao de Amparo a Pesquisa do Estado do Rio de Janeiro (FAPERJ); KAUST Baseline Grant [BAS/1/1096-01-01]</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</si>
  <si>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do Rio de Janeiro (FAPERJ)(Fundacao Carlos Chagas Filho de Amparo a Pesquisa do Estado do Rio De Janeiro (FAPERJ)); KAUST Baseline Grant</t>
  </si>
  <si>
    <t>This study was supported by grants from Conselho Nacional de Desenvolvimento Cientifico e Tecnologico (CNPq), Coordenacao de Aperfeicoamento de Pessoal de Nivel Superior (CAPES - financial code 001) and Fundacao de Amparo a Pesquisa do Estado do Rio de Janeiro (FAPERJ). AR was supported by KAUST Baseline Grant (BAS/1/1096-01-01).</t>
  </si>
  <si>
    <t>MAR 21</t>
  </si>
  <si>
    <t>10.3389/fmicb.2023.1142582</t>
  </si>
  <si>
    <t>C5YD8</t>
  </si>
  <si>
    <t>WOS:000962659600001</t>
  </si>
  <si>
    <t>Jones, RL; Meredith, MP; Lohan, MC; Woodward, EMS; Van Landeghem, K; Retallick, K; Flanagan, O; Vora, M; Annett, AL</t>
  </si>
  <si>
    <t>Jones, Rhiannon L.; Meredith, Michael P.; Lohan, Maeve C.; Woodward, E. Malcolm S.; Van Landeghem, Katrien; Retallick, Kate; Flanagan, Oliver; Vora, Mehul; Annett, Amber L.</t>
  </si>
  <si>
    <t>Continued glacial retreat linked to changing macronutrient supply along the West Antarctic Peninsula</t>
  </si>
  <si>
    <t>MARINE CHEMISTRY</t>
  </si>
  <si>
    <t>Radium; Macronutrient cycling; Glacial retreat; West Antarctic Peninsula</t>
  </si>
  <si>
    <t>KING GEORGE ISLAND; COASTAL WATERS; MARGUERITE BAY; NORTHERN GULF; MASS-BALANCE; DEEP WATERS; SEA-WATER; ICE SHELF; OCEAN; RA-224</t>
  </si>
  <si>
    <t>At the West Antarctic Peninsula (WAP), continued atmospheric and oceanic warming is causing significant physical and biogeochemical changes to glaciers and the marine environment. We compare sediment sources and drivers of macronutrient distributions at two bays along the WAP during austral summer 2020, using radioactive radium and stable oxygen isotopes to trace sedimentary influences and quantify different freshwater inputs. In the Ryder Bay, where the Sheldon Glacier is marine-terminating, radium activities at the sediment-water interface indicate considerable benthic mixing. Using radium isotope activity gradients to resolve radium and macronutrient fluxes, we find buoyant meltwater proximal to the glacier drives vigorous mixing of sediment and entrainment of macronutrient deep waters, on the order of 2.0 x 105 mol d-1 for nitrate. Conversely, in the Marian Cove, where the Fourcade Glacier terminates on land, low salinities and oxygen isotopes indicate a meltwater-rich surface layer &lt;1 m thick and rich in sediment, and strong vertical mixing to the seafloor. A continued shift to land-terminating glaciers along the WAP may have a significant impact upon nutrient and sediment supply to the euphotic zone, with impacts upon primary productivity and carbon uptake efficiency. The future of primary production, carbon uptake, and food web dynamics is therefore linked to glacier retreat dy-namics in the many fjords along the WAP.</t>
  </si>
  <si>
    <t>[Jones, Rhiannon L.; Lohan, Maeve C.; Flanagan, Oliver; Annett, Amber L.] Univ Southampton, Natl Oceanog Ctr, Sch Ocean &amp; Earth Sci, European Way, Southampton SO14 3ZH, England; [Meredith, Michael P.] British Antarctic Survey, Cambridge CB3 0ET, England; [Woodward, E. Malcolm S.] Plymouth Marine Lab, Plymouth PL1 3DH, England; [Van Landeghem, Katrien; Retallick, Kate] Bangor Univ, Bangor LL57 2DG, Wales; [Vora, Mehul] Rutgers State Univ, Newark, NJ USA</t>
  </si>
  <si>
    <t>NERC National Oceanography Centre; University of Southampton; UK Research &amp; Innovation (UKRI); Natural Environment Research Council (NERC); NERC British Antarctic Survey; Plymouth Marine Laboratory; Bangor University; Rutgers University System; Rutgers University New Brunswick; Rutgers University Newark</t>
  </si>
  <si>
    <t>Jones, RL (corresponding author), Univ Southampton, Natl Oceanog Ctr, Sch Ocean &amp; Earth Sci, European Way, Southampton SO14 3ZH, England.</t>
  </si>
  <si>
    <t>r.l.c.jones@soton.ac.uk</t>
  </si>
  <si>
    <t>Woodward, Ernest M S/D-5755-2016; Vora, Mehul/P-4848-2016</t>
  </si>
  <si>
    <t>Flanagan, Oliver/0000-0002-4352-7078; Jones, Rhiannon/0000-0002-3182-9685; Annett, Amber/0000-0002-3730-2438</t>
  </si>
  <si>
    <t>Na- tional Environmental Research Council INSPIRE Doctoral Training Partnership [NE/S007210/1]; JR19002 cruise; A Novel Tracer of Iron Fluxes at Ocean Margins (RaCE:TraX [NE/P017630/1]; National Environmental Research Council INSPIRE Doctoral Training Partnership [NE/S007210/1]</t>
  </si>
  <si>
    <t>Na- tional Environmental Research Council INSPIRE Doctoral Training Partnership; JR19002 cruise; A Novel Tracer of Iron Fluxes at Ocean Margins (RaCE:TraX; National Environmental Research Council INSPIRE Doctoral Training Partnership</t>
  </si>
  <si>
    <t>We gratefully acknowledge the officers, crew, and scientists aboard the JR19002 cruise for all the assistance and support with data collection. Particularly, thanks to Tobias Ehmen, Carmen Falagan-Rodriguez, Marina Costa, Christopher Bull, Seth Thomas, and Thomas Owen as Multibeam Echosounder and CTD operators, Aisling Smith for lab support, and Alice Fremand for data management support. The study was carried out as part of the Radium in Changing Environments: A Novel Tracer of Iron Fluxes at Ocean Margins (RaCE:TraX) grant (NE/P017630/1) . Additional funding for RJ comes from the National Environmental Research Council INSPIRE Doctoral Training Partnership (NE/S007210/1) and Harry Elderfield Memorial Scholarship.</t>
  </si>
  <si>
    <t>0304-4203</t>
  </si>
  <si>
    <t>1872-7581</t>
  </si>
  <si>
    <t>MAR CHEM</t>
  </si>
  <si>
    <t>Mar. Chem.</t>
  </si>
  <si>
    <t>10.1016/j.marchem.2023.104230</t>
  </si>
  <si>
    <t>Chemistry, Multidisciplinary; Oceanography</t>
  </si>
  <si>
    <t>Chemistry; Oceanography</t>
  </si>
  <si>
    <t>C1KR3</t>
  </si>
  <si>
    <t>WOS:000959596400001</t>
  </si>
  <si>
    <t>Leskinen, J; Hartikainen, A; Väätäinen, S; Ihalainen, M; Virkkula, A; Mesceriakovas, A; Tiitta, P; Miettinen, M; Lamberg, H; Czech, H; Yli-Pirilä, P; Tissari, J; Jakobi, G; Zimmermann, R; Sippula, O</t>
  </si>
  <si>
    <t>Leskinen, Jani; Hartikainen, Anni; Vaatainen, Sampsa; Ihalainen, Mika; Virkkula, Aki; Mesceriakovas, Arunas; Tiitta, Petri; Miettinen, Mirella; Lamberg, Heikki; Czech, Hendryk; Yli-Pirila, Pasi; Tissari, Jarkko; Jakobi, Gert; Zimmermann, Ralf; Sippula, Olli</t>
  </si>
  <si>
    <t>Photochemical Aging Induces Changes in the Effective Densities, Morphologies, and Optical Properties of Combustion Aerosol Particles</t>
  </si>
  <si>
    <t>combustion aerosol; soot; black carbon; residential combustion; morphology; photochemical aging; aerosol optics; wood; brown coal</t>
  </si>
  <si>
    <t>SECONDARY ORGANIC AEROSOL; ABSORPTION ANGSTROM EXPONENT; RESIDENTIAL WOOD COMBUSTION; BLACK CARBON; BROWN CARBON; LIGHT-ABSORPTION; SOURCE APPORTIONMENT; RADIATIVE PROPERTIES; SOOT PARTICLES; MIXING STATE</t>
  </si>
  <si>
    <t>Effective density (peff) is an important property describing particle transportation in the atmosphere and in the human respiratory tract. In this study, the particle size dependency of peff was determined for fresh and photochemically aged particles from residential combustion of wood logs and brown coal, as well as from an aerosol standard (CAST) burner. peff increased considerably due to photochemical aging, especially for soot agglomerates larger than 100 nm in mobility diameter. The increase depends on the presence of condensable vapors and agglomerate size and can be explained by collapsing of chain-like agglomerates and filling of their voids and formation of secondary coating. The measured and modeled particle optical properties suggest that while light absorption, scattering, and the single-scattering albedo of soot particle increase during photochemical processing, their radiative forcing remains positive until the amount of nonabsorbing coating exceeds approximately 90% of the particle mass.</t>
  </si>
  <si>
    <t>[Leskinen, Jani; Hartikainen, Anni; Vaatainen, Sampsa; Ihalainen, Mika; Mesceriakovas, Arunas; Tiitta, Petri; Miettinen, Mirella; Lamberg, Heikki; Yli-Pirila, Pasi; Tissari, Jarkko; Sippula, Olli] Univ Eastern Finland, Dept Environm &amp; Biol Sci, FI-70211 Kuopio, Finland; [Virkkula, Aki] Finnish Meteorol Inst, Atmospher Composit Res, FI-00560 Helsinki, Finland; [Tiitta, Petri] Finnish Meteorol Inst, Atmospher Res Ctr Eastern Finland, FI-70211 Kuopio, Finland; [Miettinen, Mirella] Univ Eastern Finland, Law Sch, POB 111, FI-80101 Joensuu, Finland; [Czech, Hendryk; Jakobi, Gert; Zimmermann, Ralf] Univ Rostock, Joint Mass Spectrometry Ctr, D-18059 Rostock, Germany; [Czech, Hendryk; Jakobi, Gert; Zimmermann, Ralf] Helmholtz Zentrum Munchen, Cooperat Grp Comprehens Mol Analyt, D-81379 Munich, Germany; [Sippula, Olli] Univ Eastern Finland, Dept Chem, Joensuu 80101, Finland</t>
  </si>
  <si>
    <t>University of Eastern Finland; Finnish Meteorological Institute; Finnish Meteorological Institute; University of Eastern Finland; University of Rostock; Helmholtz Association; Helmholtz-Center Munich - German Research Center for Environmental Health; University of Eastern Finland</t>
  </si>
  <si>
    <t>Leskinen, J; Sippula, O (corresponding author), Univ Eastern Finland, Dept Environm &amp; Biol Sci, FI-70211 Kuopio, Finland.;Sippula, O (corresponding author), Univ Eastern Finland, Dept Chem, Joensuu 80101, Finland.</t>
  </si>
  <si>
    <t>jani.leskinen@uef.fi; olli.sippula@uef.fi</t>
  </si>
  <si>
    <t>; Tiitta, Petri/V-7986-2017</t>
  </si>
  <si>
    <t>Ihalainen, Mika/0000-0003-1834-7558; Hartikainen, Anni/0000-0003-4779-1404; Tiitta, Petri/0000-0003-4694-3648; Miettinen, Mirella/0000-0003-3593-3938; Zimmermann, Ralf/0000-0002-6280-3218</t>
  </si>
  <si>
    <t>Helmholtz Virtual Institute of Complex Molecular Systems in Environmental Health?; Aerosols and Health (HICE) - Initiative and Networking Fund of the Helmholtz Association (HGF, Germany); Academy of Finland [296654, 341597]; Academy of Finland project Antarctic Climate Forcing Aerosol (ACFA) [335845]; Business Finland project Black Carbon Footprint (BCF) [528/31/2019]; Academy of Finland (AKA) [335845] Funding Source: Academy of Finland (AKA)</t>
  </si>
  <si>
    <t>Helmholtz Virtual Institute of Complex Molecular Systems in Environmental Health?; Aerosols and Health (HICE) - Initiative and Networking Fund of the Helmholtz Association (HGF, Germany); Academy of Finland(Research Council of Finland); Academy of Finland project Antarctic Climate Forcing Aerosol (ACFA); Business Finland project Black Carbon Footprint (BCF); Academy of Finland (AKA)(Research Council of Finland)</t>
  </si>
  <si>
    <t>The authors acknowledge The Helmholtz Virtual Institute of Complex Molecular Systems in Environmental Health? Aerosols and Health (HICE) funded by the Initiative and Networking Fund of the Helmholtz Association (HGF, Germany) and the Academy of Finland projects NABCEA and BBrCAC (grant nos. 296654 and 341597) . Aki Virkkula acknowledges funding by the Academy of Finland project Antarctic Climate Forcing Aerosol (ACFA) (grant no. 335845) and by the Business Finland project Black Carbon Footprint (BCF) (grant no. 528/31/2019) .</t>
  </si>
  <si>
    <t>10.1021/acs.est.2c04151</t>
  </si>
  <si>
    <t>C9EQ4</t>
  </si>
  <si>
    <t>WOS:000955385800001</t>
  </si>
  <si>
    <t>Baba, S; Owada, M; Hokada, T; Adachi, T; Nakano, N</t>
  </si>
  <si>
    <t>Baba, Sotaro; Owada, Masaaki; Hokada, Tomokazu; Adachi, Tatsuro; Nakano, Nobuhiko</t>
  </si>
  <si>
    <t>Contrasting geological background based on the geochemistry of the mafic metamorphic rocks in central Dronning Maud Land</t>
  </si>
  <si>
    <t>GEOLOGICAL MAGAZINE</t>
  </si>
  <si>
    <t>East Antarctica; Dronning Maud Land; geochemistry; tectonic setting</t>
  </si>
  <si>
    <t>EAST-AFRICAN OROGEN; SCHIRMACHER HILLS; BASEMENT PROVINCES; TRACE-ELEMENTS; LOWER CRUST; ANTARCTICA; ARC; BASALTS; EVOLUTION; CONSTRAINTS</t>
  </si>
  <si>
    <t>This paper reports geochemical characteristics of mafic gneisses and granulites collected from four localities in central Dronning Maud Land to evaluate the tectonic setting of their precursor rocks. Precursor rocks for the mafic gneisses and granulites in central Dronning Maud Land were formed in different geological backgrounds and tectonic settings. The mafic gneisses and granulites in the Schirmacher Hills were derived from basaltic rocks in a back-arc setting. Published U-Pb zircon ages and the geochemical variation of the basement rocks indicate their emplacement between 800 and 650 Ma, close to peak metamorphism. While similar protoliths were recognized in the inland nunataks of Hochlinfjellet, in Filchnerfjella the mafic gneisses/granulites were derived from basaltic rocks formed in marginal continental arcs or island arcs. Highly disturbed trace-element patterns indicate that the metamorphic process influenced the geochemical composition during the prograde metamorphic stage. Our results imply that the outcrops in central Dronning Maud Land with different metamorphic ages contain mafic gneisses/granulites from precursor rocks formed under different tectonic settings.</t>
  </si>
  <si>
    <t>[Baba, Sotaro] Univ Ryukyus, Dept Sci Educ, Nishihara, Okinawa 9030213, Japan; [Owada, Masaaki] Yamaguchi Univ, Dept Earth Sci, Yamaguchi 7538512, Japan; [Hokada, Tomokazu] Natl Inst Polar Res, Tokyo 1908518, Japan; [Adachi, Tatsuro; Nakano, Nobuhiko] Kyushu Univ, Fac Social &amp; Cultural Studies, Div Earth Sci, Fukuoka 8190395, Japan</t>
  </si>
  <si>
    <t>University of the Ryukyus; Yamaguchi University; Research Organization of Information &amp; Systems (ROIS); National Institute of Polar Research (NIPR) - Japan; Kyushu University</t>
  </si>
  <si>
    <t>Baba, S (corresponding author), Univ Ryukyus, Dept Sci Educ, Nishihara, Okinawa 9030213, Japan.</t>
  </si>
  <si>
    <t>baba@edu.u-ryukyu.ac.jp</t>
  </si>
  <si>
    <t>Baba, Sotaro/H-3107-2013</t>
  </si>
  <si>
    <t>Baba, Sotaro/0000-0003-2969-9575</t>
  </si>
  <si>
    <t>National Institute of Polar Research [25-17, 2-20]; Research Organization of Information and Systems [ROIS-DS-JOINT 004RP2018]; Japan Society for the Promotion of Science (JSPS) [15K05346]</t>
  </si>
  <si>
    <t>National Institute of Polar Research(National Institute of Polar Research (NIPR) - Japan); Research Organization of Information and Systems; Japan Society for the Promotion of Science (JSPS)(Ministry of Education, Culture, Sports, Science and Technology, Japan (MEXT)Japan Society for the Promotion of Science)</t>
  </si>
  <si>
    <t>We thank Y. Osanai and T. Toyoshima for giving us an opportunity to re-visit the Schirmacher Hills during the 49th Japanese Antarctic Expedition at the Sor Rondane Mountains and K. Shiraishi for the arrangement of the Norway-Germany-Japan joint expedition 2001-2002. S. Elvevold and A. Laeufer are grateful for their collaboration in the fieldwork during the joint expedition in the inland nunatak of central DML. SB acknowledges R. Shinjo, H, Matsushita and N, Miyagi for their support with XRF analyses at the University of the Ryukyus. We thank anonymous reviewers for constructive comments, and T. Johnson for editorial handling. This work was partly supported by the National Institute of Polar Research [General Collaboration Projects 25-17 and 2-20], the Research Organization of Information and Systems [ROIS-DS-JOINT 004RP2018] and the Japan Society for the Promotion of Science (JSPS) [15K05346 to SB].</t>
  </si>
  <si>
    <t>0016-7568</t>
  </si>
  <si>
    <t>1469-5081</t>
  </si>
  <si>
    <t>GEOL MAG</t>
  </si>
  <si>
    <t>Geol. Mag.</t>
  </si>
  <si>
    <t>PII S0016756823000092</t>
  </si>
  <si>
    <t>10.1017/S0016756823000092</t>
  </si>
  <si>
    <t>AK7O6</t>
  </si>
  <si>
    <t>WOS:000953623300001</t>
  </si>
  <si>
    <t>Johnson, A; Aschwanden, A; Albrecht, T; Hock, R</t>
  </si>
  <si>
    <t>Johnson, Andrew; Aschwanden, Andy; Albrecht, Torsten; Hock, Regine</t>
  </si>
  <si>
    <t>Range of 21st century ice mass changes in the Filchner-Ronne region of Antarctica</t>
  </si>
  <si>
    <t>Ice and climate; ice-sheet modeling; ice shelves; ice streams</t>
  </si>
  <si>
    <t>GLACIAL-CYCLE SIMULATIONS; SHEET MODEL PISM; SEA-LEVEL; CARLSON INLET; SURFACE MELT; SHELF CAVITY; PART 1; CLIMATE; BALANCE; STREAM</t>
  </si>
  <si>
    <t>Increases in ocean temperatures in the Filchner Ronne region of Antarctica are likely to result in increased ice mass loss and sea level rise. We constrain projections of the 21st century sea level contribution of this region using process-based ice-sheet modeling, with model parameters controlling ice dynamics calibrated using observed surface speeds and Markov-chain Monte Carlo sampling. We use climate forcing from Representative Concentration Pathway (RCP) scenarios as well as a set of hypothetical scenarios of deep ocean warming to evaluate the sensitivity of this region to ocean temperatures. Projected changes in regional ice mass correspond to a decrease in global mean sea level of 24 +/- 7 mm over 2015-2100 under RCP 2.6 and 28 +/- 9 mm under RCP 8.5. Increased regional inland surface accumulation related to higher warming levels in RCP 8.5 leads to more ice above flotation, offsetting increased ice shelf basal melt. The tests involving step changes in ocean temperatures with constant surface forcing show that one degree of ocean warming from present results in an additional +11 mm contribution to sea level by 2100 and 1% of the ice-covered area in the domain becomes ungrounded (23 200 km(2)). The rate of mass loss with temperature increases at higher temperatures.</t>
  </si>
  <si>
    <t>[Johnson, Andrew; Aschwanden, Andy; Hock, Regine] Univ Alaska Fairbanks, Geophys Inst, Fairbanks, AK 99775 USA; [Albrecht, Torsten] Potsdam Inst Climate Impact Res PIK, Potsdam, Germany; [Albrecht, Torsten] Leibniz Assoc, Potsdam, Germany; [Hock, Regine] Univ Oslo, Dept Geosci, Oslo, Norway</t>
  </si>
  <si>
    <t>University of Alaska System; University of Alaska Fairbanks; Potsdam Institut fur Klimafolgenforschung; University of Oslo</t>
  </si>
  <si>
    <t>Johnson, A (corresponding author), Univ Alaska Fairbanks, Geophys Inst, Fairbanks, AK 99775 USA.</t>
  </si>
  <si>
    <t>acjohnson16@alaska.edu</t>
  </si>
  <si>
    <t>Hock, Regine/JTT-4089-2023; albrecht, torsten/J-8259-2019</t>
  </si>
  <si>
    <t>Hock, Regine/0000-0001-8336-9441; albrecht, torsten/0000-0001-7459-2860; Johnson, Andrew/0000-0002-8009-200X</t>
  </si>
  <si>
    <t>NSF [80NSSC22K0274]; Alaska Satellite Facility; Deutsche Forschungsgemeinschaft (DFG); German Federal Ministry of Education and Research (BMBF) as a Research for Sustainability initiative (FONA); NASA; [1543432]; [PLR 1914668]; [OAC-2118285]; [WI4556/2-1]; [FKZ: 01LP1925D]; [20-CRYO2020-0052]</t>
  </si>
  <si>
    <t>NSF(National Science Foundation (NSF)); Alaska Satellite Facility; Deutsche Forschungsgemeinschaft (DFG)(German Research Foundation (DFG)); German Federal Ministry of Education and Research (BMBF) as a Research for Sustainability initiative (FONA)(Federal Ministry of Education &amp; Research (BMBF)); NASA(National Aeronautics &amp; Space Administration (NASA)); ; ; ; ; ;</t>
  </si>
  <si>
    <t>Andrew Johnson was supported by NSF Award #1543432 and the Alaska Satellite Facility. Torsten Albrecht was supported by the Deutsche Forschungsgemeinschaft (DFG) in the framework of the priority program Antarctic Research with comparative investigations in Arctic ice areas by grants WI4556/2-1, and within the framework of the PalMod project (FKZ: 01LP1925D) supported by the German Federal Ministry of Education and Research (BMBF) as a Research for Sustainability initiative (FONA). Development of PISM is supported by NASA grants 20-CRYO2020-0052 and 80NSSC22K0274 and NSF grants PLR 1914668 and OAC-2118285. We are thankful to Melchior van Wessem for providing climatic forcing data from RACMO2.3p2 and to R. Timmermann for providing the FESOM ocean model data. We are also grateful to Constantine Khroulev for providing technical assistance with PISM.</t>
  </si>
  <si>
    <t>PII S0022143023000102</t>
  </si>
  <si>
    <t>10.1017/jog.2023.10</t>
  </si>
  <si>
    <t>WOS:000953696800001</t>
  </si>
  <si>
    <t>Yu, LS; He, HL; Leng, HL; Liu, HL; Lin, PF</t>
  </si>
  <si>
    <t>Yu, Lu-Sha; He, Hailun; Leng, Hengling; Liu, Hailong; Lin, Pengfei</t>
  </si>
  <si>
    <t>Interannual variation of summer sea surface temperature in the Amundsen Sea, Antarctica</t>
  </si>
  <si>
    <t>Amundsen Sea; summer sea surface temperature; interannual variability; Pine Island Bay; sea ice concentration; Amundsen Sea low-associated wind</t>
  </si>
  <si>
    <t>SOUTHERN-OCEAN; ICE EXTENT; IN-SITU; VARIABILITY; SATELLITE; TRENDS; MODEL</t>
  </si>
  <si>
    <t>This paper investigates the interannual variability of January sea surface temperature (SST) in the Amundsen Sea (AS) during the period 1982-2022. SST in the Pine Island Bay (PIB) is found to exhibit the most significant interannual variation, with a standard deviation up to 0.6 degrees. Composite analysis indicates that, in warmer years, the January SST at PIB is approximately 1 degrees higher on average than that in cooler years, and its variation in warmer (cooler) years corresponds to lower (higher) sea ice concentration (SIC) and more (less) surface heat flux; the latter factor is primarily influenced by the albedo of SIC. Further analysis suggests that variability in January SIC is largely dominated by northward sea ice motion during the previous November (r = -0.82), which is consistent with the presence of a contemporaneous northerly 10 m wind anomaly trigged by the Amundsen Sea Low (ASL). The ASL-associated northerly wind anomaly drives northward sea ice motion, reduces SIC, and thus increases the downward heat flux that ultimately results in warmer SST, and vice versa. This study identifies the possible mechanism of anomalous January SST in the PIB, which could provide an important clue for seasonal forecasts of summer SST in the AS.</t>
  </si>
  <si>
    <t>[Yu, Lu-Sha; He, Hailun; Leng, Hengling] Minist Nat Resources, Inst Oceanog 2, State Key Lab Satellite Ocean Environm Dynam, Hangzhou, Peoples R China; [Yu, Lu-Sha; Liu, Hailong; Lin, Pengfei] Chinese Acad Sci, Inst Atmospher Phys, State Key Lab Numer Modeling Atmospher Sci &amp; Geoph, Beijing, Peoples R China; [He, Hailun] Southern Marine Sci &amp; Engn Guangdong Lab, Zhuhai, Peoples R China; [Liu, Hailong; Lin, Pengfei] Univ Chinese Acad Sci, Coll Earth &amp; Planetary Sci, Beijing, Peoples R China</t>
  </si>
  <si>
    <t>Ministry of Natural Resources of the People's Republic of China; Chinese Academy of Sciences; Institute of Atmospheric Physics, CAS; Southern Marine Science &amp; Engineering Guangdong Laboratory; Chinese Academy of Sciences; University of Chinese Academy of Sciences, CAS</t>
  </si>
  <si>
    <t>He, HL (corresponding author), Minist Nat Resources, Inst Oceanog 2, State Key Lab Satellite Ocean Environm Dynam, Hangzhou, Peoples R China.;He, HL (corresponding author), Southern Marine Sci &amp; Engn Guangdong Lab, Zhuhai, Peoples R China.</t>
  </si>
  <si>
    <t>hehailun@sio.org.cn</t>
  </si>
  <si>
    <t>Lin, Pengfei/AAJ-5379-2020; He, Hailun/L-4424-2018</t>
  </si>
  <si>
    <t>Lin, Pengfei/0000-0003-2361-0066;</t>
  </si>
  <si>
    <t>Impact and Response of Antarctic Seas to Climate Change Program [01-01-01B, 02-01-02]; Project of State Key Laboratory of Satellite Ocean Environment Dynamics, Second Institute of Oceanography [SOEDZZ2206]; Science and Technology Program of Guangzhou, China [202002030492]; Natural Science Foundation of Guangdong Province, China [2022A1515011967]</t>
  </si>
  <si>
    <t>Impact and Response of Antarctic Seas to Climate Change Program; Project of State Key Laboratory of Satellite Ocean Environment Dynamics, Second Institute of Oceanography; Science and Technology Program of Guangzhou, China; Natural Science Foundation of Guangdong Province, China(National Natural Science Foundation of Guangdong Province)</t>
  </si>
  <si>
    <t>This study is supported by Impact and Response of Antarctic Seas to Climate Change Program (01-01-01B, 02-01-02), the Project of State Key Laboratory of Satellite Ocean Environment Dynamics, Second Institute of Oceanography (No. SOEDZZ2206), Science and Technology Program of Guangzhou, China, (202002030492), and the Natural Science Foundation of Guangdong Province, China (2022A1515011967).</t>
  </si>
  <si>
    <t>MAR 20</t>
  </si>
  <si>
    <t>10.3389/fmars.2023.1050955</t>
  </si>
  <si>
    <t>C4MX8</t>
  </si>
  <si>
    <t>WOS:000961685200001</t>
  </si>
  <si>
    <t>Fudge, M; Ogier, E; Alexander, KA</t>
  </si>
  <si>
    <t>Fudge, Maree; Ogier, Emily; Alexander, Karen A.</t>
  </si>
  <si>
    <t>Marine and coastal places: Wellbeing in a blue economy</t>
  </si>
  <si>
    <t>ENVIRONMENTAL SCIENCE &amp; POLICY</t>
  </si>
  <si>
    <t>Marine management; Marine industry; Blue economy; Wellbeing; Place connection</t>
  </si>
  <si>
    <t>AQUACULTURE LESSONS; SOCIAL LICENSE; FRAMEWORK; OPPORTUNITIES; ENGAGEMENT; CHALLENGES; CONFLICT; IMPACTS; OPERATE; HEALTH</t>
  </si>
  <si>
    <t>Community members have interests in the development of marine industries such as characterise the blue economy agenda. One of these interests is levels of personal and community wellbeing. Governments, local authorities and marine industries are frequently confronted with conflicting values and interests when making decisions about marine industry development. Yet it is not clear how decisions can be made in ways that also focus on community members' wellbeing. Assessing wellbeing is substantively different from other aspects of development assessment as it comprises (i) subjective and (ii) relational aspects as well as (iii) material aspects. We applied this three-fold wellbeing lens to investigate the connections people make between marine places and their personal wellbeing and how people perceive changes to marine places (industry development) affects this connection. We discuss three key findings: (i) people's subjective and relational experiences of personal well-being in relation to marine places were more important than experiences of material aspects; (ii) the specific quality of the marine environments and the values associated with the physical environment strongly influenced people's subjective and relational wellbeing experiences; and (iii) the development of marine industries may negatively influence people's experience of wellbeing in marine places if not done in ways that are sympathetic to their connections with these marine places. We discuss these findings with respect to the marine industry development and suggest that conceptualising and assessing wellbeing using only material concepts and mea-sures in expanding marine industries will risk missing critical information in the development of sustainable local blue economies.</t>
  </si>
  <si>
    <t>[Fudge, Maree; Ogier, Emily; Alexander, Karen A.] Univ Tasmania, Ctr Marine Socioecol, Private Bag 129, Hobart, Tas 7001, Australia; [Fudge, Maree; Ogier, Emily; Alexander, Karen A.] Univ Tasmania, Inst Marine &amp; Antarctic Studies, Private Bag 129, Hobart, Tas 7001, Australia; [Alexander, Karen A.] Heriot Watt Univ, Int Ctr Isl Technol, Robert Rendall Bldg,Franklin Rd, Stromness KW16 3AW, Orkney, Scotland; [Fudge, Maree] Univ Tasmania, Inst Marine &amp; Antarctic Studies, Private Bag 49, Hobart, Tas 7001, Australia</t>
  </si>
  <si>
    <t>University of Tasmania; University of Tasmania; Heriot Watt University; University of Tasmania</t>
  </si>
  <si>
    <t>Fudge, M (corresponding author), Univ Tasmania, Inst Marine &amp; Antarctic Studies, Private Bag 49, Hobart, Tas 7001, Australia.</t>
  </si>
  <si>
    <t>Maree.Fudge@utas.edu.au</t>
  </si>
  <si>
    <t>Alexander, Karen/O-7042-2017</t>
  </si>
  <si>
    <t>Alexander, Karen/0000-0001-8801-413X; Ogier, Emily/0000-0001-6157-5279</t>
  </si>
  <si>
    <t>Australian Fisheries Research and Development Corporation [2018-075]</t>
  </si>
  <si>
    <t>Australian Fisheries Research and Development Corporation</t>
  </si>
  <si>
    <t>Funding This study was funded by the Australian Fisheries Research and Development Corporation [grant number 2018-075] .</t>
  </si>
  <si>
    <t>1462-9011</t>
  </si>
  <si>
    <t>1873-6416</t>
  </si>
  <si>
    <t>ENVIRON SCI POLICY</t>
  </si>
  <si>
    <t>Environ. Sci. Policy</t>
  </si>
  <si>
    <t>10.1016/j.envsci.2023.03.002</t>
  </si>
  <si>
    <t>A8RK2</t>
  </si>
  <si>
    <t>WOS:000957733100001</t>
  </si>
  <si>
    <t>Houlahan, SB; Errington, I; Hose, GC; King, CK; George, SC</t>
  </si>
  <si>
    <t>Houlahan, Sarah B.; Errington, Ingrid; Hose, Grant C.; King, Catherine K.; George, Simon C.</t>
  </si>
  <si>
    <t>Anthropogenic petroleum signatures and biodegradation in subantarctic Macquarie Island soils</t>
  </si>
  <si>
    <t>Fuel; Diesel; Spill; Biomarkers; Cold climate; Remediation</t>
  </si>
  <si>
    <t>DIESEL FUEL; CONTAMINATED SOILS; CRUDE OILS; HYDROCARBONS; SEDIMENTS; TOXICITY; MATURITY; EXTENT; SPILL; DIASTEREOMERS</t>
  </si>
  <si>
    <t>Special Antarctic Blend (SAB) diesel is the main fuel used on Macquarie Island and has been identified as the primary contaminant in several past spill events. This study evaluates the environmental impact of petroleum spills at high latitudes, in the soils of subantarctic Macquarie Island. Soil samples were collected from seven locations, including the fuel farm and main powerhouse that have been contaminated by petroleum in the past, and five reference locations, away from station infrastructure and from any obvious signs of contamination. Soils were solvent extracted and analysed using gas chromatography-mass spectrometry. The results show that both contaminated and uncontaminated sites contained a suite of different chain-length hydrocarbons. The more contaminated samples from the fuel farm and main powerhouse contained higher concentrations and a greater range of hydrocarbons that typically indicate numerous spills of varying ages. The hydrocarbon signature of samples collected near the fuel farm and at some of the main powerhouse sites was typical of SAB diesel. However, the hydrocarbon signature at other main powerhouse sites suggest contamination with a heavier fuel with different characteristics, including lower pristane/phytane ratios. Traces of C21-C35 cyclic biomarkers in the spill sites may be derived from additional heavier fuels, and include a signature characteristic of crude oil derived from marine carbonate source rocks. Reference samples had lower concentrations of hydrocarbons, and these were dominated by high molecular weight n-alkanes with an odd-carbon-number predominance, typical of higher-plant derived lipids. Some reference samples also contained geochemical signatures that suggest that they too were contaminated by fuel oil. Variable levels of biodegradation of fuels in soils are consistent with a heterogenous site and a relatively slow rate of biodegradation. The occurrence of fresh spilled fuel overprinting biodegraded fuel from earlier spills is compelling evidence of multiple spills and complex mixing in the environment.</t>
  </si>
  <si>
    <t>[Houlahan, Sarah B.; Errington, Ingrid; Hose, Grant C.; George, Simon C.] Macquarie Univ, Sch Nat Sci, Sydney, NSW 2109, Australia; [King, Catherine K.] Australian Antarctic Div, Environm Stewardship Program, Kingston, Tas 7050, Australia</t>
  </si>
  <si>
    <t>Macquarie University; Australian Antarctic Division</t>
  </si>
  <si>
    <t>George, SC (corresponding author), Macquarie Univ, Sch Nat Sci, Sydney, NSW 2109, Australia.</t>
  </si>
  <si>
    <t>simon.george@mq.edu.au</t>
  </si>
  <si>
    <t>George, Simon Christopher/G-7134-2015</t>
  </si>
  <si>
    <t>George, Simon Christopher/0000-0001-6534-3846; Hose, Grant/0000-0003-2106-5543</t>
  </si>
  <si>
    <t>Australian Department of Environment (Australian Antarctic Division) [4135]</t>
  </si>
  <si>
    <t>Australian Department of Environment (Australian Antarctic Division)</t>
  </si>
  <si>
    <t>This study was funded by the Australian Department of Environment (Australian Antarctic Division) under AAS project 4135. Soil samples were collected under permits ES12226 and ES13979 from the Tasmanian Department of Primary Industries Parks Water and Environment. We are grateful for the analytical help from David Sala from the Ecole Normale Superieure Lyon, Universite Lyon 1, during a research internship that was part of his masters work at Macquarie University. Alex Michie assisted with sample collection in the 2012-13 season. We are grateful for helpful comments from Jane Wasley and Jeremy Richardson (Australian Antarctic Division) , and the three anonymous journal reviewers.</t>
  </si>
  <si>
    <t>10.1016/j.chemosphere.2023.138395</t>
  </si>
  <si>
    <t>A8OI4</t>
  </si>
  <si>
    <t>WOS:000957651800001</t>
  </si>
  <si>
    <t>Pradel, P; Bravo, LA; Merino, C; Trefault, N; Rodríguez, R; Knicker, H; Jara, C; Larama, G; Matus, F</t>
  </si>
  <si>
    <t>Pradel, Paulina; Bravo, Leon A.; Merino, Carolina; Trefault, Nicole; Rodriguez, Rodrigo; Knicker, Heike; Jara, Claudia; Larama, Giovanni; Matus, Francisco</t>
  </si>
  <si>
    <t>Microbial response to warming and cellulose addition in a maritime Antarctic soil</t>
  </si>
  <si>
    <t>PERMAFROST AND PERIGLACIAL PROCESSES</t>
  </si>
  <si>
    <t>C-13-NMR; carbon mineralization; carbon sequestration; global warming; King George Island; microbial respiration; open top chamber; Q(10); soil organic matter</t>
  </si>
  <si>
    <t>KING GEORGE ISLAND; TEMPERATURE SENSITIVITY; ORGANIC-MATTER; C-13 NMR; BACTERIAL COMMUNITIES; CARBON; RESPIRATION; EMISSIONS; MINERALIZATION; MICROORGANISMS</t>
  </si>
  <si>
    <t>Maritime Antarctic King George Island (South Shetland Islands) has experienced rapid warming in recent decades, but the impacts on soil organic matter (SOM) decomposition remain ambiguous. Most vegetation cover is dominated by bryophytes (mosses), whereas a few vascular plants, such as Deschampsia antarctica and Colobanthus quitensis grow interspersed. Therefore, SOM is mainly enriched with carbohydrates and C-alkyl, provided by mosses, which lack lignin as a precursor for aromatic compounds and humus formation. However, there is no clear answer to how substrate and temperature increase changes in Antarctic microbial respiration. We determined in what way SOM mineralization changes with temperature and substrate addition by characterizing the temperature sensitivity (Q(10)) of soil respiration in an open-top chamber warming experiment. We hypothesized that: (a) cold-tolerant microorganisms are well adapted to growing in maritime Antarctic soils (similar to 0 degrees C), so would not respond to low and moderate temperature increases because they undergo various metabolic mechanism adjustments until they experience increasing temperatures toward optimum growth (e.g., by enzyme production); and (b) cellulose, as a complex carbonaceous substrate of vegetated areas in Maritime Antarctic soils, activates microorganisms, increasing the Q(10) of soil organic carbon (SOC) mineralization. Soils (5-10 cm) were sampled after four consecutive years of experimental warming for SOC composition, microbial community structure, and C mineralization at 4, 12, and 20 degrees C with and without cellulose addition. Functional group chemoheterotrophs, represented mainly by Proteobacteria, decomposed more refractory SOC (aromatic compounds), as indicated by nuclear magnetic resonance (NMR) spectroscopy, in ambient plots than in warming plots where plants were growing. The C-CO2 efflux from the incubation experiment remained stable below 12 degrees C but sharply increased at 20 degrees C. Q(10) varied between 0.4 and 4 and was reduced at 20 degrees C, whereas cellulose addition increased Q(10). In conclusion, as confirmed during field studies in a climate scenario, cold-tolerant microorganisms in maritime Antarctic soils were slightly affected by increasing temperature (e.g., 4-12 degrees C), with reduced temperature sensitivity, as summarized in a conceptual model.</t>
  </si>
  <si>
    <t>[Pradel, Paulina; Bravo, Leon A.] Univ La Fronetera, Fac Ciencias Agr &amp; Forestales, Dept Ciencias Agron &amp; Recursos Nat, Lab Fisiol &amp; Biol Mol Vegetal, Temuco, Chile; [Bravo, Leon A.; Merino, Carolina; Matus, Francisco] Univ La Fronetera, Network Extreme Environm Res NEXER, Temuco, Chile; [Merino, Carolina; Matus, Francisco] Univ La Fronetera, Dept Chem Sci &amp; Nat Resources, Lab Conservat &amp; Dynam Volcan Soils, Temuco, Chile; [Merino, Carolina] Univ La Fronetera, Ctr Plant Soil Interact &amp; Nat Resources Biotechno, Temuco, Chile; [Trefault, Nicole] Univ Mayor, GEMA Ctr Genom Ecol &amp; Environm, Santiago, Chile; [Rodriguez, Rodrigo; Jara, Claudia] Univ La Fronetera, PhD Program Nat Resources Sci, Temuco, Chile; [Knicker, Heike] CSIC, Inst Recursos Nat &amp; Agrobiol Sevilla IRNAS, Seville, Spain; [Larama, Giovanni] CGNA, Agriaquaculture Nutr Genom Ctr, Temuco, Chile; [Larama, Giovanni] Univ La Frontera, Ctr Modelac &amp; Comp Cient, Temuco, Chile</t>
  </si>
  <si>
    <t>Universidad Mayor; Consejo Superior de Investigaciones Cientificas (CSIC); CSIC - Instituto de Recursos Naturales y Agrobiologia de Sevilla (IRNAS); Universidad de La Frontera</t>
  </si>
  <si>
    <t>Matus, F (corresponding author), Univ La Fronetera, Dept Chem Sci &amp; Nat Resources, Lab Conservat &amp; Dynam Volcan Soils, Ave Francisco Salazar,POB 54-D, Temuco 01145, Chile.</t>
  </si>
  <si>
    <t>Matus, Francisco/AAY-9383-2020; Bravo, León/AAO-8437-2020; Rodríguez, Rodrigo/IYS-2729-2023; Larama, Giovanni/IAN-1822-2023</t>
  </si>
  <si>
    <t>Matus, Francisco/0000-0002-0534-2208; Bravo, León/0000-0003-4705-4842; Larama, Giovanni/0000-0002-9658-7752; Rodriguez, Rodrigo/0000-0003-0991-5939</t>
  </si>
  <si>
    <t>Anillos de Investigacion en Ciencia Antartica, Programa de Investigacion Asociativa [CONICYT-INACH ART1102]</t>
  </si>
  <si>
    <t>Anillos de Investigacion en Ciencia Antartica, Programa de Investigacion Asociativa</t>
  </si>
  <si>
    <t>Anillos de Investigacion en Ciencia Antartica, Programa de Investigacion Asociativa CONICYT-INACH ART1102</t>
  </si>
  <si>
    <t>1045-6740</t>
  </si>
  <si>
    <t>1099-1530</t>
  </si>
  <si>
    <t>PERMAFROST PERIGLAC</t>
  </si>
  <si>
    <t>Permafrost Periglacial Process.</t>
  </si>
  <si>
    <t>10.1002/ppp.2182</t>
  </si>
  <si>
    <t>Geography, Physical; Geology</t>
  </si>
  <si>
    <t>M6KN8</t>
  </si>
  <si>
    <t>WOS:000953525600001</t>
  </si>
  <si>
    <t>Davison, BJ; Hogg, AE; Rigby, R; Veldhuijsen, S; van Wessem, JM; van den Broeke, MR; Holland, PR; Selley, HL; Dutrieux, P</t>
  </si>
  <si>
    <t>Davison, Benjamin J.; Hogg, Anna E.; Rigby, Richard; Veldhuijsen, Sanne; van Wessem, Jan Melchior; van den Broeke, Michiel R.; Holland, Paul R.; Selley, Heather L.; Dutrieux, Pierre</t>
  </si>
  <si>
    <t>Sea level rise from West Antarctic mass loss significantly modified by large snowfall anomalies</t>
  </si>
  <si>
    <t>PINE ISLAND GLACIER; ICE DISCHARGE; CLIMATE VARIABILITY; ATMOSPHERIC RIVERS; SURFACE MELT; EMBAYMENT; BALANCE; MODEL; SHELF; CIRCULATION</t>
  </si>
  <si>
    <t>Mass loss from the West Antarctic Ice Sheet is dominated by glaciers draining into the Amundsen Sea Embayment (ASE), yet the impact of anomalous precipitation on the mass balance of the ASE is poorly known. Here we present a 25-year (1996-2021) record of ASE input-output mass balance and evaluate how two periods of anomalous precipitation affected its sea level contribution. Since 1996, the ASE has lost 3331424Gt ice, contributing 9.2 +/- 1.2mm to global sea level. Overall, surface mass balance anomalies contributed little (7.7%) to total mass loss; however, two anomalous precipitation events had larger, albeit short-lived, impacts on rates of mass change. During 2009-2013, persistently low snowfall led to an additional 51 +/- 4Gtyr(-1) mass loss in those years (contributing positively to the total loss of 195 +/- 4Gtyr(-1)). Contrastingly, extreme precipitation in the winters of 2019 and 2020 decreased mass loss by 60 +/- 16Gtyr(-1) during those years (contributing negatively to the total loss of 107 +/- 15Gtyr(-1)). These results emphasise the important impact of extreme snowfall variability on the short-term sea level contribution from West Antarctica. The authors combine measurements of ice loss from West Antarctica with climate modelling to show that periods of drought or extremely heavy precipitation can significantly increase or decrease rates of mass loss for periods lasting several years.</t>
  </si>
  <si>
    <t>[Davison, Benjamin J.; Hogg, Anna E.; Rigby, Richard; Selley, Heather L.] Univ Leeds, Sch Earth &amp; Environm, Leeds, W Yorkshire, England; [Veldhuijsen, Sanne; van Wessem, Jan Melchior; van den Broeke, Michiel R.] Univ Utrecht, Inst Marine &amp; Atmospher Res Utrecht, Utrecht, Netherlands; [Holland, Paul R.; Dutrieux, Pierre] British Antarctic Survey, Cambridge, England</t>
  </si>
  <si>
    <t>University of Leeds; Utrecht University; UK Research &amp; Innovation (UKRI); Natural Environment Research Council (NERC); NERC British Antarctic Survey</t>
  </si>
  <si>
    <t>Davison, BJ (corresponding author), Univ Leeds, Sch Earth &amp; Environm, Leeds, W Yorkshire, England.</t>
  </si>
  <si>
    <t>b.davison@leeds.ac.uk</t>
  </si>
  <si>
    <t>Dutrieux, Pierre/GVS-2890-2022; van den Broeke, Michiel Roland/F-7867-2011</t>
  </si>
  <si>
    <t>Dutrieux, Pierre/0000-0002-8066-934X; Veldhuijsen, Sanne/0000-0003-3388-6824; Rigby, Richard/0000-0001-9554-6054; van den Broeke, Michiel Roland/0000-0003-4662-7565; Davison, Ben/0000-0001-9483-2956</t>
  </si>
  <si>
    <t>ESA Polar+ Ice Shelves project, ESA Polar Science Cluster [ESA-IPL-POE-EF-cb-LE-2019-834]; ESA Polar+ SO-ICE, ESA Polar Science Cluster [ESA AO/1-10461/20/I-NB]; NERC DeCAdeS project [NE/T012757/1]</t>
  </si>
  <si>
    <t>ESA Polar+ Ice Shelves project, ESA Polar Science Cluster; ESA Polar+ SO-ICE, ESA Polar Science Cluster; NERC DeCAdeS project(UK Research &amp; Innovation (UKRI)Natural Environment Research Council (NERC))</t>
  </si>
  <si>
    <t>B.J.D. and A.E.H. are supported by the ESA Polar+ Ice Shelves project (ESA-IPL-POE-EF-cb-LE-2019-834), the ESA Polar+ SO-ICE project (ESA AO/1-10461/20/I-NB), which both are part of the ESA Polar Science Cluster, and the NERC DeCAdeS project (NE/T012757/1). Data processing was performed on ARC3 and ARC4, part of the High-Performance Computing facilities at the University of Leeds, UK. B.J.D. also thanks Nicolaj Hansen and Ruth Mottram for providing HIRHAM5 output, Christopher Kittel for providing MAR output, and Jonathan Wille for providing an updated atmospheric river dataset.</t>
  </si>
  <si>
    <t>MAR 17</t>
  </si>
  <si>
    <t>10.1038/s41467-023-36990-3</t>
  </si>
  <si>
    <t>N9YP0</t>
  </si>
  <si>
    <t>Green Accepted, Green Published, gold</t>
  </si>
  <si>
    <t>WOS:001040483800009</t>
  </si>
  <si>
    <t>Dames, NR; Wallschuss, S; Rocke, E; Pitcher, G; Rybicki, E; Pfaff, M; Burger, J; Fawcett, SE; Moloney, CL</t>
  </si>
  <si>
    <t>Dames, Nicole R.; Wallschuss, Sina; Rocke, Emma; Pitcher, Grant; Rybicki, Edward; Pfaff, Maya; Burger, Jessica; Fawcett, Sarah E.; Moloney, Coleen L.</t>
  </si>
  <si>
    <t>Short-term dynamics of nano- and picoplankton production in an embayment of the southern Benguela upwelling region</t>
  </si>
  <si>
    <t>Net primary production; Size fractionation; Nano-picoplankton; Nitrification; St Helena Bay</t>
  </si>
  <si>
    <t>PRIMARY NITRITE MAXIMUM; MARINE CYANOBACTERIA PROCHLOROCOCCUS; PHYTOPLANKTON PRODUCTION; NITROGEN UPTAKE; NITRIFICATION RATES; OXIDIZING BACTERIA; SCALE DISTRIBUTION; ISOTOPIC ANALYSIS; ORGANIC-MATTER; ANCHOR STATION</t>
  </si>
  <si>
    <t>In the southern Benguela ecosystem, regenerated production and high levels of organic matter remineralisation are expected to dominate during periods of relaxation. To study microbial growth and productivity under these remineralising conditions, we measured size fractionated (micro-nanoplankton: 10-200 &amp; mu;m and nano-picoplankton: 0.3-10 &amp; mu;m) net primary production, uptake rates of nitrate, ammonium, and urea, as well as nano-and picoplankton community composition and biomass over five consecutive days in autumn (March 2018). Samples were collected from three depths (1 m, 25 m, and 50 m) at a single station in St Helena Bay and abundances of nanophytoplankton, picophytoplankton and heterotrophic bacteria were determined using flow cytometry. There were differences in productivity among days but depth-differentiation was more apparent in the rates of net primary production and nitrogen uptake, with the highest rates (rate &amp; PLUSMN; SD) (NPP: 3.36 &amp; PLUSMN; 1.82 &amp; mu;mol L-1 d-1; pNO3 -: 0.30 &amp; PLUSMN; 0.18 &amp; mu;mol L-1 d-1; pNH4+: 2.27 &amp; PLUSMN; 0.75 &amp; mu;mol L-1 d-1; pUrea: 1.38 &amp; PLUSMN; 0.02 &amp; mu;mol L-1 d-1) measured at the surface. Ammonium and urea uptake rates were two-to six-fold higher than those of nitrate, indicating that most of the biomass was produced through regenerated production with f-ratios of 0.02-0.21. Nano-picoplankton comprised 67% of the carbon biomass and were responsible for 90% of net primary pro-duction and 79-85% of total nitrogen (i.e., nitrate + ammonium + urea) uptake. Small cell size likely conferred advantages on nano-picoplankton in the nutrient-deplete euphotic zone and the low-oxygen (&lt;89.3 &amp; mu;mol L-1) conditions at 25 m and 50 m. Nitrite oxidation rates were fastest at deeper depths where heterotrophic bacteria were most abundant. Heterotrophic bacteria also contributed the most (95%) carbon biomass at all depths, suggesting a major role for these microorganisms in carbon and nitrogen cycling throughout the water column of St Helena Bay.</t>
  </si>
  <si>
    <t>[Dames, Nicole R.; Rocke, Emma; Pfaff, Maya; Moloney, Coleen L.] Univ Cape Town, Dept Biol Sci, Private Bag X2, Rondebosch, ZA-7700 Cape Town, South Africa; [Wallschuss, Sina; Burger, Jessica; Fawcett, Sarah E.] Univ Cape Town, Dept Oceanog, Private Bag X2, Rondebosch, ZA-7700 Cape Town, South Africa; [Pitcher, Grant; Pfaff, Maya] Dept Forestry Fisheries &amp; Environm DFFE, Cape Town, South Africa; [Rybicki, Edward] Univ Cape Town, Dept Mol &amp; Cell Biol, Biopharming Res Unit, Private Bag X2, Rondebosch, ZA-7700 Cape Town, South Africa; [Dames, Nicole R.; Rocke, Emma; Fawcett, Sarah E.] Univ Cape Town, Marine &amp; Antarctic Res Ctr Innovat &amp; Sustainabil M, Private Bag X2, Rondebosch, ZA-7700 Cape Town, South Africa</t>
  </si>
  <si>
    <t>University of Cape Town; University of Cape Town; University of Cape Town; University of Cape Town</t>
  </si>
  <si>
    <t>Dames, NR (corresponding author), Univ Cape Town, Dept Biol Sci, Private Bag X2, Rondebosch, ZA-7700 Cape Town, South Africa.</t>
  </si>
  <si>
    <t>nicole.dames@uct.ac.za</t>
  </si>
  <si>
    <t>Burger, Jessica/0000-0002-8621-8005; Dames, Nicole Rebecca/0000-0003-3943-1759; Rocke, Emma/0000-0001-9514-9788; Fawcett, Sarah/0000-0002-0878-6496</t>
  </si>
  <si>
    <t>South African National Research Foundation [98967, 116050, 116142, 129320]; National Research Foundation (NRF)</t>
  </si>
  <si>
    <t>South African National Research Foundation(National Research Foundation - South Africa); National Research Foundation (NRF)</t>
  </si>
  <si>
    <t>We thank Andre du Randt and Lisa Mansfield for support at sea and Zimkhita Gebe, Raquel Flynn, Raymond Roman, Katherine Wallis, Nwabisa Malongweni and Andrew Ndlovu for assistance in the field and in the laboratory. We acknowledge the DSI Biogeography Research Infrastructure Platform (BIOGRIP). This work was funded by the South African National Research Foundation grants 98967, 116050, 116142 and 129320. The financial assistance of the National Research Foundation (NRF) towards this research is hereby acknowledged. Opinions expressed and conclusions arrived at, are those of the author and are not necessarily to be attributed to the NRF.</t>
  </si>
  <si>
    <t>MAY 5</t>
  </si>
  <si>
    <t>10.1016/j.ecss.2023.108285</t>
  </si>
  <si>
    <t>M3KR0</t>
  </si>
  <si>
    <t>WOS:001029206000001</t>
  </si>
  <si>
    <t>Wang, JS; Zhang, YJ; Zhang, C; Wang, YR; Zhou, JC; Whalley, LK; Slater, EJ; Dyson, JE; Xu, WY; Cheng, P; Han, BB; Wang, LF; Yu, XA; Wang, YF; Woodward-Massey, R; Lin, WL; Zhao, WX; Zeng, LM; Ma, ZQ; Heard, DE; Ye, CX</t>
  </si>
  <si>
    <t>Wang, Jianshu; Zhang, Yingjie; Zhang, Chong; Wang, Yaru; Zhou, Jiacheng; Whalley, Lisa K.; Slater, Eloise J.; Dyson, Joanna E.; Xu, Wanyun; Cheng, Peng; Han, Baobin; Wang, Lifan; Yu, Xuena; Wang, Youfeng; Woodward-Massey, Robert; Lin, Weili; Zhao, Weixiong; Zeng, Limin; Ma, Zhiqiang; Heard, Dwayne E.; Ye, Chunxiang</t>
  </si>
  <si>
    <t>Validating HONO as an Intermediate Tracer of the External Cycling of Reactive Nitrogen in the Background Atmosphere</t>
  </si>
  <si>
    <t>nitrous acid (HONO); reactive nitrogen; budget analysis; photochemistry; atmospheric oxidative capacity; the Tibetan Plateau</t>
  </si>
  <si>
    <t>ACID HONO; VERTICAL GRADIENTS; MAJOR SOURCE; SOUTH-POLE; NOX; CHEMISTRY; EMISSIONS; SITE; SNOWPACK; OH</t>
  </si>
  <si>
    <t>In the urban atmosphere, nitrogen oxide (NOx equivalent to NO + NO2)-related reactions dominate the formation of nitrous acid (HONO). Here, we validated an external cycling route of HONO and NOx, i.e., formation of HONO resulting from precursors other than NOx, in the background atmosphere. A chemical budget closure experiment of HONO and NOx was conducted at a background site on the Tibetan Plateau and provided direct evidence of the external cycling. An external daytime HONO source of 100 pptv h-1 was determined. Both soil emissions and photolysis of nitrate on ambient surfaces constituted likely candidate mechanisms characterizing this external source. The external source dominated the chemical production of NOx with HONO as an intermediate tracer. The OH production was doubled as a result of the external cycling. A high HONO/NOx ratio (0.31 +/- 0.06) during the daytime was deduced as a sufficient condition for the external cycling. Literature review suggested the prevalence of high HONO/NOx ratios in various background environments, e.g., polar regions, pristine mountains, and forests. Our analysis validates the prevalence of external cycling in general background atmosphere and highlights the promotional role of external cycling regarding the atmospheric oxidative capacity.</t>
  </si>
  <si>
    <t>[Wang, Jianshu; Zhang, Chong; Wang, Yaru; Ye, Chunxiang] Peking Univ, Coll Environm Sci &amp; Engn, State Key Joint Lab Environm Simulat &amp; Pollut Cont, Beijing 100871, Peoples R China; [Zhang, Yingjie; Wang, Lifan; Yu, Xuena; Wang, Youfeng; Woodward-Massey, Robert; Zeng, Limin] Peking Univ, Coll Environm Sci &amp; Engn, State Key Joint Lab Environm Simulat &amp; Pollut Cont, Beijing 100871, Peoples R China; [Zhang, Yingjie] Beijing Forestry Univ, Sch Ecol &amp; Nat Conservat, Beijing 100083, Peoples R China; [Zhou, Jiacheng; Zhao, Weixiong] Chinese Acad Sci, Hefei Inst Phys Sci, Anhui Inst Opt &amp; Fine Mech, Lab Atmospher Physico Chem, Hefei 230031, Anhui, Peoples R China; [Whalley, Lisa K.; Slater, Eloise J.; Dyson, Joanna E.; Heard, Dwayne E.] Univ Leeds, Sch Chem, Leeds LS2 9JT, England; [Dyson, Joanna E.] British Antarctic Survey, Cambridge CB3 0ET, England; [Xu, Wanyun] Chinese Acad Meteorol Sci, Inst Atmospher Composit, Beijing 100081, Peoples R China; [Cheng, Peng] Jinan Univ, Inst Mass Spectrometry &amp; Atmospher Environm, Guangzhou 510632, Peoples R China; [Lin, Weili] Minzu Univ China, Natl Ethn Affairs Commiss, Key Lab Ecol &amp; Environm Minor Areas, Beijing 100081, Peoples R China; [Ma, Zhiqiang] China Meteorol Adm, Beijing Inst Urban Meteorol, Beijing 100089, Peoples R China</t>
  </si>
  <si>
    <t>Peking University; Peking University; Beijing Forestry University; Chinese Academy of Sciences; Hefei Institutes of Physical Science, CAS; Anhui Institute of Optics &amp; Fine Mechanics (AIOFM), CAS; University of Leeds; UK Research &amp; Innovation (UKRI); Natural Environment Research Council (NERC); NERC British Antarctic Survey; China Meteorological Administration; Chinese Academy of Meteorological Sciences (CAMS); Jinan University; China Meteorological Administration</t>
  </si>
  <si>
    <t>Ye, CX (corresponding author), Peking Univ, Coll Environm Sci &amp; Engn, State Key Joint Lab Environm Simulat &amp; Pollut Cont, Beijing 100871, Peoples R China.</t>
  </si>
  <si>
    <t>c.ye@pku.edu.cn</t>
  </si>
  <si>
    <t>xiao, wei/KCK-6954-2024; Li, Zexi/KFA-6939-2024; zhang, jingxing/KCY-4726-2024; li, jixiang/JXN-7599-2024; Yang, YiChen/KEI-0140-2024; Liu, Donghua/KEJ-1974-2024; Zhou, Jiacheng/ABG-5618-2021; Whalley, Lisa/IXD-2165-2023; chen, xiao/KFQ-6812-2024; Jia, Li/JVN-3095-2024; Zhang, Yingjie/L-1868-2016; LIU, JIALIN/JXN-8034-2024; Xu, Wanyun/D-7681-2013; li, chunlin/KFS-0761-2024; Xu, Wanyun/AFK-3244-2022; li, tong/JYO-7530-2024; Zhou, Jiacheng/ITT-0994-2023; Heard, Dwayne/M-3624-2017; Ma, Zhiqiang/J-7603-2019; Li, Yuanxiang/KCX-8706-2024; cheng, peng/F-1006-2019</t>
  </si>
  <si>
    <t>Liu, Donghua/0000-0002-5830-9540; Zhou, Jiacheng/0000-0003-1092-3848; Zhang, Yingjie/0000-0002-3397-0244; Xu, Wanyun/0000-0003-4787-1754; Zhou, Jiacheng/0000-0003-1092-3848; Ma, Zhiqiang/0000-0002-6791-1162; Zhang, Chong/0000-0002-3852-3056; Wang, Jianshu/0000-0003-1754-9529; cheng, peng/0000-0002-0806-9593</t>
  </si>
  <si>
    <t>National Natural Science Foundation of China [42175120, 41875151, 42105110]; Second Tibetan Plateau Scientific Expedition and Research Program [2019QZKK060604]</t>
  </si>
  <si>
    <t>National Natural Science Foundation of China(National Natural Science Foundation of China (NSFC)); Second Tibetan Plateau Scientific Expedition and Research Program</t>
  </si>
  <si>
    <t>This work was supported by the National Natural Science Foundation of China (grants nos. 42175120, 41875151, and 42105110) and the Second Tibetan Plateau Scientific Expedition and Research Program (2019QZKK060604) .</t>
  </si>
  <si>
    <t>10.1021/acs.est.2c06731</t>
  </si>
  <si>
    <t>C9XV1</t>
  </si>
  <si>
    <t>WOS:000962803500001</t>
  </si>
  <si>
    <t>Genovese, C; Grotti, M; Ardini, F; Corkill, MJ; Duprat, LP; Wuttig, K; Townsend, AT; Lannuzel, D</t>
  </si>
  <si>
    <t>Genovese, Cristina; Grotti, Marco; Ardini, Francisco; Corkill, Matthew J.; Duprat, Luis P.; Wuttig, Kathrin; Townsend, Ashley T.; Lannuzel, Delphine</t>
  </si>
  <si>
    <t>A proposed seasonal cycle of dissolved iron-binding ligands in Antarctic sea ice</t>
  </si>
  <si>
    <t>Iron; Iron ligands; Sea ice; Exopolymers; Antarctica</t>
  </si>
  <si>
    <t>CATHODIC STRIPPING VOLTAMMETRY; COMPLEXING LIGANDS; EXOPOLYMER PARTICLES; TRACE-METALS; PACK-ICE; ORGANIC COMPLEXATION; OCEAN; SEAWATER; PHYTOPLANKTON; SUBSTANCES</t>
  </si>
  <si>
    <t>Iron (Fe) is an essential micronutrient to oceanic microalgae, and its dissolved fraction (DFe) is retained in surface waters by Fe-binding ligands. Previous work has suggested that ligands may also bind Fe within sea ice, although supporting data are limited. This study investigates distribution, concentration, and potential drivers of Fe-binding ligands in Antarctic sea ice, considering the ice type, location and season. Results suggest that the concentration of ligands (CL) varies throughout the year, both spatially and seasonally. The lowest CL (3.3-8.0 nM) and DFe concentrations (0.7-3.5 nM) were recorded in newly formed winter sea ice in the Weddell Sea, likely due to the early stage of sea-ice growth and low biological activity. The highest CL (1.7-74.6 nM), which follows the distribution of DFe (1.0-7 5.5 nM), was observed during springtime, in the Eastern Antarctic Sector. There, consistently higher values for CL in bottom ice depths were likely associated with enhanced algal biomass, while aeolian deposition may have acted as an additional source of DFe and ligands near Davis station. In summer, the senescence of ice algae and advanced sea-ice melting led to intermediate CL (1.0-21.9 nM) and DFe concentrations (0.6-13.3 nM) both on and off the East Antarctic coast. Regardless of time and location, &gt;99% of DFe was complexed, suggesting that CL controls the distribution of DFe in sea ice. This study represents a first attempt at a year-round investigation of CL in sea ice, providing results that support the premise that sea ice acts as a potential biogeochemical bridge between autumn and spring phytoplankton blooms.</t>
  </si>
  <si>
    <t>[Genovese, Cristina; Corkill, Matthew J.; Duprat, Luis P.] Univ Tasmania, Inst Marine &amp; Antarctic Studies, Hobart, Tas, Australia; [Genovese, Cristina] Int Sch Turin, Turin, Italy; [Grotti, Marco; Ardini, Francisco] Univ Genoa, Dept Chem &amp; Ind Chem, Genoa, Italy; [Wuttig, Kathrin] Univ Tasmania, Antarctic Climate &amp; Ecosyst CRC, Hobart, Tas, Australia; [Wuttig, Kathrin] Fed Maritime &amp; Hydrog Agcy BSH, Hamburg, Germany; [Townsend, Ashley T.] Univ Tasmania, Cent Sci Lab, Hobart, Tas, Australia</t>
  </si>
  <si>
    <t>University of Tasmania; University of Genoa; University of Tasmania; University of Tasmania</t>
  </si>
  <si>
    <t>Genovese, C (corresponding author), Univ Tasmania, Inst Marine &amp; Antarctic Studies, Hobart, Tas, Australia.</t>
  </si>
  <si>
    <t>cristina.genovese@ulb.be</t>
  </si>
  <si>
    <t>Townsend, Ashley/J-7445-2014; Lannuzel, Delphine/J-7937-2014; Wuttig, Kathrin/F-5793-2015</t>
  </si>
  <si>
    <t>Townsend, Ashley/0000-0002-2972-2678; Wuttig, Kathrin/0000-0003-4010-5918</t>
  </si>
  <si>
    <t>Australian Government Cooperative Research Centre Program through the Antarctic Climate and Ecosystems (ACE CRC) [4291]; Australian Research Counci [LE0989539]; Australian Research Council's Special Research Initiative for Antarctic Gateway Partnership [SR140300001]; Australian Research Council [LE0989539] Funding Source: Australian Research Council</t>
  </si>
  <si>
    <t>Australian Government Cooperative Research Centre Program through the Antarctic Climate and Ecosystems (ACE CRC); Australian Research Counci(Australian Research Council); Australian Research Council's Special Research Initiative for Antarctic Gateway Partnership(Australian Research Council); Australian Research Council(Australian Research Council)</t>
  </si>
  <si>
    <t>This work was co-funded by the Australian Government Cooperative Research Centre Program through the Antarctic Climate and Ecosystems (ACE CRC) , the Australian Ant-arctic Science (AAS) project no. 4291. Access to ICP-MS instrumentation at the University of Tasmania was sup-ported through the Australian Research Council LIEF pro-gram (LE0989539) . CG was supported by the Australian Research Council?s Special Research Initiative for Antarctic Gateway Partnership (Project ID SR140300001) .</t>
  </si>
  <si>
    <t>10.1525/elementa.2021.00030</t>
  </si>
  <si>
    <t>C1JN9</t>
  </si>
  <si>
    <t>WOS:000959567000001</t>
  </si>
  <si>
    <t>Tidd, AN; Caballero, V; Ojea, E; Watson, RA; Molinos, JG</t>
  </si>
  <si>
    <t>Tidd, Alex N.; Caballero, Vasquez; Ojea, Elena; Watson, Reg A.; Molinos, Jorge Garcia</t>
  </si>
  <si>
    <t>Estimating global artisanal fishing fleet responses in an era of rapid climate and economic change</t>
  </si>
  <si>
    <t>fisheries; climate adaptation; global change; sustainable goals; temperature anomaly; technical efficiency</t>
  </si>
  <si>
    <t>2ND-STAGE DEA; FISHERIES; EFFICIENCY; CATCH; BIODIVERSITY; GOVERNANCE; MANAGEMENT; FRONTIER; IMPACTS; MODELS</t>
  </si>
  <si>
    <t>There is an urgent need to assess the extent to which the global fishing enterprise can be sustainable in the face of climate change. Artisanal fishing plays a crucial role in sustaining livelihoods and meeting food security demands in coastal countries. Yet, the ability of the artisanal sector to do so not only depends on the economic efficiency of the fleets, but also on the changing productivity and distribution of target species under rapid climate change in the oceans. These impacts are already leading to sudden declines, long-term collapses in production, or increases in the price of fish products, which can further exacerbate excess levels of fishing capacity. We examined historical changes (1950-2014) in technical efficiency within the global artisanal fishing fleets in relation to sea surface temperature anomalies, market prices by taxonomic group, and fuel costs. We show that temperature anomalies affected countries differently; while some have enhanced production from an increase in the resource distribution, which alter the structure of the ecosystem, others have had to adapt to the negative impacts of seawater warming. In addition, efficiency decreases are also related to rises in global marine fish price, whereby more labour and capital are attracted into the fishery, which in turn can lead to an excess in fleet capacity. Our results contribute to the understanding of how the effects of climate-induced change in the oceans could potentially affect the efficiency of artisanal fishing fleets.</t>
  </si>
  <si>
    <t>[Tidd, Alex N.; Caballero, Vasquez; Ojea, Elena] Univ Vigo, Ctr Invest Marina, Future Oceans Lab, Vigo, Spain; [Tidd, Alex N.] Univ Bergen, Dept Biol Sci BIO, Theoret Ecol Grp, Bergen, Norway; [Caballero, Vasquez] RTI Int, Ctr Appl Econ &amp; Strategy, Res Triangle Pk, NC USA; [Watson, Reg A.] Univ Tasmania, Inst Marine &amp; Antarctic Studies, Hobart, Tas, Australia; [Watson, Reg A.] Univ Tasmania, Ctr Marine Socioecol, Battery Point, Tas, Australia; [Molinos, Jorge Garcia] Hokkaido Univ, Arctic Res Ctr, Sapporo, Japan; [Molinos, Jorge Garcia] Hokkaido Univ, Grad Sch Environm Sci, Sapporo, Japan</t>
  </si>
  <si>
    <t>Universidade de Vigo; CIM UVIGO; University of Bergen; Research Triangle Institute; University of Tasmania; University of Tasmania; Hokkaido University; Hokkaido University</t>
  </si>
  <si>
    <t>Tidd, AN (corresponding author), Univ Vigo, Ctr Invest Marina, Future Oceans Lab, Vigo, Spain.;Tidd, AN (corresponding author), Univ Bergen, Dept Biol Sci BIO, Theoret Ecol Grp, Bergen, Norway.</t>
  </si>
  <si>
    <t>alex.tidd@uvigo.es</t>
  </si>
  <si>
    <t>Garcia Molinos, Jorge/C-9252-2015; ojea, elena/D-3709-2018</t>
  </si>
  <si>
    <t>Garcia Molinos, Jorge/0000-0001-7516-1835; ojea, elena/0000-0003-4991-8077</t>
  </si>
  <si>
    <t>European Research Council under the European Union; Japan Society for the Promotion of Science [JPMJSC20E5]; Japanese Science and Technology Agency (JST SICORP) [679812]; Universidade de Vigo/CISUG; [KAKENHI 19H04322]</t>
  </si>
  <si>
    <t>European Research Council under the European Union(European Research Council (ERC)); Japan Society for the Promotion of Science(Ministry of Education, Culture, Sports, Science and Technology, Japan (MEXT)Japan Society for the Promotion of Science); Japanese Science and Technology Agency (JST SICORP); Universidade de Vigo/CISUG;</t>
  </si>
  <si>
    <t>The research conducted here has received funding from the European Research Council under the European Union's Horizon 2020 research and innovation program, ERC Starting Grant project CLOCK (Grant Agreement n.679812). Funding for open access charge: Universidade de Vigo/CISUG. JG was supported by the Japan Society for the Promotion of Science (KAKENHI 19H04322) and the Japanese Science and Technology Agency (JST SICORP Grant Number JPMJSC20E5).</t>
  </si>
  <si>
    <t>10.3389/fmars.2023.997014</t>
  </si>
  <si>
    <t>C4FZ2</t>
  </si>
  <si>
    <t>WOS:000961504500001</t>
  </si>
  <si>
    <t>Morales-Torres, DF; Valdivia, N; Rodríguez, SM; Navedo, JG</t>
  </si>
  <si>
    <t>Morales-Torres, Diego F.; Valdivia, Nelson; Rodriguez, Sara M.; Navedo, Juan G.</t>
  </si>
  <si>
    <t>The importance of feeding fast when thieves are around: A case study on Whimbrels foraging on a wave-exposed sandy beach in southern Chile</t>
  </si>
  <si>
    <t>Charadriiformes; gulls; handling time; kleptoparasitism probability; profitability</t>
  </si>
  <si>
    <t>ENERGY-INTAKE; PREY CHOICE; KLEPTOPARASITISM; BEHAVIOR; GULLS; HOST; SHOREBIRD; MIGRATION; CRAB; RISK</t>
  </si>
  <si>
    <t>Prey profitability is one of the most important factors influencing prey selection. This factor varies along with both prey size and handling time. Thus, large prey are generally highly profitable for consumers and boost competition. Kleptoparasitism is a form of competition in which an individual steals food previously obtained by another individual. Accordingly, handling large prey should increase the likelihood of kleptoparasitism occurrence, but these relationships remain poorly understood. Here, we studied kleptoparasitism occurrence by the Brown--Hooded Gull (Chroicocephalus maculipennis - Laridae) on Whimbrels (Numenius phaeopus hudsonicus - Scolopacidae) preying on intertidal Mole Crabs (Emerita analoga) in a wave-exposed sandy beach in southern Chile. Generalized linear models, fitted to data from focal-individual video sequences, showed that kleptoparasitism probability had a positive sigmoidal response to handling time. Moreover, with an increase of 1 s in handling time, a Whimbrel doubled its probability of being kleptoparasitized. Additionally, the odds of being kleptoparasitized were 17% higher with an increase of 10 mm in prey length and 47% higher with an increase of one gull per host. However, the effect of handling on kleptoparasitism probability slightly decreased (2%) with an increase of 10 mm in prey size class. Our results suggest the existence of a threshold time in which consumers can handle their prey before kleptoparasitism probability is too high. Nevertheless, Whimbrel's mean intake rate reached 0.15 +/- 0.13 kJ s(-1), allowing Whimbrels to theoretically meet their energetic requirements despite losing some prey to kleptoparasites. This study provides new insight into a common form of competition among consumers, highlighting the importance of prey handling time for shorebirds with a restricted foraging time driven by tidal cycles.</t>
  </si>
  <si>
    <t>[Morales-Torres, Diego F.; Valdivia, Nelson; Navedo, Juan G.] Univ Austral Chile, Fac Ciencias, Inst Ciencias Marinas &amp; Limnol, Valdivia, Chile; [Valdivia, Nelson] Ctr FONDAP Invest Dinam Ecosistemas Marinos Altas, Valdivia, Chile; [Rodriguez, Sara M.] Univ Catolica Santisima Concepcion, Fac Ciencias, Dept Ecol, Concepcion, Chile; [Rodriguez, Sara M.] Univ Bernardo OHiggins, Ctr Invest Recursos Nat &amp; Sustentabil CIRENYS, Santiago, Chile; [Navedo, Juan G.] Millennium Inst Biodivers Antarctic &amp; Subantarct, Santiago, Chile</t>
  </si>
  <si>
    <t>Universidad Austral de Chile; Universidad Catolica de la Santisima Concepcion; Universidad Bernardo O'Higgins</t>
  </si>
  <si>
    <t>Morales-Torres, DF (corresponding author), Univ Austral Chile, Fac Ciencias, Inst Ciencias Marinas &amp; Limnol, Valdivia, Chile.</t>
  </si>
  <si>
    <t>diegomoralestorres96@gmail.com</t>
  </si>
  <si>
    <t>Valdivia, Nelson/C-3613-2009</t>
  </si>
  <si>
    <t>Valdivia, Nelson/0000-0002-5394-2072; Morales Torres, Diego Fernando/0000-0001-8665-917X; Rodriguez, Sara Magdalena/0000-0002-1855-4170</t>
  </si>
  <si>
    <t>Fondo Nacional de Desarrollo Cientifico y Tecnologico [1161224, 1190529]</t>
  </si>
  <si>
    <t>Fondo Nacional de Desarrollo Cientifico y Tecnologico(Comision Nacional de Investigacion Cientifica y Tecnologica (CONICYT)CONICYT FONDECYT)</t>
  </si>
  <si>
    <t>Fondo Nacional de Desarrollo Cientifico y Tecnologico, Grant/Award Number: #1161224 and #1190529</t>
  </si>
  <si>
    <t>10.1111/aec.13298</t>
  </si>
  <si>
    <t>KA5J3</t>
  </si>
  <si>
    <t>WOS:000953351100001</t>
  </si>
  <si>
    <t>Hayward, A; Pinkerton, MH; Gutierrez-Rodriguez, A</t>
  </si>
  <si>
    <t>Hayward, Alexander; Pinkerton, Matthew H.; Gutierrez-Rodriguez, Andres</t>
  </si>
  <si>
    <t>phytoclass: A pigment-based chemotaxonomic method to determine the biomass of phytoplankton classes</t>
  </si>
  <si>
    <t>COMMUNITY STRUCTURE; CHEMTAX ANALYSIS; SOUTHERN-OCEAN; TEMPORAL VARIABILITY; CLASS ABUNDANCES; LEAST-SQUARES; WATER MASSES; SIZE; DINOFLAGELLATE; DISTRIBUTIONS</t>
  </si>
  <si>
    <t>Pigment-based chemotaxonomy is a widely utilized tool to determine the biomass of phytoplankton classes from pigment biomarkers. The CHEMTAX approach is sensitive to the initial estimates of pigment-to-chlorophyll a (Chl a) ratios for the phytoplankton classes required, even though these are modified by the CHEMTAX process. We present an alternative chemotaxonomic method that utilizes simulated annealing with a steepest descent algorithm to derive class abundances and pigment-to-Chl a ratios. The simulated annealing algorithm is tested on two synthetic datasets of Southern Ocean phytoplankton communities. Each dataset is composed of 1000 inversion samples (set of phytoplankton class abundances, pigment ratios, and pigment profiles) with sizes ranging between 5 and 60 individual samples. We show that the new simulated annealing approach displays higher accuracy than two common configurations of the CHEMTAX method, with lower differences between true and estimated class abundances. Symmetric mean absolute percentage error were 4.8-11%, compared to 18-70% with CHEMTAX approaches. Proportions of variance explained (R-2) between true and estimated class abundances using the simulated annealing approach were 0.98-0.99 compared to 0.71-0.89 for CHEMTAX. Overall, this new methodology is capable of determining phytoplankton class abundances at higher accuracy than CHEMTAX without sensitivity to initial estimates of pigment-to-Chl a ratios.</t>
  </si>
  <si>
    <t>[Hayward, Alexander; Pinkerton, Matthew H.; Gutierrez-Rodriguez, Andres] Natl Inst Water &amp; Atmospher Res, Wellington, New Zealand; [Hayward, Alexander] Univ Otago, Dunedin, New Zealand; [Gutierrez-Rodriguez, Andres] Ctr Oceanog Gijon, Inst Espanol Oceanog, Gijon, Spain</t>
  </si>
  <si>
    <t>National Institute of Water &amp; Atmospheric Research (NIWA) - New Zealand; University of Otago; Spanish Institute of Oceanography</t>
  </si>
  <si>
    <t>Hayward, A (corresponding author), Natl Inst Water &amp; Atmospher Res, Wellington, New Zealand.;Hayward, A (corresponding author), Univ Otago, Dunedin, New Zealand.</t>
  </si>
  <si>
    <t>alexhayward1995@gmail.com</t>
  </si>
  <si>
    <t>Gutierrez Rodriguez, Andres/JLM-2332-2023</t>
  </si>
  <si>
    <t>Gutierrez Rodriguez, Andres/0000-0003-1274-3752; Pinkerton, Matt/0000-0001-7948-720X; Hayward, Alexander/0000-0003-3500-9964</t>
  </si>
  <si>
    <t>NIWA [CDPS2001]; University of Otago (Department of Marine Science) [C01X1710]; Antarctic Science Platform [ANTA1801]; MBIE NIWA SSIF (Structure and function of marine ecosystems)</t>
  </si>
  <si>
    <t>NIWA; University of Otago (Department of Marine Science); Antarctic Science Platform; MBIE NIWA SSIF (Structure and function of marine ecosystems)</t>
  </si>
  <si>
    <t>The authors acknowledge NIWA for providing funding through the NIWA PhD scholarship (CDPS2001) and the University of Otago (Department of Marine Science) for their support throughout the PhD program. The authors are also grateful to the New Zealand MBIE Endeavor Program C01X1710 (Ross-RAMP), Antarctic Science Platform, Project 3 (MBIE contract ANTA1801), MBIE NIWA SSIF (Structure and function of marine ecosystems) for their support to M.H.P. and A.G.-R. The authors thank Professor Cliff Law for advice and insight. The authors thank Dr. Maxime Rio for his thorough insights on data science and numerical methods. The authors acknowledge the contribution to this work by the R open-source collective and R Studio. The authors greatly thank Dr. Simon Wright for his valuable contributions to the field of phytoplankton chemotaxonomy and data made publicly available on phytoplankton pigment ratios. The authors thank Dr. Mikel Latasa for his contributions to the field of pigment research, previous research on synthetic pigment datasets, and past guidance on the treatment of pigment data. The authors thank Dr. Karen Westwood for insights into phytoplankton pigments and providing a forum for discussion on chemotaxonomic methods. The authors thank Dr Andy McKenzie (NIWA, Wellington) for help with R-coding. Open access publishing facilitated by National Institute of Water and Atmospheric Research, as part of the Wiley - National Institute of Water and Atmospheric Research agreement via the Council of Australian University Librarians.</t>
  </si>
  <si>
    <t>10.1002/lom3.10541</t>
  </si>
  <si>
    <t>D0LK8</t>
  </si>
  <si>
    <t>WOS:000950515900001</t>
  </si>
  <si>
    <t>Rodríguez-Jorquera, IA; Lenzi, J; Maturana, M; Biscarra, G; Ruiz, J; Navedo, JG</t>
  </si>
  <si>
    <t>Rodriguez-Jorquera, Ignacio A.; Lenzi, Javier; Maturana, Mario; Biscarra, Gabriela; Ruiz, Jorge; Navedo, Juan G.</t>
  </si>
  <si>
    <t>Exploring the recovery of a large wetland using black-necked swan blood parameters and body condition 16 years after a pollution-induced disturbance</t>
  </si>
  <si>
    <t>INTEGRATED ENVIRONMENTAL ASSESSMENT AND MANAGEMENT</t>
  </si>
  <si>
    <t>Megadrought; Iron; Wetland recovery; Sublethal pollution</t>
  </si>
  <si>
    <t>HEAVY-METAL POLLUTION; OXIDATIVE STRESS; HEMATOLOGICAL PARAMETERS; CYGNUS-MELANCORYPHUS; NUTRITIONAL-STATUS; RAMSAR WETLAND; GREAT TITS; INDICATORS; RESTORATION; BIRDS</t>
  </si>
  <si>
    <t>Resilience theory has taken center stage in tackling the challenge of wetland recovery on a fast-changing planet. Because of waterbirds' enormous dependence on wetlands, their numbers have long been used as surrogates for wetland recovery over time. However, immigration of individuals can mask actual recoveries at a given wetland. One alternative to expanding the knowledge of wetland recovery is the use of physiological parameters from aquatic organism populations. We explored the variations in the physiological parameters of black-necked swan (BNS) before, during, and after a 16-year period of a pollution-induced disturbance that originated in a pulp-mill wastewater discharge. This disturbance triggered the precipitation of iron (Fe) in the water column of the Rio Cruces Wetland in southern Chile, one of the main sites for the global population of BNS Cygnus melancoryphus. We compared our recent (2019) original data (body mass index [BMI], hematocrit, hemoglobin, mean corpuscular volume, blood enzymes, and metabolites) with available datasets from the site obtained before the pollution-induced disturbance (2003) and immediately after the disturbance (2004). Results indicate that, 16 years after the pollution-induced disturbance, some important parameters of animal physiology did not return to their pre-disturbance state. For instance, BMI, triglycerides, and glucose were significantly higher in 2019 than in 2004, right after the disturbance. By contrast, the hemoglobin concentration was significantly lower in 2019 than in 2003 and 2004, and uric acid was 42% higher in 2019 than in 2004. Our results demonstrate that, despite higher BNS numbers with larger body weights present in 2019, the Rio Cruces wetland has only partially recovered. We suggest that the impact of megadrought and wetland disappearance far from the site results in high rate of swan immigration, casting uncertainty about using the number of swans alone as honest indicators of wetland recovery after a pollution disturbance. Integr Environ Assess Manag 2023;00:1-13. (c) 2023 SETAC</t>
  </si>
  <si>
    <t>[Rodriguez-Jorquera, Ignacio A.; Navedo, Juan G.] Univ Austral Chile, Ctr Humedales Rio Cruces, Valdivia, Los Rios, Chile; [Lenzi, Javier] Univ North Dakota, Dept Biol, Grand Forks, ND USA; [Maturana, Mario] Corp Nacl Forestal Chile, Santiago, Chile; [Biscarra, Gabriela; Ruiz, Jorge; Navedo, Juan G.] Univ Austral Chile, Bird Ecol Lab, Inst Ciencias Marinas &amp; Limnol, Valdivia, Los Rios, Chile; [Navedo, Juan G.] Millennium Inst Biodivers Antarctic &amp; Subantarcti, Santiago, Chile</t>
  </si>
  <si>
    <t>Universidad Austral de Chile; University of North Dakota Grand Forks; Universidad Austral de Chile</t>
  </si>
  <si>
    <t>Navedo, JG (corresponding author), Univ Austral Chile, Ctr Humedales Rio Cruces, Valdivia, Los Rios, Chile.;Navedo, JG (corresponding author), Univ Austral Chile, Bird Ecol Lab, Inst Ciencias Marinas &amp; Limnol, Valdivia, Los Rios, Chile.;Navedo, JG (corresponding author), Millennium Inst Biodivers Antarctic &amp; Subantarcti, Santiago, Chile.</t>
  </si>
  <si>
    <t>jgnavedo@uach.cl</t>
  </si>
  <si>
    <t>University of North Dakota Postdoctoral Seed Grant Program, UND Program [02703]; Centro de Humedales Rio Cruces (CEHUM) from Universidad Austral de Chile; ANID Fondecyt project [11221213]; ANID-Millennium Science Initiative Program [ICN2021_002]</t>
  </si>
  <si>
    <t>University of North Dakota Postdoctoral Seed Grant Program, UND Program; Centro de Humedales Rio Cruces (CEHUM) from Universidad Austral de Chile; ANID Fondecyt project; ANID-Millennium Science Initiative Program</t>
  </si>
  <si>
    <t>We thank the Division Proteccion de los Recursos Naturales Renovables, Servicio Agricola Ganadero (Ministry of Agriculture) for issuing the permit 4559/2018 to collect blood samples of black-necked swans. We appreciate the essential collaboration for captures of black-necked swans of Luis Miranda and Roberto Rosas from Corporacion Nacional Forestal (CONAF). Thanks to Enzo Basso, Camila Gherardi, Jonathan Vergara, Valeria Araya, Gonzalo Torres, Claudio Verdugo, and Johannes Horstmann for their help and support during fieldwork and laboratory activities. Roberto Nespolo generously shared original hematological and biochemical data from black-necked swan samples taken after the pollution-induced disturbance. J. L. thanks the University of North Dakota Postdoctoral Seed Grant Program, UND Program #02703. This study was funded by Centro de Humedales Rio Cruces (CEHUM) from Universidad Austral de Chile and ANID Fondecyt project No. 11221213. In addition, ANID-Millennium Science Initiative Program-ICN2021_002 funded J. G. N. during writing.</t>
  </si>
  <si>
    <t>1551-3777</t>
  </si>
  <si>
    <t>1551-3793</t>
  </si>
  <si>
    <t>INTEGR ENVIRON ASSES</t>
  </si>
  <si>
    <t>Integr. Environ. Assess. Manag.</t>
  </si>
  <si>
    <t>10.1002/ieam.4748</t>
  </si>
  <si>
    <t>Environmental Sciences; Toxicology</t>
  </si>
  <si>
    <t>Environmental Sciences &amp; Ecology; Toxicology</t>
  </si>
  <si>
    <t>I4IZ7</t>
  </si>
  <si>
    <t>WOS:000950505600001</t>
  </si>
  <si>
    <t>Goncalves, SJ; Evangelista, H; Weis, J; Harder, TH; China, S; Mueller, S; Marques, MM; Neto, ND; Passos, HR; Sampaio, M; Simoes, JC; de Oliveira, BVX; Yamamoto, CI; Laskin, A; Gilles, MK; Godoi, RHM</t>
  </si>
  <si>
    <t>Goncalves Jr, Sergio J.; Evangelista, Heitor; Weis, Johannes; Harder, Tristan H.; China, Swarup; Mueller, Simon; Marques, Magdalena M.; de Magalhaes Neto, Newton; Passos, Heber R.; Sampaio, Marcelo; Simoes, Jefferson C.; Ximenes de Oliveira, Bruno Vinicius; Yamamoto, Carlos I.; Laskin, Alexander; Gilles, Mary K.; Godoi, Ricardo H. M.</t>
  </si>
  <si>
    <t>Stratospheric ozone depletion in the Antarctic region triggers intense changes in sea salt aerosol geochemistry</t>
  </si>
  <si>
    <t>ICE CORE; VOLCANIC-ERUPTIONS; NACL; PERCHLORATE; PARTICLES; CHEMISTRY; VARIABILITY; CHLORINE; STATION; ORIGIN</t>
  </si>
  <si>
    <t>Since the early 1980s, the Antarctic environment has served as a natural field laboratory for researchers to investigate the effects of stratospheric ozone depletion, which has resulted in increased surface ultraviolet radiation levels. However, its effective threats still present gaps. We report new pieces of evidence of increased ultraviolet radiation impacting West Antarctica sea salt aerosols. Salt aerosols, particularly in the Southern Ocean Sea, play an important role in the radiative earth balance. To disclose the molecular details of sea salt aerosols, we used a synchrotron-based multi-element microscopic speciation of individual microparticles (Scanning Transmission X-ray Microscopy with Near-Edge X-ray Absorption Fine Structure Spectroscopy combined with Computer-Controlled Scanning Electron Microscopy). Here we identified substantial abundances of chlorine-enriched aerosols in sea salt generated by photolytic products, whereas ice core records revealed increased chlorine depletion from the onset of ozone depletion. Our findings reveal that modern sea salt modification has no Holocene precedent. Molecular analysis of atmospheric microparticles in West Antarctica reveals chlorine-enriched aerosols are abundant in sea salt generated by photolytic products, while ice core records suggest increasing chlorine depletion since the onset of stratospheric ozone reduction.</t>
  </si>
  <si>
    <t>[Goncalves Jr, Sergio J.; Godoi, Ricardo H. M.] Fed Univ Parana UFPR, Environm Engn Dept, Curitiba, Brazil; [Goncalves Jr, Sergio J.; Evangelista, Heitor; de Magalhaes Neto, Newton; Ximenes de Oliveira, Bruno Vinicius] Rio De Janeiro State Univ UERJ, LARAMG, Rio De Janeiro, Brazil; [Weis, Johannes; Harder, Tristan H.; Mueller, Simon; Gilles, Mary K.] Lawrence Berkeley Natl Lab, Chem Sci Div, Berkeley, CA USA; [Weis, Johannes; Harder, Tristan H.; Mueller, Simon] Univ Calif Berkeley, Dept Chem, Berkeley, CA USA; [Weis, Johannes; Harder, Tristan H.] Univ Wurzburg, Phys Inst, Wurzburg, Germany; [China, Swarup; Laskin, Alexander] Pacific Northwest Natl Lab, William R Wiley Environm &amp; Mol Sci Lab, Richland, WA USA; [Marques, Magdalena M.; Simoes, Jefferson C.] Fed Univ Rio Grande UFRGS, Inst Geosci, Polar &amp; Climat Ctr, Porto Alegre, Brazil; [de Magalhaes Neto, Newton] Rio De Janeiro State Univ UERJ, LAGEPRO, Rio De Janeiro, Brazil; [Passos, Heber R.; Sampaio, Marcelo] Brazilian Natl Space Inst INPE, Sao Jose Dos Campos, Brazil; [Simoes, Jefferson C.] Univ Maine, Climate Change Inst, Orono, ME USA; [Yamamoto, Carlos I.] Fed Univ Parana UFPR, Chem Engn Dept, Curitiba, Brazil; [Laskin, Alexander] Purdue Univ, Dept Chem, W Lafayette, IN USA</t>
  </si>
  <si>
    <t>Universidade Federal do Parana; Universidade do Estado do Rio de Janeiro; United States Department of Energy (DOE); Lawrence Berkeley National Laboratory; University of California System; University of California Berkeley; University of Wurzburg; United States Department of Energy (DOE); Pacific Northwest National Laboratory; Universidade Federal do Rio Grande do Sul; Universidade do Estado do Rio de Janeiro; Instituto Nacional de Pesquisas Espaciais (INPE); University of Maine System; University of Maine Orono; Universidade Federal do Parana; Purdue University System; Purdue University</t>
  </si>
  <si>
    <t>Goncalves, SJ (corresponding author), Fed Univ Parana UFPR, Environm Engn Dept, Curitiba, Brazil.;Goncalves, SJ (corresponding author), Rio De Janeiro State Univ UERJ, LARAMG, Rio De Janeiro, Brazil.</t>
  </si>
  <si>
    <t>sjrgoncalves@gmail.com</t>
  </si>
  <si>
    <t>Simoes, Jefferson Cardia/D-7232-2013; Evangelista, Heitor/C-7561-2013; godoi, ricardo henrique moreton/P-6795-2019; Harder, Tristan H/H-8186-2016; Laskin, Alexander/JBR-8179-2023</t>
  </si>
  <si>
    <t>Simoes, Jefferson Cardia/0000-0001-5555-3401; godoi, ricardo henrique moreton/0000-0002-4774-4870; Sampaio, Marcelo/0000-0001-9506-0281; Goncalves Junior, Sergio Jose/0000-0002-1852-0894; de Magalhaes Neto, Newton/0000-0003-0294-9319</t>
  </si>
  <si>
    <t>CAPES - Brazilian Federal Agency for Support and Evaluation of Graduate Education within the Ministry of Education of Brazil [99999.002847/2015-09, 99999.001833/2015-04]; CNPq-MCTI/INCT-Criosfera [573720/2008]; OBER at PNNL; U.S. Department of Energy by Battelle Memorial Institute [DE-AC06-76RL0]; Office of Science, Office of Basic Energy Sciences of the U.S. Department of Energy [DE-AC02- 05CH11231]; Office of Basic Energy Sciences Division of Chemical Sciences, Geosciences, and Biosciences by the Condensed Phase and Interfacial Molecular Sciences Program of the U.S. Department of Energy; U.S. Department of Energy's Atmospheric System Research program, an Office of Science, Office of Biological and Environmental Research (OBER); NSF IGERT program at UCB [DGE-0333455]</t>
  </si>
  <si>
    <t>CAPES - Brazilian Federal Agency for Support and Evaluation of Graduate Education within the Ministry of Education of Brazil(Coordenacao de Aperfeicoamento de Pessoal de Nivel Superior (CAPES)); CNPq-MCTI/INCT-Criosfera; OBER at PNNL; U.S. Department of Energy by Battelle Memorial Institute(United States Department of Energy (DOE)); Office of Science, Office of Basic Energy Sciences of the U.S. Department of Energy(United States Department of Energy (DOE)); Office of Basic Energy Sciences Division of Chemical Sciences, Geosciences, and Biosciences by the Condensed Phase and Interfacial Molecular Sciences Program of the U.S. Department of Energy(United States Department of Energy (DOE)); U.S. Department of Energy's Atmospheric System Research program, an Office of Science, Office of Biological and Environmental Research (OBER)(United States Department of Energy (DOE)); NSF IGERT program at UCB</t>
  </si>
  <si>
    <t>AcknowledgementsPart of this work was Financed by CAPES - Brazilian Federal Agency for Support and Evaluation of Graduate Education within the Ministry of Education of Brazil, process 99999.002847/2015-09 and 99999.001833/2015-04. CNPq-MCTI/INCT-Criosfera 573720/2008 for logistics support. S. M. (INPE) for fundamental engineering support. LARAMG (UERJ) for background support. CCSEM/EDX was performed at Environmental Molecular Sciences Laboratory, a national scientific user facility sponsored by OBER at PNNL. PNNL is operated by the U.S. Department of Energy by Battelle Memorial Institute under contract DE-AC06-76RL0. STXM/NEXAFS analysis at beamline 11.0.2.2 of the Advanced Light Source at Lawrence Berkeley National Laboratory is supported by the Director, Office of Science, Office of Basic Energy Sciences of the U.S. Department of Energy under Contract No. DE-AC02- 05CH11231. Beamline 11.0.2.2 also acknowledges support from the Office of Basic Energy Sciences Division of Chemical Sciences, Geosciences, and Biosciences by the Condensed Phase and Interfacial Molecular Sciences Program of the U.S. Department of Energy. M. K. G., T. H., J. W., and S. M. (Lawrence Berkeley National Laboratory group) acknowledge support from the U.S. Department of Energy's Atmospheric System Research program, an Office of Science, Office of Biological and Environmental Research (OBER). J. W., S. M., and T. H. acknowledge the student exchange program between the University of Wurzburg and U.C. Berkeley (curator Professor A. Forchel, Wurzburg and NSF IGERT program at UCB, DGE-0333455, Nanoscale Science and Engineering - From Building Blocks to Functional Systems). The authors gratefully acknowledge the NOAA Air Resources Laboratory (ARL) for the provision of the HYSPLIT transport and dispersion model and READY website (http://www.ready.noaa.gov) used in this publication. We acknowledge the Norwegian Polar Institute's Quantarctica package.</t>
  </si>
  <si>
    <t>MAR 16</t>
  </si>
  <si>
    <t>10.1038/s43247-023-00739-z</t>
  </si>
  <si>
    <t>A0HL1</t>
  </si>
  <si>
    <t>WOS:000952023600001</t>
  </si>
  <si>
    <t>Wei, JL; Liu, HL; Zhao, Y; Lin, PF; Yu, ZP; Li, LJ; Xie, JB; Duan, AM</t>
  </si>
  <si>
    <t>Wei, Jilin; Liu, Hailong; Zhao, Yan; Lin, Pengfei; Yu, Zipeng; Li, Lijuan; Xie, Jinbo; Duan, Anmin</t>
  </si>
  <si>
    <t>Simulation of the climate and ocean circulations in the Middle Miocene Climate Optimum by a coupled model FGOALS-g3</t>
  </si>
  <si>
    <t>MMCO; Coupled simulation; Surface albedo; Ocean circulation; Seaway</t>
  </si>
  <si>
    <t>MERIDIONAL OVERTURNING CIRCULATION; SOUTHERN-OCEAN; THERMOHALINE CIRCULATION; PLIOCENE CLIMATE; SURFACE ALBEDO; DRAKE PASSAGE; EARLY EOCENE; SEA-ICE; CO2; VEGETATION</t>
  </si>
  <si>
    <t>The warmer-than-present (5-10 &amp; DEG;C) climate during the Miocene Climate Optimum (MMCO, approximately 16.9-14.7 Ma) is likely to serve as a reference for future pessimistic warming scenarios. Forced with MMCO boundary conditions, the warming and ocean circulation changes are simulated by the fully coupled climate model FGOALS-g3 with a nominal 1 &amp; DEG; horizontal resolution ocean component model. Under a 400 ppmv CO2 concentration, the model generally simulates the MMCO temperature well with small biases at mid and low latitudes compared to the proxy data. Large biases at high latitudes show that FGOALS-g3 fails to reproduce the weak meridional gradient indicated by the proxy record. MMCO surface albedo decreases significantly owing to changes in worldwide forest cover in the boundary condition and the amount of sea ice melt due to the warming climate compared with the PI run. Based on the Energy Balance Model decomposition, warming by the lower surface albedo reaches 1.4-2.7 &amp; DEG;C, which is comparable to greenhouse effect warming (-2.7 &amp; DEG;C). Accompanied by MMCO global ocean warming and land-sea distribution changes, both oceanic wind-driven and thermohaline circulations strengthen. The Antarctic Circumpolar Current in the MMCO is stronger due to the enhanced westerly wind stress and the reduced sea ice extent. The intensified MMCO Atlantic Meridional Overturning Cell (AMOC) relative to PI is likely linked to the altered ocean-gateway configuration, particularly at low and middle latitudes. When the MMCO Panama Seaway and Tethys Seaway open, waters from the Pacific and the Indian Ocean converge and mix in the western North Atlantic. Combined with the supplemental water (-30 Sv), the Gulf Stream is enhanced and flows more poleward, causing the sea ice to retreat, leading to a deeper mixed layer. Consequently, the Subpolar North Atlantic salinification causes stronger convective motion and the appearance of the Atlantic Meridional Overturning Cell.</t>
  </si>
  <si>
    <t>[Wei, Jilin; Liu, Hailong; Lin, Pengfei; Yu, Zipeng; Li, Lijuan; Xie, Jinbo] Chinese Acad Sci, Inst Atmospher Phys IAP, State Key Lab Numer Modeling Atmospher Sci &amp; Geoph, Beijing 100029, Peoples R China; [Wei, Jilin; Liu, Hailong; Lin, Pengfei] Univ Chinese Acad Sci, Coll Earth &amp; Planetary Sci, Beijing 100049, Peoples R China; [Zhao, Yan] Chinese Acad Sci, Inst Tibetan Plateau Res, Key Lab Continental Collis &amp; Plateau Uplift, Beijing, Peoples R China; [Duan, Anmin] Xiamen Univ, Coll Ocean &amp; Earth Sci, State Key Lab Marine Environm Sci, Xiamen, Peoples R China</t>
  </si>
  <si>
    <t>Chinese Academy of Sciences; Chinese Academy of Sciences; University of Chinese Academy of Sciences, CAS; Chinese Academy of Sciences; Institute of Tibetan Plateau Research, CAS; Xiamen University</t>
  </si>
  <si>
    <t>Liu, HL (corresponding author), Chinese Acad Sci, Inst Atmospher Phys IAP, State Key Lab Numer Modeling Atmospher Sci &amp; Geoph, Beijing 100029, Peoples R China.</t>
  </si>
  <si>
    <t>lhl@lasg.iap.ac.cn</t>
  </si>
  <si>
    <t>Xie, Jinbo/AAJ-6388-2020; Liu, Hailong/C-9566-2013; li, lijuan/AFP-6413-2022; Lin, Pengfei/AAJ-5379-2020</t>
  </si>
  <si>
    <t>Xie, Jinbo/0000-0002-3003-9155; Liu, Hailong/0000-0002-8780-0398; li, lijuan/0000-0003-0996-6787; Lin, Pengfei/0000-0003-2361-0066</t>
  </si>
  <si>
    <t>National Natural Science Foundation of China [41931183, 41976026, 41931182, 41988101]; Strategic Priority Research Program of the Chinese Academy of Sciences [XDB42010404]</t>
  </si>
  <si>
    <t>National Natural Science Foundation of China(National Natural Science Foundation of China (NSFC)); Strategic Priority Research Program of the Chinese Academy of Sciences(Chinese Academy of Sciences)</t>
  </si>
  <si>
    <t>We thank the anonymous reviewers for their careful reading of our manuscript and their many insightful comments and suggestions, in particular the third referee, whose comments greatly improve the manuscript. This study was supported by the National Natural Science Foundation of China (Grants 41931183, 41976026, 41931182 and 41988101) and the Strategic Priority Research Program of the Chinese Academy of Sciences (Grant No. XDB42010404). HLL and PFL also acknowledge the technical support from the National Key Scientific and Technological Infrastructure project Earth System Science Numerical Simulator Facility  (EarthLab).</t>
  </si>
  <si>
    <t>10.1016/j.palaeo.2023.111509</t>
  </si>
  <si>
    <t>M5BN2</t>
  </si>
  <si>
    <t>WOS:001030366500001</t>
  </si>
  <si>
    <t>Alexander, P; de la Torre, A; Llamedo, P; Hierro, R; Marcos, T; Kaifler, B; Kaifler, N; Geldenhuys, M; Preusse, P; Giez, A; Rapp, M; Hormaechea, JL</t>
  </si>
  <si>
    <t>Alexander, P.; de la Torre, A.; Llamedo, P.; Hierro, R.; Marcos, T.; Kaifler, B.; Kaifler, N.; Geldenhuys, M.; Preusse, P.; Giez, A.; Rapp, M.; Hormaechea, J. L.</t>
  </si>
  <si>
    <t>The Coexistence of Gravity Waves From Diverse Sources During a SOUTHTRAC Flight</t>
  </si>
  <si>
    <t>SOUTHTRAC; gravity waves; WRF</t>
  </si>
  <si>
    <t>MOMENTUM FLUXES; MOUNTAIN WAVES; VERTICAL WAVELENGTHS; LIDAR OBSERVATIONS; MODEL; ANTARCTICA; PARAMETERS; TRANSFORM; PERIODS; ENERGY</t>
  </si>
  <si>
    <t>We use observations from one of the SOUTHTRAC (Southern Hemisphere Transport, Dynamics, and Chemistry) Campaign flights in Patagonia and the Antarctic Peninsula during September 2019 to analyze possible sources of gravity waves (GW) in this hotspot during austral late winter and early spring. Data from two of the instruments onboard the German High Altitude and Long Range Research Aircraft (HALO) are employed: the Airborne Lidar for Middle Atmosphere research (ALIMA) and the Basic HALO Measurement and Sensor System (BAHAMAS). The former provides vertical temperature profiles along the trajectory, while the latter gives the three components of velocity, pressure, and temperature at the flight position. GW-induced perturbations are obtained from these observations. We include numerical simulations from the Weather Research and Forecast (WRF) model to place a four-dimensional context for the GW observed during the flight and to present possible interpretations of the measurements, for example, the orientation or eventual propagation sense of the waves may not be inferred using only data obtained onboard. We first evaluate agreements and discrepancies between the model outcomes and the observations. This allowed us an assessment of the WRF performance in the generation, propagation, and eventual dissipation of diverse types of GW through the troposphere, stratosphere, and lower mesosphere. We then analyze the coexistence and interplay of mountain waves (MW) and non-orographic (NO) GW. The MW dominate above topographic areas and in the direction of the so-called GW belt, whereas the latter waves are mainly relevant above oceanic zones. WRF simulates NOGW as mainly upward propagating entities above the lower stratosphere. Model runs show that deep vertical propagation conditions are in general favorable during this flight but also that in the upper stratosphere and lower mesosphere and mainly above topography there is some potential for wave breaking. The numerical simulations evaluate the GW drag for the whole flight area and find that the strongest effect is located in the zonal component around the stratopause. The general behavior against height resembles that obtained with a local fixed lidar data. According to WRF results, up to 100 km horizontal wavelength MW account for about half of the force opposing the circulation of the atmosphere.</t>
  </si>
  <si>
    <t>[Alexander, P.] Consejo Nacl Invest Cient &amp; Tecn, Inst Fis Buenos Aires, Ciudad Univ Pabellon 1, Buenos Aires, Argentina; [de la Torre, A.; Llamedo, P.; Hierro, R.; Marcos, T.] Univ Austral, Fac Ingn, LIDTUA, Pilar, Argentina; [de la Torre, A.; Llamedo, P.; Hierro, R.; Marcos, T.] Consejo Nacl Invest Cient &amp; Tecn, Pilar, Argentina; [Kaifler, B.; Kaifler, N.; Rapp, M.] German Aerosp Ctr, Inst Atmospher Phys, Oberpfaffenhofen, Germany; [Geldenhuys, M.; Preusse, P.] Forschungszentrum Julich, Inst Energy &amp; Climate Res IEK 7, Julich, Germany; [Giez, A.] German Aerosp Ctr, Einrichtung Flugexperimente, Oberpfaffenhofen, Germany; [Hormaechea, J. L.] Univ Nacl La Plata, Fac Ciencias Astron &amp; Geofis, Estn Astron Rio Grande, Buenos Aires, Argentina; [Hormaechea, J. L.] Consejo Nacl Invest Cient &amp; Tecn, Buenos Aires, Argentina</t>
  </si>
  <si>
    <t>Consejo Nacional de Investigaciones Cientificas y Tecnicas (CONICET); University of Buenos Aires; Austral University; Consejo Nacional de Investigaciones Cientificas y Tecnicas (CONICET); Helmholtz Association; German Aerospace Centre (DLR); Helmholtz Association; Research Center Julich; Helmholtz Association; German Aerospace Centre (DLR); National University of La Plata; Consejo Nacional de Investigaciones Cientificas y Tecnicas (CONICET)</t>
  </si>
  <si>
    <t>Alexander, P (corresponding author), Consejo Nacl Invest Cient &amp; Tecn, Inst Fis Buenos Aires, Ciudad Univ Pabellon 1, Buenos Aires, Argentina.</t>
  </si>
  <si>
    <t>peter@df.uba.ar</t>
  </si>
  <si>
    <t>Kaifler, Natalie/JOK-0324-2023</t>
  </si>
  <si>
    <t>Kaifler, Natalie/0000-0002-3118-6480; Hierro, Rodrigo/0000-0001-7835-8801; Alexander, Peter/0000-0001-9455-2487; Geldenhuys, Markus/0000-0001-6273-5633</t>
  </si>
  <si>
    <t>CONICET [PIP 2017-2019 11220170100067CO]; ANPCYT [PICT-2018-00653]; Federal Ministry for Education and Research [01LG1907]; Instituto de Fisica de Buenos Aires (UBA-CONICET); SNCAD-MinCyT initiative</t>
  </si>
  <si>
    <t>CONICET(Consejo Nacional de Investigaciones Cientificas y Tecnicas (CONICET)); ANPCYT(ANPCyT); Federal Ministry for Education and Research(Federal Ministry of Education &amp; Research (BMBF)); Instituto de Fisica de Buenos Aires (UBA-CONICET); SNCAD-MinCyT initiative</t>
  </si>
  <si>
    <t>Manuscript prepared under Grants CONICET PIP 2017-2019 11220170100067CO and ANPCYT PICT-2018-00653. P. Alexander, A. de la Torre, P. Llamedo, and R. Hierro are members of CONICET. ALIMA and the contribution from MR were partly funded by the Federal Ministry for Education and Research under Grants 01LG1907 (project WASCLIM) in the frame of the Role of the Middle Atmosphere in Climate (ROMIC) program as well as by internal funds of the German Aerospace Center (DLR). The computational resources used in this work were provided by the HPC center DIRAC, funded by Instituto de Fisica de Buenos Aires (UBA-CONICET), and by SNCAD-MinCyT initiative. Assistance from DIRAC staff is also greatly appreciated. The indications by C. Kruse for successfully running deep WRF are specially acknowledged.</t>
  </si>
  <si>
    <t>e2022JD037276</t>
  </si>
  <si>
    <t>10.1029/2022JD037276</t>
  </si>
  <si>
    <t>9W5VA</t>
  </si>
  <si>
    <t>WOS:000949144500001</t>
  </si>
  <si>
    <t>Minamihara, Y; Sato, K; Tsutsumi, M</t>
  </si>
  <si>
    <t>Minamihara, Yuichi; Sato, Kaoru; Tsutsumi, Masaki</t>
  </si>
  <si>
    <t>Kelvin-Helmholtz Billows in the Troposphere and Lower Stratosphere Detected by the PANSY Radar at Syowa Station in the Antarctic</t>
  </si>
  <si>
    <t>Kelvin-Helmholtz instability; gravity waves; cyclone; radar observations; Kelvin-Helmholtz billows</t>
  </si>
  <si>
    <t>INERTIA-GRAVITY WAVES; RESOLUTION OBSERVATIONS; RADIOSONDE OBSERVATIONS; MU-RADAR; TURBULENCE; INSTABILITY; TROPOPAUSE; PARAMETERS; MIDDLE; RANGE</t>
  </si>
  <si>
    <t>We conducted two 10-day observational campaigns in 2019 targeting turbulence in the troposphere and lower stratosphere by adopting a frequency domain radar interferometric imaging technique using Program of the Antarctic Syowa radar (PANSY radar) and radiosonde observations obtained at Syowa Station in the Antarctic. Seventy three Kelvin-Helmholtz (K-H) billows were detected, and two characteristic cases likely excited by the same cyclone were examined in detail. In the first case with the longest observational duration of similar to 6.5 hr, the K-H billows had a thickness of similar to 800 m and a horizontal wavelength of similar to 2,500 m. According to a numerical simulation, continuously existing gravity waves associated with the cyclone maintained strong vertical wind shear sufficient to cause the K-H instability. In the second case with the deepest thickness of similar to 1,600 m, the K-H billows had a horizontal wavelength of similar to 4,320 m. Numerical simulation suggested that an enhanced upper-tropospheric jet associated with a well-developed synoptic-scale cyclone caused the K-H instability. Such background conditions, frequently observed in the Antarctic coastal region, are typical mechanisms for K-H excitation. Linear stability analysis also indicated that the characteristics of the observed K-H billows were consistent with the most unstable modes. Furthermore, statistical analysis was performed using data of all 73 observed cases. The characteristics of K-H billows observed at Syowa Station are similar to those observed over Japan. However, the K-H billows tend to have longer wave periods over Syowa Station than over Japan, likely due to the weaker tropospheric jet in the Antarctic.</t>
  </si>
  <si>
    <t>[Minamihara, Yuichi] Japan Meteorol Agcy, Tokyo, Japan; [Sato, Kaoru] Univ Tokyo, Grad Sch Sci, Dept Earth &amp; Planetary Sci, Tokyo, Japan; [Tsutsumi, Masaki] Natl Inst Polar Res, Tachikawa, Japan</t>
  </si>
  <si>
    <t>Japan Meteorological Agency; University of Tokyo; Research Organization of Information &amp; Systems (ROIS); National Institute of Polar Research (NIPR) - Japan</t>
  </si>
  <si>
    <t>Sato, K (corresponding author), Univ Tokyo, Grad Sch Sci, Dept Earth &amp; Planetary Sci, Tokyo, Japan.</t>
  </si>
  <si>
    <t>kaoru@eps.s.u-tokyo.ac.jp</t>
  </si>
  <si>
    <t>JST CREST [JPMJCR1663]; JSPS KAKENHI [201703536, 22H00169]; Large-scale HPC Challenge Project, Joint Center for Advanced High-Performance Computing (JCAHPC) [CX600M1/CX1640M1]</t>
  </si>
  <si>
    <t>JST CREST(Japan Science &amp; Technology Agency (JST)Core Research for Evolutional Science and Technology (CREST)); JSPS KAKENHI(Ministry of Education, Culture, Sports, Science and Technology, Japan (MEXT)Japan Society for the Promotion of ScienceGrants-in-Aid for Scientific Research (KAKENHI)); Large-scale HPC Challenge Project, Joint Center for Advanced High-Performance Computing (JCAHPC)</t>
  </si>
  <si>
    <t>YM is grateful to Hiroshi Niino for helpful advice, Taishi Hashimoto for technical advice on FII data conversion, Masashi Kohma for his constructive comments and help in the data processing, and Ryosuke Shibuya for valuable advice and help in operating the NICAM simulations. We would like to appreciate the 60th Japanese Antarctic Research Expedition (JARE 60) members for their enormous support of our observations at Syowa Station. This study is supported by JST CREST Grant JPMJCR1663 (KS) and JSPS KAKENHI Grants 201703536 (MY) and 22H00169 (KS). PANSY is a multi-institutional project with core members from The University of Tokyo, National Institute of Polar Research, and Kyoto University. Operational radiosonde observation data at Syowa Station is provided by the Japan Meteorological Agency (JMA). NICAM is developed by Tomita and Satoh (2004) and Satoh et al. (2008), and overview of the NICAM researches and the current status of development are described by Satoh et al. (2014). The numerical simulations using NICAM were run on the NIPR supercomputer and the computational resource of Fujitsu PRIMERGY CX600M1/CX1640M1 (Oakforest-PACS) awarded by Large-scale HPC Challenge Project, Joint Center for Advanced High-Performance Computing (JCAHPC).</t>
  </si>
  <si>
    <t>e2022JD036866</t>
  </si>
  <si>
    <t>10.1029/2022JD036866</t>
  </si>
  <si>
    <t>9N7MT</t>
  </si>
  <si>
    <t>WOS:000943097100001</t>
  </si>
  <si>
    <t>Minamoto, Y; Kamogawa, M; Kadokura, A; Sato, M; Omiya, S</t>
  </si>
  <si>
    <t>Minamoto, Yasuhiro; Kamogawa, Masashi; Kadokura, Akira; Sato, Mitsuteru; Omiya, Satoshi</t>
  </si>
  <si>
    <t>An Alternative Methodology of Fair-Weather Identification for Ground-Based Measurement of AEF at the Polar Region</t>
  </si>
  <si>
    <t>atmospheric electric field; fair-weather; electric field mill; Antarctica; global electrical circuit; charged snow particles</t>
  </si>
  <si>
    <t>ATMOSPHERIC ELECTRIC-FIELD; SYOWA STATION; METEOROLOGICAL OBSERVATIONS; GEOELECTRIC FIELD; BLOWING SNOW; SOLAR-WIND; CIRCUIT; VOSTOK; TEMPERATURE</t>
  </si>
  <si>
    <t>We present a novel method to discriminate atmospheric electric field (AEF) variations originating from the global electrical circuit and local meteorological-induced AEF variations. By comparing the AEF values measured at two different heights, the method identifies the AEF data including disturbances caused by charged blowing snow particles, and provides the fair-weather AEF data. The intense positive (fair-weather direction) apparent AEF was measured during strong winds because of the collision of negatively charged blowing snow particles into the sensor electrode of the electric field mill. In general, the volume density of blowing snow particles rapidly decreases with increasing height. Therefore, measured AEF values at the two heights were different. The difference between AEF values measured at the two heights increased at a wind speed of 6 m/s or more. Meanwhile, the statistical analysis showed that the AEF with and without clouds was less than approximately 1 V/m at Syowa Station, which is negligible. In addition, this case study at Syowa Station found no relationship between cloud extension/dissipation and AEF. Accordingly, we propose a practical method to identify the fair-weather conditions by the AEF values at two heights and wind speed observed in the polar region, such as at Syowa Station. When we employ criteria that the difference between the AEF observed at the 1.4 and 10 m heights was within +/- 20 V/m under the wind speed with less than 6.0 m/s to the whole data at Syowa Station, 24% of them were identified as fair-weather data.</t>
  </si>
  <si>
    <t>[Minamoto, Yasuhiro] Mt Fuji Res Stn, Lab Environm Res Mt Fuji, Tokyo, Japan; [Kamogawa, Masashi] Univ Shizuoka, Global Ctr Asian &amp; Reg Res, Shizuoka, Japan; [Kadokura, Akira] Natl Inst Polar Res, Tokyo, Japan; [Sato, Mitsuteru] Hokkaido Univ, Fac Sci, Sapporo, Japan; [Omiya, Satoshi] PWRI, Civil Engn Res Inst Cold Reg, Sapporo, Japan</t>
  </si>
  <si>
    <t>University of Shizuoka; Research Organization of Information &amp; Systems (ROIS); National Institute of Polar Research (NIPR) - Japan; Hokkaido University; PWRI: Public Works Research Institute</t>
  </si>
  <si>
    <t>Kamogawa, M (corresponding author), Univ Shizuoka, Global Ctr Asian &amp; Reg Res, Shizuoka, Japan.</t>
  </si>
  <si>
    <t>kamogawa@u-shizuoka-ken.ac.jp</t>
  </si>
  <si>
    <t>Omiya, Satoshi/D-8420-2012</t>
  </si>
  <si>
    <t>KADOKURA, AKIRA/0000-0002-6105-9562; SATO, Mitsuteru/0000-0002-1908-6663; Kamogawa, Masashi/0000-0002-5489-0454; MINAMOTO, Yasuhiro/0000-0001-7218-4134</t>
  </si>
  <si>
    <t>Joint Support-Center for Data Science Research ROIS-DS-JOINT 2018, 2020, and 2021 [2019-01]; Institute of Oceanic Research and Development, Tokai University; JSPS KAKENHI [20H02419]</t>
  </si>
  <si>
    <t>Joint Support-Center for Data Science Research ROIS-DS-JOINT 2018, 2020, and 2021; Institute of Oceanic Research and Development, Tokai University; JSPS KAKENHI(Ministry of Education, Culture, Sports, Science and Technology, Japan (MEXT)Japan Society for the Promotion of ScienceGrants-in-Aid for Scientific Research (KAKENHI))</t>
  </si>
  <si>
    <t>This study was part of the Science Program (AP41, AP905, and AP0940) of the Japanese Antarctic Research Expedition (JARE; YM, MK, AK, and SM). It was supported by NIPR under MEXT and NIPR through General Collaboration Project No. 23-12 (YM, MK, and AK), 26-13 (YM, MK, AK, and SM), 29-15 (YM, MK, AK, and SM), and 3-5 (YM, MK, AK, and SM). The authors are grateful to the JARE members for their efforts to maintain the AEF and other observation equipment at Syowa Station. This research was also supported in part by the Joint Support-Center for Data Science Research ROIS-DS-JOINT 2018, 2020, and 2021 (YM, MK, AK, and SM), research project no. 2019-01, Institute of Oceanic Research and Development, Tokai University (MK), and JSPS KAKENHI Grant 20H02419 (MK).</t>
  </si>
  <si>
    <t>e2021JD035732</t>
  </si>
  <si>
    <t>10.1029/2021JD035732</t>
  </si>
  <si>
    <t>9O8RB</t>
  </si>
  <si>
    <t>WOS:000943862800001</t>
  </si>
  <si>
    <t>Volonterio, O; de León, RP</t>
  </si>
  <si>
    <t>Volonterio, Odile; de Leon, Rodrigo Ponce</t>
  </si>
  <si>
    <t>Systematic and biogeographical aspects of the first Antarctic discovery of Orthoplana bregazzii Karling, 1973 (Proseriata, Otoplanidae)</t>
  </si>
  <si>
    <t>MARINE BIOLOGY RESEARCH</t>
  </si>
  <si>
    <t>Biogeography; corridors; King George Island; Platyhelminthes; South Georgia; taxonomy</t>
  </si>
  <si>
    <t>PLATYHELMINTHES; BIODIVERSITY; EVOLUTION</t>
  </si>
  <si>
    <t>Three essential questions remain unresolved about the present Antarctic biota: its antiquity, origin, and ubiquity. Some benthic animals are capable of active self-dispersal following shallow corridors between islands. Identifying and characterizing the biota in such corridors is fundamental for biogeographic studies and the delimitation of priority sites to conserve biodiversity. The Scotia Arc provides an example of such passages, being a system of islands and underwater ridges connecting the Magellan Region to the Antarctic Peninsula and South Shetland Islands (Maritime Antarctic). Specimens of the free-living flatworm Orthoplana bregazzii Karling 1973 (Proseriata, Otoplanidae) were obtained in King George Island (South Shetland Islands). This is the first report of the family Otoplanidae from Antarctica, and the first rediscovery of the species 50 years after its original description. The present article provides a complete description of the Antarctic material of O. bregazzii, complements its original description, and provides an identification key to the species of Orthoplana. We analyze the distribution of the genus and species and argue that the range expansion reported here could be the result of a recent, successful colonization event. This work, therefore, gives insights into the systematics and biogeography of one of the lesser-known groups in the Antarctic fauna.</t>
  </si>
  <si>
    <t>[Volonterio, Odile; de Leon, Rodrigo Ponce] Univ Republica, Fac Ciencias, Secc Zool Invertebrados, Montevideo, Uruguay</t>
  </si>
  <si>
    <t>Universidad de la Republica, Uruguay</t>
  </si>
  <si>
    <t>Volonterio, O (corresponding author), Univ Republica, Fac Ciencias, Secc Zool Invertebrados, Montevideo, Uruguay.</t>
  </si>
  <si>
    <t>o.volonterio@outlook.com</t>
  </si>
  <si>
    <t>Scientific Committee on Antarctic Research (SCAR), under a SCAR Fellowship 2009-2010</t>
  </si>
  <si>
    <t>This work was supported by the Scientific Committee on Antarctic Research (SCAR), under a SCAR Fellowship 2009-2010.</t>
  </si>
  <si>
    <t>TAYLOR &amp; FRANCIS AS</t>
  </si>
  <si>
    <t>OSLO</t>
  </si>
  <si>
    <t>KARL JOHANS GATE 5, NO-0154 OSLO, NORWAY</t>
  </si>
  <si>
    <t>1745-1000</t>
  </si>
  <si>
    <t>1745-1019</t>
  </si>
  <si>
    <t>MAR BIOL RES</t>
  </si>
  <si>
    <t>Mar. Biol. Res.</t>
  </si>
  <si>
    <t>2-3</t>
  </si>
  <si>
    <t>10.1080/17451000.2023.2205149</t>
  </si>
  <si>
    <t>Ecology; Marine &amp; Freshwater Biology</t>
  </si>
  <si>
    <t>M6LR9</t>
  </si>
  <si>
    <t>WOS:000993473200001</t>
  </si>
  <si>
    <t>Garbin, LE; Diaz, JI; Servian, A; Fusaro, B; Navone, GT</t>
  </si>
  <si>
    <t>Garbin, Lucas E.; Diaz, Julia I.; Servian, Andrea; Fusaro, Bruno; Navone, Graciela T.</t>
  </si>
  <si>
    <t>The genus Contracaecum Raillet &amp; Henry (Nematoda: Anisakidae): host and geographical distribution on Neotropical and Antarctic species</t>
  </si>
  <si>
    <t>Contracaecum; Contracaecinae; Anisakidae; Neotropical; Antarctic</t>
  </si>
  <si>
    <t>PHALACROCORAX-BRASILIANUS GMELIN; PELICAN PELECANUS-OCCIDENTALIS; MULTIPAPILLATUM VON-DRASCHE; BROWN PELICAN; PELAGICUM NEMATODA; OSCULATUM NEMATODA; GENETIC-MARKERS; LIFE-CYCLE; N.-SP; ASCARIDOIDEA</t>
  </si>
  <si>
    <t>Nematodes of the genus Contracaecum Raillet &amp; Henry, 1912 (Anisakidae, Contracaecinae) have a worldwide distribution. The taxonomy of the genus Contracaecum is well-known nowadays due to several morphometric studies, scanning electron microscopy, and molecular biology. The aim of this work was to review, clarify, and summarize the valid species of the genus Contracaecum parasitizing piscivorous sea birds and mammals from both the Neotropical and Antarctic regions reviewing all scientific available papers and electronic searching data up to date. A checklist on Neotropical and Antarctic Contracaecum spp. was organized through a revision of scientific papers and original descriptions. The systematic online search and the most updated papers were obtained through SCOPUS, Google Scholar, PubMed, Medline, World Register of Marine Species, etc. We provide information about hosts, Neotropical and Antarctic localities where worms were collected, references, molecular markers, and Genbank accession numbers. Twenty-five Neotropical and Antarctic Contracaecum species have been recorded up to date and checked out as valid ones according to the most updated data. Twenty-one species parasitize exclusively fish-eating birds, two species were reported only on marine mammals, and the other two parasitize both sea birds and mammals. A total of 20 Contracaecum species are exclusively reported for the Neotropical region, three only for Antarctic hosts, and two species were reported parasitizing both Neotropical and Antarctic hosts. Several Contracaecum species (10) have been corroborated by molecular analysis of different genetic markers. After reviewing all morphological descriptions of the Contracaecum species, and despite most of them have been characterized only by morphometric methods, we are convinced that all species listed in this work correspond to good and valid Contracaecum Neotropical and Antarctic species. Present results indicate that more taxonomic and molecular studies are needed to advance the understanding of the distribution and host specificity of the Contracaecum species.</t>
  </si>
  <si>
    <t>[Garbin, Lucas E.; Diaz, Julia I.; Servian, Andrea; Navone, Graciela T.] Ctr Estudios Parasitol &amp; Vectores CCT La Plata CON, 120 S-N e-61 &amp; 62, RA-1900 La Plata, Buenos Aires, Argentina; [Fusaro, Bruno] Inst Antart Argentino DNA, 25 Mayo, RA-1143 San Martin, Buenos Aires, Argentina</t>
  </si>
  <si>
    <t>Garbin, LE (corresponding author), Ctr Estudios Parasitol &amp; Vectores CCT La Plata CON, 120 S-N e-61 &amp; 62, RA-1900 La Plata, Buenos Aires, Argentina.</t>
  </si>
  <si>
    <t>lgarbin@cepave.edu.ar; jidiaz@cepave.edu.ar; andreas@cepave.edu.ar; fus@mrecic.gov.ar; gnavone@cepave.edu.ar</t>
  </si>
  <si>
    <t>Servian, Andrea/0000-0001-9991-5953; Fusaro, Bruno/0000-0002-8982-3366; Garbin, Lucas/0000-0001-9138-3577</t>
  </si>
  <si>
    <t>Universidad Nacional de La Plata [N859]; Agencia Nacional de Promoci6n Cientifica y Tecnol6gica [PICT 0111]</t>
  </si>
  <si>
    <t>Universidad Nacional de La Plata(National University of La Plata); Agencia Nacional de Promoci6n Cientifica y Tecnol6gica</t>
  </si>
  <si>
    <t>Acknowledgments This research was partially funded by both funds Universidad Nacional de La Plata (N859) , and Agencia Nacional de Promoci6n Cientifica y Tecnol6gica (PICT 0111) . We would like to thank Lic. Maria del Rosario Iglesias for processing the map of Figure 1.</t>
  </si>
  <si>
    <t>10.11646/zootaxa.5256.1.3</t>
  </si>
  <si>
    <t>E6PR2</t>
  </si>
  <si>
    <t>WOS:000976744200003</t>
  </si>
  <si>
    <t>Dove, LA; Viglione, GA; Thompson, AF; Flexas, MM; Cason, TR; Sprintall, J</t>
  </si>
  <si>
    <t>Dove, Lilian A.; Viglione, Giuliana A.; Thompson, Andrew F.; Flexas, M. Mar; Cason, Taylor R.; Sprintall, Janet</t>
  </si>
  <si>
    <t>Controls on Wintertime Ventilation in Southern Drake Passage</t>
  </si>
  <si>
    <t>Drake Passage; Polar Front; eddy suppression; submesoscale; ventilation</t>
  </si>
  <si>
    <t>MIXED-LAYER DEPTH; SEA-ICE; SEASONAL RESTRATIFICATION; ANTHROPOGENIC CARBON; OCEAN; SUBMESOSCALE; VARIABILITY; MESOSCALE; TRANSPORT; FRONTS</t>
  </si>
  <si>
    <t>Drake Passage is a key region for transport between the surface and interior ocean, but a mechanistic understanding of this exchange remains immature. Here, we present wintertime, submesoscale-resolving hydrographic transects spanning the southern boundary of the Antarctic Circumpolar Current and the Polar Front (PF). Despite the strong surface wind and buoyancy forcing, a freshwater lens suppresses surface-interior exchange south of the PF; ventilation is instead localized to the PF. Multiple lines of the analysis suggest submesoscale processes contribute to ventilation at the PF, including small-scale, O(10 km), frontal structure in water mass properties below the mixed layer and modulation of a surface eddy diffusivity at sub-50 km scales. These results show that ventilation is sensitive to both submesoscale properties near fronts and non-local processes, for example, sea-ice melt, that set stratification and mixed layer properties. This highlights the need for adaptive observing strategies to constrain Southern Ocean heat and carbon budgets.</t>
  </si>
  <si>
    <t>[Dove, Lilian A.; Viglione, Giuliana A.; Thompson, Andrew F.; Flexas, M. Mar] CALTECH, Environm Sci &amp; Engn, Pasadena, CA 91125 USA; [Viglione, Giuliana A.] Carbon Brief, London, England; [Cason, Taylor R.] Univ Calif Los Angeles, Los Angeles, CA USA; [Sprintall, Janet] Univ Calif San Diego, Scripps Inst Oceanog, La Jolla, CA USA</t>
  </si>
  <si>
    <t>California Institute of Technology; University of California System; University of California Los Angeles; University of California System; University of California San Diego; Scripps Institution of Oceanography</t>
  </si>
  <si>
    <t>Dove, LA (corresponding author), CALTECH, Environm Sci &amp; Engn, Pasadena, CA 91125 USA.</t>
  </si>
  <si>
    <t>dove@caltech.edu</t>
  </si>
  <si>
    <t>Cason, Taylor/0009-0001-1481-6946; Sprintall, Janet/0000-0002-7428-7580; Dove, Lilian/0000-0001-8346-0034</t>
  </si>
  <si>
    <t>Resnick Sustainability Institute; NSF graduate research fellowship; NSF [OPP-1246160, OCE-1755529]; Internal Research and Technology Development program (Earth 2050 project) through the Jet Propulsion Laboratory, California Institute of Technology; Resnick Sustainability Institute WAVE summer research fellowship</t>
  </si>
  <si>
    <t>Resnick Sustainability Institute; NSF graduate research fellowship(National Science Foundation (NSF)); NSF(National Science Foundation (NSF)); Internal Research and Technology Development program (Earth 2050 project) through the Jet Propulsion Laboratory, California Institute of Technology; Resnick Sustainability Institute WAVE summer research fellowship</t>
  </si>
  <si>
    <t>LAD was financially supported by the Resnick Sustainability Institute and an NSF graduate research fellowship. GAV and AFT were supported by NSF Award OPP-1246460. MMF was supported by the Internal Research and Technology Development program (Earth 2050 project) through the Jet Propulsion Laboratory, California Institute of Technology. TRC was supported by a Resnick Sustainability Institute WAVE summer research fellowship. JS was supported by NSF Awards OPP-1246160 and OCE-1755529. The authors would like to thank the Antarctic Support Contract staff as well as the captains and crews of the ARSV Laurence M. Gould for their support during the deployment and recovery cruises. LAD thanks Zachary K. Erickson for useful discussions while preparing this manuscript. The authors are grateful for the reviews of four reviewers, whose critiques improved the quality of this manuscript.</t>
  </si>
  <si>
    <t>e2022GL102550</t>
  </si>
  <si>
    <t>10.1029/2022GL102550</t>
  </si>
  <si>
    <t>9X2NU</t>
  </si>
  <si>
    <t>WOS:000949610600001</t>
  </si>
  <si>
    <t>Shao, CW; Sun, S; Liu, KQ; Wang, JH; Li, S; Liu, Q; Deagle, BE; Seim, I; Biscontin, A; Wang, Q; Liu, X; Kawaguchi, S; Liu, YL; Jarman, S; Wang, Y; Wang, HY; Huang, GD; Hu, J; Feng, B; Pitta, CD; Liu, SS; Wang, R; Ma, KL; Ying, YP; Sales, G; Sun, T; Wang, XL; Zhang, YL; Zhao, YX; Pan, SS; Hao, XC; Wang, Y; Xu, JK; Yue, BW; Sun, YX; Zhang, H; Xu, MY; Liu, YY; Jia, XD; Zhu, JC; Liu, SF; Ruan, J; Zhang, GJ; Yang, HM; Xu, X; Wang, J; Zhao, XY; Meyer, B; Fan, GY</t>
  </si>
  <si>
    <t>Shao, Changwei; Sun, Shuai; Liu, Kaiqiang; Wang, Jiahao; Li, Shuo; Liu, Qun; Deagle, Bruce E.; Seim, Inge; Biscontin, Alberto; Wang, Qian; Liu, Xin; Kawaguchi, So; Liu, Yalin; Jarman, Simon; Wang, Yue; Wang, Hong-Yan; Huang, Guodong; Hu, Jiang; Feng, Bo; Pitta, Cristiano De; Liu, Shanshan; Wang, Rui; Ma, Kailong; Ying, Yiping; Sales, Gabrielle; Sun, Tao; Wang, Xinliang; Zhang, Yaolei; Zhao, Yunxia; Pan, Shanshan; Hao, Xiancai; Wang, Yang; Xu, Jiakun; Yue, Bowen; Sun, Yanxu; Zhang, He; Xu, Mengyang; Liu, Yuyan; Jia, Xiaodong; Zhu, Jiancheng; Liu, Shufang; Ruan, Jue; Zhang, Guojie; Yang, Huanming; Xu, Xun; Wang, Jun; Zhao, Xianyong; Meyer, Bettina; Fan, Guangyi</t>
  </si>
  <si>
    <t>The enormous repetitive Antarctic krill genome reveals environmental adaptations and population insights</t>
  </si>
  <si>
    <t>CELL</t>
  </si>
  <si>
    <t>GENETIC DIFFERENTIATION; MOLECULAR EVOLUTION; REFERENCE SEQUENCE; PROTEIN FAMILIES; READ ALIGNMENT; DATABASE; PROGRAM; TOOL; INFERENCE; OCEAN</t>
  </si>
  <si>
    <t>Antarctic krill (Euphausia superba) is Earth's most abundant wild animal, and its enormous biomass is vital to the Southern Ocean ecosystem. Here, we report a 48.01-Gb chromosome-level Antarctic krill genome, whose large genome size appears to have resulted from inter-genic transposable element expansions. Our assem-bly reveals the molecular architecture of the Antarctic krill circadian clock and uncovers expanded gene families associated with molting and energy metabolism, providing insights into adaptations to the cold and highly seasonal Antarctic environment. Population-level genome re-sequencing from four geographical sites around the Antarctic continent reveals no clear population structure but highlights natural selection associated with environmental variables. An apparent drastic reduction in krill population size 10 mya and a subsequent rebound 100 thousand years ago coincides with climate change events. Our findings uncover the genomic basis of Antarctic krill adaptations to the Southern Ocean and provide valuable resources for future Antarctic research.</t>
  </si>
  <si>
    <t>[Shao, Changwei; Liu, Kaiqiang; Li, Shuo; Wang, Qian; Wang, Hong-Yan; Feng, Bo; Wang, Rui; Hao, Xiancai; Xu, Jiakun; Yue, Bowen; Sun, Yanxu; Liu, Yuyan; Liu, Shufang; Zhao, Xianyong] Chinese Acad Fishery Sci, Yellow Sea Fisheries Res Inst, Natl Key Lab Mariculture Biobreeding &amp; Sustainable, Qingdao 266071, Shandong, Peoples R China; [Shao, Changwei; Liu, Kaiqiang; Li, Shuo; Wang, Qian; Wang, Hong-Yan; Feng, Bo; Wang, Rui; Hao, Xiancai; Yue, Bowen; Sun, Yanxu; Liu, Yuyan; Liu, Shufang] Qingdao Natl Lab Marine Sci &amp; Technol, Lab Marine Fisheries Sci &amp; Food Prod Proc, Qingdao 266237, Shandong, Peoples R China; [Sun, Shuai; Wang, Jiahao; Liu, Qun; Liu, Yalin; Liu, Shanshan; Sun, Tao; Zhang, Yaolei; Pan, Shanshan; Xu, Mengyang; Xu, Xun; Wang, Jun; Fan, Guangyi] BGI Shenzhen, BGI Qingdao, Qingdao 266555, Shandong, Peoples R China; [Sun, Shuai; Liu, Xin; Wang, Yue; Huang, Guodong; Ma, Kailong; Zhang, Yaolei; Wang, Yang; Zhang, He; Xu, Mengyang; Zhang, Guojie; Yang, Huanming; Wang, Jun; Fan, Guangyi] BGI Shenzhen, Shenzhen 518083, Guangdong, Peoples R China; [Sun, Shuai] Univ Chinese Acad Sci, Coll Life Sci, Beijing 100049, Peoples R China; [Liu, Qun] Univ Copenhagen, Dept Biol, DK-2100 Copenhagen, Denmark; [Deagle, Bruce E.] Commonwealth Sci &amp; Ind Res Org CSIRO, Australian Natl Fish Collect, Natl Res Collect Australia, Hobart, Tas 7000, Australia; [Deagle, Bruce E.; Kawaguchi, So] Australian Antarctic Div, Channel Highway, Kingston, Tas 7050, Australia; [Seim, Inge] Nanjing Normal Univ, Coll Life Sci, Integrat Biol Lab, Nanjing 210023, Jiangsu, Peoples R China; [Biscontin, Alberto; Pitta, Cristiano De; Sales, Gabrielle] Univ Padua, Dept Biol, I-35121 Padua, Italy; [Liu, Xin] BGI Beijing, Beijing 102601, Peoples R China; [Liu, Xin] BGI Shenzhen, State Key Lab Agr Genom, Shenzhen 518083, Peoples R China; [Liu, Xin] Murdoch Univ, State Agr Biotechnol Ctr, Ctr Crop &amp; Food Innovat, Murdoch, WA 6150, Australia; [Jarman, Simon] Curtin Univ, Sch Mol &amp; Life Sci, Perth, WA 6009, Australia; [Wang, Yue] Univ Macau, State Key Lab Qual Res Chinese Med, Macau 999078, Peoples R China; [Wang, Yue] Univ Macau, Inst Chinese Med Sci, Macau 999078, Peoples R China; [Hu, Jiang] Next Biosci Inst, Wuhan 430073, Hubei, Peoples R China; [Ma, Kailong] BGI Shenzhen, China Natl GeneBank, Shenzhen 518120, Peoples R China; [Ying, Yiping; Wang, Xinliang; Zhao, Yunxia; Xu, Jiakun; Zhu, Jiancheng; Zhao, Xianyong] Chinese Acad Fishery Sci, Yellow Sea Fisheries Res Inst, Key Lab Sustainable Dev Polar Fisheries, Minist Agr &amp; Rural Affairs, Qingdao 266071, Shandong, Peoples R China; [Jia, Xiaodong] Liaocheng Peoples Hosp, Joint Lab Translat Med Res, Liaocheng 252000, Shandong, Peoples R China; [Ruan, Jue; Fan, Guangyi] Chinese Acad Agr Sci, Agr Genom Inst, Shenzhen 518120, Guangdong, Peoples R China; [Zhang, Guojie] Univ Copenhagen, Villum Ctr Biodivers Genom, Dept Biol, Sect Ecol &amp; Evolut, DK-2200 Copenhagen, Denmark; [Yang, Huanming] James D Watson Inst Genome Sci, Hangzhou 310058, Peoples R China; [Meyer, Bettina] Helmholtz Ctr Polar &amp; Marine Res, Sect Polar Biol Oceanog, Alfred Wegener Inst, Bremerhaven, Germany; [Meyer, Bettina] Carl von Ossietzky Univ Oldenburg, Inst Chem &amp; Biol Marine Environm, D-26111 Oldenburg, Germany; [Meyer, Bettina] Carl von Ossietzky Univ Oldenburg, Helmholtz Inst Funct Marine Biodivers HIFMB, D-26129 Oldenburg, Germany; [Fan, Guangyi] BGI Shenzhen, Lars Bolund Inst Regenerat Med, Qingdao Europe Adv Inst Life Sci, BGI Qingdao, Shenzhen 518120, Peoples R China</t>
  </si>
  <si>
    <t>Chinese Academy of Fishery Sciences; Yellow Sea Fisheries Research Institute, CAFS; Laoshan Laboratory; Beijing Genomics Institute (BGI); Beijing Genomics Institute (BGI); Chinese Academy of Sciences; University of Chinese Academy of Sciences, CAS; University of Copenhagen; Commonwealth Scientific &amp; Industrial Research Organisation (CSIRO); Australian Antarctic Division; Nanjing Normal University; University of Padua; Beijing Genomics Institute (BGI); Beijing Genomics Institute (BGI); Murdoch University; Curtin University; University of Macau; University of Macau; Beijing Genomics Institute (BGI); Ministry of Agriculture &amp; Rural Affairs; Chinese Academy of Fishery Sciences; Yellow Sea Fisheries Research Institute, CAFS; Chinese Academy of Agricultural Sciences; Agriculture Genomes Institute at Shenzhen, CAAS; University of Copenhagen; Helmholtz Association; Alfred Wegener Institute, Helmholtz Centre for Polar &amp; Marine Research; Carl von Ossietzky Universitat Oldenburg; Carl von Ossietzky Universitat Oldenburg; Beijing Genomics Institute (BGI)</t>
  </si>
  <si>
    <t>Shao, CW (corresponding author), Chinese Acad Fishery Sci, Yellow Sea Fisheries Res Inst, Natl Key Lab Mariculture Biobreeding &amp; Sustainable, Qingdao 266071, Shandong, Peoples R China.;Shao, CW (corresponding author), Qingdao Natl Lab Marine Sci &amp; Technol, Lab Marine Fisheries Sci &amp; Food Prod Proc, Qingdao 266237, Shandong, Peoples R China.;Fan, GY (corresponding author), BGI Shenzhen, BGI Qingdao, Qingdao 266555, Shandong, Peoples R China.;Fan, GY (corresponding author), BGI Shenzhen, Shenzhen 518083, Guangdong, Peoples R China.;Meyer, B (corresponding author), Helmholtz Ctr Polar &amp; Marine Res, Sect Polar Biol Oceanog, Alfred Wegener Inst, Bremerhaven, Germany.;Meyer, B (corresponding author), Carl von Ossietzky Univ Oldenburg, Inst Chem &amp; Biol Marine Environm, D-26111 Oldenburg, Germany.;Meyer, B (corresponding author), Carl von Ossietzky Univ Oldenburg, Helmholtz Inst Funct Marine Biodivers HIFMB, D-26129 Oldenburg, Germany.;Fan, GY (corresponding author), BGI Shenzhen, Lars Bolund Inst Regenerat Med, Qingdao Europe Adv Inst Life Sci, BGI Qingdao, Shenzhen 518120, Peoples R China.</t>
  </si>
  <si>
    <t>shaocw@ysfri.ac.cn; bettina.meyer@awi.de; fanguangyi@genomics.cn</t>
  </si>
  <si>
    <t>yu, zhang/JWO-7724-2024; Wang, Jing/JRW-1512-2023; lin, qing/JTU-4293-2023; zheng, liang/JVO-2610-2024; liu, shanshan/JPA-0852-2023; De Pitta, Cristiano/AAY-7302-2020; li, bo/JJC-2664-2023; wu, xiaokang/JUJ-4602-2023; Zhou, Yue/JHS-8791-2023; liu, bing/JJD-5566-2023; LIU, HUI/JPX-8014-2023; Li, jiaqi/JOZ-6395-2023; Liu, yujing/JQI-7225-2023; Seim, Inge/A-6568-2011; CAO, ying/KFA-2972-2024; yu, hui/KDO-3946-2024; Wang, Shan/JPX-1098-2023; huang, libo/JMB-4345-2023; peng, jin/JRW-4493-2023; Zhang, Youyou/KCY-0810-2024; Wang, Xingyu/JNE-0602-2023; li, jixiang/JXN-7599-2024; ma, long/JHU-2289-2023; Xu, Mengyang/GRR-5561-2022; DAI, Jinjia/KCL-5110-2024; Wang, Yifan/KDO-8319-2024; li, yuan/KBQ-4200-2024; Wang, Xin/JYP-6752-2024; Zhang, Guojie/HCH-1880-2022; Yu, Xiaohan/KCK-5462-2024; Zhang, Lanyue/JNS-8209-2023; zhao, lin/JJF-0406-2023; YI, J/JJE-7713-2023; Liu, Song/KCX-6842-2024; liu, jingwen/JQW-9270-2023; zheng, yan/JKJ-3632-2023; YE, Chen/KFR-3858-2024; Zhang, Lijun/JEZ-7925-2023; Li, Juan/JEO-6872-2023; Wang, Ling/KBA-9814-2024; wang, shuo/KCL-3379-2024; yang, xiao/JLL-7721-2023; zhang, yueqi/JXM-4287-2024; jing, wang/KCZ-2144-2024; wang, jun/JPY-3635-2023; wang, xin/JWA-3772-2024; Han, Yang/JVN-5921-2024; li, li/JVP-2971-2024; Wang, Weiyi/JZC-7841-2024; Liu, Yiwei/JUF-2477-2023; Wang, Jiachen/KFT-0161-2024; wang, yi/JYO-8193-2024; chen, yan/JRY-4645-2023; Zhao, Chunxia/KBB-4190-2024; Zhang, xiaohui/KEE-5747-2024; CHEN, MINGWEI/KHT-6744-2024; Wang, Yuchen/JPW-9345-2023; zhang, shengqi/KGL-7519-2024; Liu, Yang/JVD-6777-2023; Li, J N/JXL-5833-2024; Wang, Chao/JHT-6081-2023; Liu, Jingyi/JWP-6326-2024; Li, YU/JQV-2716-2023; Wang, Ling/AGR-4917-2022; Zhang, Wei/JKI-3565-2023; su, hang/KEH-2976-2024; tian, ye/KGL-6485-2024; chen, zhuo/JXX-1337-2024; yang, yunfeng/KHT-9566-2024; zhao, yan/JNT-6961-2023; chang, yu/KFB-2822-2024; yu, xiao/KFT-1725-2024; yang, rui/JHI-3328-2023; yi, cheng/KHC-5004-2024; CUI, XU/JYO-8134-2024; yuanyuan, Li/JEZ-6497-2023; zhang, ying/JQX-1479-2023; Lin, Yi/KEH-1784-2024; Wen, Jing/KCL-6614-2024; Yao, Chen/JVD-6226-2023; CHEN, WENJIE/JQW-1608-2023; Sun, Xinyu/JXX-2281-2024; Li, Yan/JRW-0176-2023; le, yang/KDN-4058-2024; li, xiang/JCN-9316-2023; li, yifan/JHU-9272-2023; Wang, Yining/JQW-2010-2023; LI, MINGZE/KEI-2317-2024; yang, yuyuan/KHC-8879-2024; wang, wang/JQW-3034-2023; zhou, wei/JQJ-0490-2023; ren, jing/JXN-8411-2024; Yan, Xin/KGL-5903-2024; LIU, LIYING/KAM-4121-2024; Chen, Yu/JLL-0171-2023; ZHOU, YUE/KCJ-8790-2024; Wang, yl/JNR-4963-2023; Zhang, Yun/JCN-7026-2023; Zhang, Yusi/JNS-2335-2023; song, yu/KCZ-2003-2024; Zhang, Yuan/JUF-7293-2023; Yang, Yifan/JTV-1487-2023; liu, xy/JEP-3175-2023; zhao, lin/JPK-8436-2023; Zhang, Tianxi/KEH-5921-2024; wang, xiaoxuan/JMP-6531-2023; zhang, fei/KHU-5230-2024; zhang, xu/JXX-7692-2024; JIANG, Peng/KGL-3427-2024; Wang, Yue/JRY-8962-2023; Zhang, Yunyi/JHS-3626-2023; Pan, Shanshan/ABA-2725-2020; FENG, X/JPL-4188-2023; Zhou, heng/JCN-6493-2023; Wang, Yibin/KEZ-9645-2024; zhou, you/KBC-3567-2024; Wang, Yunwen/KBR-2884-2024; xuan, li/JNI-7432-2023; xun, xu/JGM-9272-2023; peng, yan/JCO-1763-2023; wang, wenjuan/JGD-0428-2023; Li, siqi/KDN-4520-2024; LI, WEI/JUE-9796-2023; Wu, Hui/JMB-2804-2023; Wang, Xin/JVE-0200-2024; Wang, Peilin/JWP-6008-2024; Li, Yan/JUU-5189-2023; wang, wei/JYP-7819-2024; xu, wei/JZD-2112-2024; Wang, Xuechun/JRX-6509-2023; zhang, xiao/JCN-8822-2023; Wang, Jiahao/IQU-3906-2023; Yang, Huanming/C-6513-2013</t>
  </si>
  <si>
    <t>De Pitta, Cristiano/0000-0001-8013-8162; Xu, Mengyang/0000-0002-4487-7088; Wang, Ling/0000-0003-0272-2974; Wang, Ling/0000-0003-0272-2974; Wang, Yue/0000-0001-8673-6358; Pan, Shanshan/0000-0002-9250-1552; Wang, Yunwen/0009-0008-3083-7799; wang, wenjuan/0000-0002-4220-8817; wang, yue/0000-0003-2103-4237; Yang, Huanming/0000-0002-0858-3410; Hao, Xiancai/0000-0003-1056-2480; Meyer, Bettina/0000-0001-6804-9896; Biscontin, Alberto/0000-0003-1492-7715; hu, jiang/0000-0002-8521-9161; Deagle, Bruce/0000-0001-7651-3687; Li, Shuo/0000-0002-4880-6105</t>
  </si>
  <si>
    <t>National Key R&amp;D Program of China [2022YFD2400100, 2022YFC2807500]; Marine S&amp;T Fund of Shandong Province for Pilot National Laboratory for Marine Science and Technology (Qingdao) [2022QNLM030004]; Central Public-interest Scientific Insti-tution Basal Research Fund, CAFS [2019QY01]; Major Science and Technology Innovation Project of Shandong Province [2018SDKJ0302]; Qingdao National Labora-tory for Marine Science and Technology [2017ASTCP-ES06]; Taishan Scholars Program [tstp20221149]; Central Public-interest Scientific Institution Basal Research Fund, CAFS [2020TD19]; Specially-Appointed Professor Program of Jiangsu Province; Jiangsu Foreign Expert Bureau; National Ten-Thousands Talents Special Support Program; Supercomputing center of Qingdao National Laboratory; Helmholtz Earth and Environment Research Program</t>
  </si>
  <si>
    <t>National Key R&amp;D Program of China; Marine S&amp;T Fund of Shandong Province for Pilot National Laboratory for Marine Science and Technology (Qingdao); Central Public-interest Scientific Insti-tution Basal Research Fund, CAFS; Major Science and Technology Innovation Project of Shandong Province; Qingdao National Labora-tory for Marine Science and Technology; Taishan Scholars Program; Central Public-interest Scientific Institution Basal Research Fund, CAFS; Specially-Appointed Professor Program of Jiangsu Province; Jiangsu Foreign Expert Bureau; National Ten-Thousands Talents Special Support Program; Supercomputing center of Qingdao National Laboratory; Helmholtz Earth and Environment Research Program</t>
  </si>
  <si>
    <t>This study was supported by the National Key R&amp;D Program of China (2022YFD2400100, 2022YFC2807500) ; the Marine S&amp;T Fund of Shandong Province for Pilot National Laboratory for Marine Science and Technology (Qingdao) (No. 2022QNLM030004) ; the Central Public-interest Scientific Institution Basal Research Fund, CAFS (NO.2019QY01) ; the Major Science and Technology Innovation Project of Shandong Province (2018SDKJ0302) ; the AoShan Talents Cultivation Program Supported by Qingdao National Laboratory for Marine Science and Technology (2017ASTCP-ES06) ; the Taishan Scholars Program (NO.tstp20221149 to C.S.) ; the National Ten-Thousands Talents Special Support Program to C.S.; the Central Public-interest Scientific Institution Basal Research Fund, CAFS (No.2020TD19) ; the Specially-Appointed Professor Program of Jiangsu Province to I.S.; the Jiangsu Foreign Expert Bureau to I.S.; and the Helmholtz Earth and Environment Research Program Changing Earth-Sustaining our Future, Topic 6, Subtopic 6.2 to B.M. We appreciate the support from the supercomputing center of Qingdao National Laboratory for Marine Science and Technology. We also appreciate the technical support from China National GeneBank for the library construction and sequencing in Hi-C and whole-genome short reads.</t>
  </si>
  <si>
    <t>CELL PRESS</t>
  </si>
  <si>
    <t>50 HAMPSHIRE ST, FLOOR 5, CAMBRIDGE, MA 02139 USA</t>
  </si>
  <si>
    <t>0092-8674</t>
  </si>
  <si>
    <t>1097-4172</t>
  </si>
  <si>
    <t>Cell</t>
  </si>
  <si>
    <t>10.1016/j.cell.2023.02.005</t>
  </si>
  <si>
    <t>Biochemistry &amp; Molecular Biology; Cell Biology</t>
  </si>
  <si>
    <t>C0BT7</t>
  </si>
  <si>
    <t>WOS:000958684800001</t>
  </si>
  <si>
    <t>Luostarinen, T; Weckström, K; Ehn, J; Kamula, M; Burson, A; Diaz, A; Massé, G; McGowan, S; Kuzyk, ZZ; Heikkilä, M</t>
  </si>
  <si>
    <t>Luostarinen, Tiia; Weckstrom, Kaarina; Ehn, Jens; Kamula, Michelle; Burson, Amanda; Diaz, Aura; Masse, Guillaume; McGowan, Suzanne; Kuzyk, Zou Zou; Heikkila, Maija</t>
  </si>
  <si>
    <t>Seasonal and habitat-based variations in vertical export of biogenic sea-ice proxies in Hudson Bay</t>
  </si>
  <si>
    <t>DINOFLAGELLATE CYSTS; MANITOUNUK SOUND; LATE QUATERNARY; NORTH-ATLANTIC; FRESH-WATER; DIATOMS; VARIABILITY; BIOMARKER; QUEBEC; CANADA</t>
  </si>
  <si>
    <t>Sedimentary assemblages of biogenic sea-ice proxies incorporate limited representation of the diverse sea-ice connected communities, according to direct springtime observations in the Belcher Islands Archipelago, Hudson Bay, Canada. Despite their wide use in past sea-ice reconstructions, the seasonal, habitat and species-based sources of sedimentary sea-ice proxies are poorly understood. Here, we conduct direct observations of the community composition of diatoms, dinoflagellate cysts and highly branched isoprenoid lipids within the sea ice, water column, sediment traps and sediment surface in the Belcher Islands Archipelago, Hudson Bay throughout spring 2019. We find that Arctic diatom and dinoflagellate cysts species commonly used as sea-ice proxies appear to be only indirectly linked to sea-ice conditions, and that the sediment assemblages of these groups overrepresent summertime pelagic blooms. Species contributing to the diverse sea-ice diatom communities are rare in the sediment. Dinoflagellate cysts form a typical Arctic assemblage in the sediment, although they are virtually absent in the sea ice and water column in spring. We also find that certain highly branched isoprenoid lipids that were previously considered indicators of open water, can be produced in sea-ice. We conclude that contextual knowledge and a multiproxy approach are necessary in reconstruction, encouraging further studies on the sources and controls of sea-ice proxy production in different geographic areas.</t>
  </si>
  <si>
    <t>[Luostarinen, Tiia; Weckstrom, Kaarina; Heikkila, Maija] Univ Helsinki, Environm Change Res Unit ECRU, Ecosyst &amp; Environm Res Programme, Fac Biol &amp; Environm Sci, Helsinki, Finland; [Luostarinen, Tiia; Weckstrom, Kaarina; Heikkila, Maija] Univ Helsinki, Helsinki Inst Sustainabil Sci HELSUS, Helsinki, Finland; [Weckstrom, Kaarina] Geol Survey Denmark &amp; Greenland GEUS, Dept Glaciol &amp; Climate, Copenhagen, Denmark; [Ehn, Jens; Kamula, Michelle; Diaz, Aura; Kuzyk, Zou Zou] Univ Manitoba, Ctr Earth Observat Sci, Winnipeg, MB, Canada; [Burson, Amanda] British Antarctic Survey, Cambridge, England; [Burson, Amanda; McGowan, Suzanne] Univ Nottingham, Sch Geog, Nottingham, England; [Masse, Guillaume] Univ Laval, CNRS, UMI 3376 TAKUVIK, Quebec City, PQ, Canada; [Masse, Guillaume] Stn Marine Concarneau, UMR7159, LOCEAN, Concarneau, France; [McGowan, Suzanne] Netherlands Inst Ecol NIOO KNAW, Dept Aquat Ecol, Wageningen, Netherlands</t>
  </si>
  <si>
    <t>University of Helsinki; University of Helsinki; Geological Survey Of Denmark &amp; Greenland; University of Manitoba; UK Research &amp; Innovation (UKRI); Natural Environment Research Council (NERC); NERC British Antarctic Survey; University of Nottingham; Laval University; Museum National d'Histoire Naturelle (MNHN); Sorbonne Universite; Royal Netherlands Academy of Arts &amp; Sciences; Netherlands Institute of Ecology (NIOO-KNAW)</t>
  </si>
  <si>
    <t>Luostarinen, T (corresponding author), Univ Helsinki, Environm Change Res Unit ECRU, Ecosyst &amp; Environm Res Programme, Fac Biol &amp; Environm Sci, Helsinki, Finland.;Luostarinen, T (corresponding author), Univ Helsinki, Helsinki Inst Sustainabil Sci HELSUS, Helsinki, Finland.</t>
  </si>
  <si>
    <t>tiia.luostarinen@helsinki.fi</t>
  </si>
  <si>
    <t>; Heikkila, Maija/N-7659-2013</t>
  </si>
  <si>
    <t>Luostarinen, Tiia/0000-0002-2368-237X; Diaz, Aura/0000-0002-7362-619X; Burson, Amanda/0000-0003-0729-3793; Weckstrom, Kaarina/0000-0002-3889-0788; Heikkila, Maija/0000-0003-3885-8670</t>
  </si>
  <si>
    <t>Academy of Finland [1296895, 1307282, 1328540]; Alfred Kordelin Foundation; ArcticNet Networks of Centres of Excellence (NCE); Natural Sciences and Engineering Research Council of Canada (NSERC); Polar Knowledge Canada; Arctic Avenue; Helsinki University Library</t>
  </si>
  <si>
    <t>Academy of Finland(Research Council of Finland); Alfred Kordelin Foundation; ArcticNet Networks of Centres of Excellence (NCE); Natural Sciences and Engineering Research Council of Canada (NSERC)(Natural Sciences and Engineering Research Council of Canada (NSERC)); Polar Knowledge Canada; Arctic Avenue; Helsinki University Library</t>
  </si>
  <si>
    <t>This study was funded by the Academy of Finland (grants 1296895, 1307282 and 1328540), The Alfred Kordelin Foundation, ArcticNet Networks of Centres of Excellence (NCE), Natural Sciences and Engineering Research Council of Canada (NSERC) Discovery Grant Programs, Polar Knowledge Canada and Arctic Avenue. Open access was funded by Helsinki University Library. We thank Joel Heath, Johnny Kudluarok, Puasi Ippak, Johnassie Inuktaluk, Johnny Ippak, Ronnie Ippak, Charlie Novalinga, Lucy Ann Novalinga, Lucassie Arragutainaq, Arctic Eider Society, Sanikiluaq Hunters and Trappers Association, Meeri Nappila, Heini Ali-Kovero, Caroline Guilmette, Alessia Guzzi, Emmelia Stainton and Linda Chow for their valuable help. We also kindly acknowledge the helpful comments of two anonymous reviewers.</t>
  </si>
  <si>
    <t>10.1038/s43247-023-00719-3</t>
  </si>
  <si>
    <t>WOS:000952023600003</t>
  </si>
  <si>
    <t>Hermsen, EJ</t>
  </si>
  <si>
    <t>Hermsen, Elizabeth J.</t>
  </si>
  <si>
    <t>Pliocene seeds of Passiflora subgenus Decaloba (Gray Fossil Site, Tennessee) and the impact of the fossil record on understanding the diversification and biogeography of Passiflora</t>
  </si>
  <si>
    <t>AMERICAN JOURNAL OF BOTANY</t>
  </si>
  <si>
    <t>Cenozoic; evolution; macrofossil; Neogene; North America; Passifloraceae; Passifloroideae; pollen; southeastern USA</t>
  </si>
  <si>
    <t>TAXONOMIC REVISION; PHYLOGENETIC-RELATIONSHIPS; POLLEN MORPHOLOGY; SECTION; PLANTS; MIOCENE; REDISCOVERY; EVOLUTION; INSIGHTS; FOREST</t>
  </si>
  <si>
    <t>Premise: Passiflora is a diverse genus of similar to 570 extant species primarily distributed in the Americas, from the eastern United States to Argentina and Chile. Nevertheless, the known fossil record of Passiflora is small. To date, only two fossil seed species have been unequivocally assigned to the genus. In this contribution, rare sulcate seeds from Gray Fossil Site are described as a third fossil seed species of Passiflora. Methods: Three partial seeds with sulcate sculpture from Gray Fossil Site, early Pliocene, Tennessee, USA, were examined, photographed, and measured. They were compared to samples of sulcate seeds from six extant Passiflora species in supersection Decaloba. A broader survey of sulcate seeds produced by modern species in the subgenera Decaloba, Deidamioides, and Tryphostemmatoides was done using published illustrations and descriptions. Results: The Gray Fossil Site seeds are described as Passiflora sulcatasperma, sp. nov., and assigned to subgenus Decaloba, supersection Decaloba. They are characterized by their small size, elliptical shape, ridged-and-sulcate sculpture, rugulose ridges, and thin palisade seed coat. Conclusions: The two largest subgenera of Passiflora can be identified from Neogene fossils. Subgenus Decaloba is represented by two fossil seed species, P. bulgarica (Miocene, Bulgaria) and P. sulcatasperma (Pliocene, USA). Subgenus Passiflora is represented by fossil pollen (Miocene, Argentina and Brazil) and P. appalachiana seeds (Pliocene, USA). The distributions of fossil and modern species suggest that Passiflora may have used both North Atlantic and Antarctic routes to expand into Europe and the Asian-Oceanian Paleotropics, respectively.</t>
  </si>
  <si>
    <t>[Hermsen, Elizabeth J.] Paleontol Res Inst, 1259 Trumansburg Rd, Ithaca, NY 14850 USA; [Hermsen, Elizabeth J.] Cornell Univ, Sch Integrat Plant Sci, Plant Biol Sect, Ithaca, NY 14853 USA</t>
  </si>
  <si>
    <t>Cornell University</t>
  </si>
  <si>
    <t>Hermsen, EJ (corresponding author), Paleontol Res Inst, 1259 Trumansburg Rd, Ithaca, NY 14850 USA.</t>
  </si>
  <si>
    <t>hermsen@priweb.org</t>
  </si>
  <si>
    <t>Hermsen, Elizabeth/0000-0003-2666-4385</t>
  </si>
  <si>
    <t>National Science Foundation [DEB 1829376]</t>
  </si>
  <si>
    <t>ACKNOWLEDGMENTS The author thanks staff at Gray Fossil Site for access to collections and for preparing a loan of the fossil seeds described in this study, with special thanks to A. Gause, M. Inabinett, and A. Nye for their assistance; M. A. Gandolfo of Cornell University for access to lab equipment used to image and measure the fossil and extant specimens figured herein; C. Martinez and an anonymous reviewer who provided helpful comments on the manuscript; and especially J. M. MacDougal for helpful correspondence and for providing the samples of extant Passiflora seeds used in this study. Funding for this work was provided by the National Science Foundation (DEB 1829376).</t>
  </si>
  <si>
    <t>0002-9122</t>
  </si>
  <si>
    <t>1537-2197</t>
  </si>
  <si>
    <t>AM J BOT</t>
  </si>
  <si>
    <t>Am. J. Bot.</t>
  </si>
  <si>
    <t>MAR</t>
  </si>
  <si>
    <t>e16137</t>
  </si>
  <si>
    <t>10.1002/ajb2.16137</t>
  </si>
  <si>
    <t>A3GI1</t>
  </si>
  <si>
    <t>WOS:000949121800001</t>
  </si>
  <si>
    <t>Liu, S; Yang, CP; Yin, SR; Zhuo, HT; Su, M; Luo, KW; Xu, ZY; Zhu, RW; Liang, ZJ</t>
  </si>
  <si>
    <t>Liu, Shan; Yang, Chupeng; Yin, Shaoru; Zhuo, Haiteng; Su, Ming; Luo, Kunwen; Xu, Ziying; Zhu, Rongwei; Liang, Zijun</t>
  </si>
  <si>
    <t>Deep-water sedimentary systems and tectono-sedimentary interactions on the oblique convergent margin in Antarctica</t>
  </si>
  <si>
    <t>SEDIMENTOLOGY</t>
  </si>
  <si>
    <t>Antarctic Peninsula; contourite drifts; high-latitude convergent margin; island-arc system; submarine canyons</t>
  </si>
  <si>
    <t>SOUTH SHETLAND ISLANDS; TECTONICALLY-ACTIVE MARGIN; FORE-ARC; SEISMIC STRATIGRAPHY; SUBMARINE CANYONS; PACIFIC MARGIN; CONTINENTAL-MARGIN; TURBIDITY CURRENTS; BRANSFIELD BASIN; DRAKE PASSAGE</t>
  </si>
  <si>
    <t>Active continental margins are tectonic sites with complex sedimentary processes. Tectono-sedimentary interactions occur over geological time and determine the modern morphology of the margin. However, such interactions have been poorly documented in high-latitude regions. This study focuses on deep-water sedimentary systems on the South Shetland convergent margin, which is the only remaining active continental margin in Antarctica. Numerous gullies, 20 canyons and three contourite drifts are identified by interpreting bathymetry, oceanography and reflection seismic data. Heavy mineral contents of a gravity core, located at a downslope elongated mounded drift, show the asynchronous interplay of downslope and alongslope processes. The rest of the margin is dominated by turbidity currents. Variations in the slope gradient control thalweg profiles and sinuosity of canyons. Tectonic-related morphology restricts the distribution of contourite drifts. Earthquakes triggered by underplating and tectonic compression may induce slope instability at the lower flank of the plastered drift. Tectonic uplift influences the amount of sediments transported by ice sheets and controls the shelf stacking pattern. The mixed turbidite-contourite system transitions to separated canyon and drift systems from passive to active continental margins under the influence of the tectonic-related morphology. A systematic comparison has been made among several convergent margins with similar tectonic settings. Results suggest that submarine canyons on these shelf-slope systems have similar morphological features and are comparable in size. Coarse sediment input and steep continental slopes (mean slope 7 to 10 degrees) control the canyon morphology on these margins. Therefore, this research has important implications for furthering the current understanding of sedimentary systems on high-latitude convergent margins and tectono-sedimentary interactions.</t>
  </si>
  <si>
    <t>[Liu, Shan; Zhuo, Haiteng; Su, Ming; Luo, Kunwen; Liang, Zijun] Sun Yat sen Univ, Sch Marine Sci, Zhuhai 519083, Peoples R China; [Yang, Chupeng; Xu, Ziying; Zhu, Rongwei] China Geol Survey, Guangzhou Marine Geol Survey, Minist Nat Resources, Guangzhou 510760, Peoples R China; [Yin, Shaoru] Minist Nat Resources, State Ocean Adm, Inst Oceanog 2, Key Lab Submarine Geosci, Hangzhou 310012, Peoples R China; [Su, Ming] Southern Marine Sci &amp; Engn Guangdong Lab Zhuhai, Zhuhai 519000, Peoples R China; [Su, Ming] Guangdong Prov Key Lab Marine Resources &amp; Coastal, Guangzhou 510006, Guangdong, Peoples R China</t>
  </si>
  <si>
    <t>Sun Yat Sen University; China Geological Survey; Guangzhou Marine Geological Survey; Ministry of Natural Resources of the People's Republic of China; Ministry of Natural Resources of the People's Republic of China; Southern Marine Science &amp; Engineering Guangdong Laboratory; Southern Marine Science &amp; Engineering Guangdong Laboratory (Zhuhai); Sun Yat Sen University</t>
  </si>
  <si>
    <t>Su, M (corresponding author), Sun Yat sen Univ, Sch Marine Sci, Zhuhai 519083, Peoples R China.;Yang, CP (corresponding author), China Geol Survey, Guangzhou Marine Geol Survey, Minist Nat Resources, Guangzhou 510760, Peoples R China.;Su, M (corresponding author), Southern Marine Sci &amp; Engn Guangdong Lab Zhuhai, Zhuhai 519000, Peoples R China.;Su, M (corresponding author), Guangdong Prov Key Lab Marine Resources &amp; Coastal, Guangzhou 510006, Guangdong, Peoples R China.</t>
  </si>
  <si>
    <t>yangchupeng@mail.cgs.gov.cn; suming3@mail.sysu.edu.cn</t>
  </si>
  <si>
    <t>Zhuo, Haiteng/JGM-8422-2023; Liu, Shan/HOH-7673-2023</t>
  </si>
  <si>
    <t>Luo, Kunwen/0000-0003-2047-728X; Liu, Shan/0000-0001-5086-9642</t>
  </si>
  <si>
    <t>National Natural Science Foundation of China [42206044]; China Postdoctoral Science Foundation [2021M703668]; Marine Geological Survey Project of the China Geological Survey [DD20190577]</t>
  </si>
  <si>
    <t>National Natural Science Foundation of China(National Natural Science Foundation of China (NSFC)); China Postdoctoral Science Foundation(China Postdoctoral Science Foundation); Marine Geological Survey Project of the China Geological Survey</t>
  </si>
  <si>
    <t>ACKNOWLEDGEMENTS S. Liu is supported by the National Natural Science Foundation of China (42206044) and China Postdoctoral Science Foundation (2021M703668). C. Yang, Z. Xu and R. Zhu are funded by the Marine Geological Survey Project of the China Geological Survey (DD20190577). The authors wish to express our gratitude to the crews and scientific researchers of the R/V Haiyangliuhao campaign (2016). The authors are grateful to Cuimei Zhang for constructive suggestions. We are grateful to Dr Alexander Brasier, Dr Adam McArthur, Dr Uisdean Nicholson and anonymous reviewers for their valuable suggestions, which have greatly improved this paper.</t>
  </si>
  <si>
    <t>0037-0746</t>
  </si>
  <si>
    <t>1365-3091</t>
  </si>
  <si>
    <t>Sedimentology</t>
  </si>
  <si>
    <t>10.1111/sed.13092</t>
  </si>
  <si>
    <t>M3BE3</t>
  </si>
  <si>
    <t>WOS:000949293600001</t>
  </si>
  <si>
    <t>Thomas, ER; Vladimirova, DO; Tetzner, DR; Emanuelsson, DB; Humby, J; Turner, SD; Rose, NL; Roberts, SL; Gaca, P; Cundy, AB</t>
  </si>
  <si>
    <t>Thomas, Elizabeth R.; Vladimirova, Diana O.; Tetzner, Dieter R.; Emanuelsson, Daniel B.; Humby, Jack; Turner, Simon D.; Rose, Neil L.; Roberts, Sarah L.; Gaca, Pawel; Cundy, Andrew B.</t>
  </si>
  <si>
    <t>The Palmer ice core as a candidate Global boundary Stratotype Section and Point for the Anthropocene series</t>
  </si>
  <si>
    <t>ANTHROPOCENE REVIEW</t>
  </si>
  <si>
    <t>Antarctic Peninsula; ice core; methane; plutonium; spheroidal carbonaceous particles</t>
  </si>
  <si>
    <t>FLY-ASH PARTICLES; ANTARCTIC PENINSULA; CLIMATE VARIABILITY; SURFACE; CONTAMINATION; TEMPERATURE; SNOWFALL; RECORDS; TRENDS; MELT</t>
  </si>
  <si>
    <t>The remote Antarctic continent, distant from human industrial activity, should be one of the last places on Earth to capture Anthropogenic change. Hence, stratigraphic evidence of pollution and nuclear activity in the Antarctic provides proof of the global nature of the Anthropocene epoch. We propose an Antarctic Peninsula ice core candidate for the Global boundary Stratotype Section and Point (GSSP) to the onset of the Anthropocene. The Palmer ice core captures the first evidence of spheroidal carbonaceous fly ash particles (SCPs), resulting from high temperature combustion deposited in Antarctic ice. SCPs first appear in 1936 CE, preceding the rise in plutonium (Pu239+240) concentrations from 1945 CE onwards. GSSP 1952 CE occurs at a depth of 34.9 m, coincident with the peak in (239+240Pu) the primary marker for this site.</t>
  </si>
  <si>
    <t>[Thomas, Elizabeth R.; Vladimirova, Diana O.; Tetzner, Dieter R.; Emanuelsson, Daniel B.; Humby, Jack] British Antarctic Survey, Cambridge, England; [Turner, Simon D.; Rose, Neil L.; Roberts, Sarah L.] UCL, London, England; [Gaca, Pawel; Cundy, Andrew B.] Univ Southampton, Southampton, England; [Thomas, Elizabeth R.] British Antarctic Survey, Ice Dynam &amp; Paleoclimate, Madingley Rd, Cambridge CB3 0ET, England</t>
  </si>
  <si>
    <t>UK Research &amp; Innovation (UKRI); Natural Environment Research Council (NERC); NERC British Antarctic Survey; University of London; University College London; University of Southampton; UK Research &amp; Innovation (UKRI); Natural Environment Research Council (NERC); NERC British Antarctic Survey</t>
  </si>
  <si>
    <t>Thomas, ER (corresponding author), British Antarctic Survey, Ice Dynam &amp; Paleoclimate, Madingley Rd, Cambridge CB3 0ET, England.</t>
  </si>
  <si>
    <t>Rose, Neil L/C-5739-2008; Turner, Simon David/GLR-3136-2022; Thomas, Elizabeth Ruth/ADF-3660-2022</t>
  </si>
  <si>
    <t>Turner, Simon David/0000-0001-8692-8210; Thomas, Elizabeth Ruth/0000-0002-3010-6493; Cundy, Andy/0000-0003-4368-2569; Rose, Neil/0000-0002-5697-7334; humby, jack/0000-0003-0526-2766</t>
  </si>
  <si>
    <t>Natural Environment Research Council; Haus der Kulturen der Welt</t>
  </si>
  <si>
    <t>Natural Environment Research Council(UK Research &amp; Innovation (UKRI)Natural Environment Research Council (NERC)); Haus der Kulturen der Welt</t>
  </si>
  <si>
    <t>The author(s) disclosed receipt of the following financial support for the research, authorship, and/or publica-tion of this article: This work was supported by the Natural Environment Research Council, through British Antarctic Survey core funding, supported by funding from Haus der Kulturen der Welt.</t>
  </si>
  <si>
    <t>SAGE PUBLICATIONS INC</t>
  </si>
  <si>
    <t>THOUSAND OAKS</t>
  </si>
  <si>
    <t>2455 TELLER RD, THOUSAND OAKS, CA 91320 USA</t>
  </si>
  <si>
    <t>2053-0196</t>
  </si>
  <si>
    <t>2053-020X</t>
  </si>
  <si>
    <t>ANTHROPOCENE REV</t>
  </si>
  <si>
    <t>Anthr. Rev.</t>
  </si>
  <si>
    <t>10.1177/20530196231155191</t>
  </si>
  <si>
    <t>Environmental Sciences; Environmental Studies; Geosciences, Multidisciplinary</t>
  </si>
  <si>
    <t>AJ8W6</t>
  </si>
  <si>
    <t>WOS:000950384200001</t>
  </si>
  <si>
    <t>Foster, WJ; Allen, BJ; Kitzmann, NH; Muenchmeyer, J; Rettelbach, T; Witts, JD; Whittle, RJ; Larina, E; Clapham, ME; Dunhill, AM</t>
  </si>
  <si>
    <t>Foster, William J.; Allen, Bethany J.; Kitzmann, Niklas H.; Muenchmeyer, Jannes; Rettelbach, Tabea; Witts, James D.; Whittle, Rowan J.; Larina, Ekaterina; Clapham, Matthew E.; Dunhill, Alexander M.</t>
  </si>
  <si>
    <t>How predictable are mass extinction events?</t>
  </si>
  <si>
    <t>mass extinction; machine learning; fossil; end-Permian; end-Triassic; end-Cretaceous</t>
  </si>
  <si>
    <t>TAXONOMIC DIVERSITY; CLIMATE-CHANGE; RISK; SELECTIVITY; BIODIVERSITY; ASSEMBLAGES; VOLCANISM; THREATS; IMPACT</t>
  </si>
  <si>
    <t>Many modern extinction drivers are shared with past mass extinction events, such as rapid climate warming, habitat loss, pollution and invasive species. This commonality presents a key question: can the extinction risk of species during past mass extinction events inform our predictions for a modern biodiversity crisis? To investigate if it is possible to establish which species were more likely to go extinct during mass extinctions, we applied a functional trait-based model of extinction risk using a machine learning algorithm to datasets of marine fossils for the end-Permian, end-Triassic and end-Cretaceous mass extinctions. Extinction selectivity was inferred across each individual mass extinction event, before testing whether the selectivity patterns obtained could be used to 'predict' the extinction selectivity exhibited during the other mass extinctions. Our analyses show that, despite some similarities in extinction selectivity patterns between ancient crises, the selectivity of mass extinction events is inconsistent, which leads to a poor predictive performance. This lack of predictability is attributed to evolution in marine ecosystems, particularly during the Mesozoic Marine Revolution, associated with shifts in community structure alongside coincident Earth system changes. Our results suggest that past extinctions are unlikely to be informative for predicting extinction risk during a projected mass extinction.</t>
  </si>
  <si>
    <t>[Foster, William J.] Univ Hamburg, Inst Geol, Hamburg, Germany; [Allen, Bethany J.; Dunhill, Alexander M.] Univ Leeds, Sch Earth &amp; Environm, Leeds, England; [Allen, Bethany J.] Swiss Fed Inst Technol, Dept Biosyst Sci &amp; Engn, Basel, Switzerland; [Allen, Bethany J.] Swiss Inst Bioinformat, Computat Evolut Grp, Lausanne, Switzerland; [Kitzmann, Niklas H.] Member Leibniz Assoc, Potsdam Inst Climate Impact Res PIK, Potsdam, Germany; [Kitzmann, Niklas H.; Rettelbach, Tabea] Univ Potsdam, Inst Phys &amp; Astron, Potsdam, Germany; [Rettelbach, Tabea] Univ Potsdam, Inst Geosci, Potsdam, Germany; [Muenchmeyer, Jannes] GFZ German Res Ctr Geosci, Potsdam, Germany; [Muenchmeyer, Jannes; Rettelbach, Tabea] Humboldt Univ, Dept Comp Sci, Berlin, Germany; [Rettelbach, Tabea] Helmholtz Ctr Polar &amp; Marine Res, Permafrost Res Sect, Alfred Wegener Inst, Potsdam, Germany; [Witts, James D.] Univ Bristol, Sch Earth Sci, Bristol Palaeobiol Res Grp, Bristol, England; [Whittle, Rowan J.] British Antarctic Survey, High Cross, Cambridge, England; [Larina, Ekaterina] Univ Southern Calif, Dept Earth Sci, Los Angeles, CA USA; [Larina, Ekaterina] Univ Texas, Jackson Sch Geosci, Austin, TX USA; [Clapham, Matthew E.] Univ Calif Santa Cruz, Dept Earth &amp; Planetary Sci, Santa Cruz, CA USA</t>
  </si>
  <si>
    <t>University of Hamburg; University of Leeds; Swiss Federal Institutes of Technology Domain; ETH Zurich; Swiss Institute of Bioinformatics; Potsdam Institut fur Klimafolgenforschung; University of Potsdam; University of Potsdam; Helmholtz Association; Helmholtz-Center Potsdam GFZ German Research Center for Geosciences; Humboldt University of Berlin; Helmholtz Association; Alfred Wegener Institute, Helmholtz Centre for Polar &amp; Marine Research; University of Bristol; UK Research &amp; Innovation (UKRI); Natural Environment Research Council (NERC); NERC British Antarctic Survey; University of Southern California; University of Texas System; University of Texas Austin; University of California System; University of California Santa Cruz</t>
  </si>
  <si>
    <t>Foster, WJ (corresponding author), Univ Hamburg, Inst Geol, Hamburg, Germany.</t>
  </si>
  <si>
    <t>w.j.foster@gmx.co.uk</t>
  </si>
  <si>
    <t>Allen, Bethany/HOF-1063-2023; Clapham, Matthew/A-4294-2015; Dunhill, Alexander/R-1930-2018</t>
  </si>
  <si>
    <t>Allen, Bethany/0000-0003-0282-6407; Rettelbach, Tabea/0000-0002-4187-4113; Clapham, Matthew/0000-0003-4867-7304; Witts, James/0000-0002-4002-415X; Munchmeyer, Jannes/0000-0002-4006-9673; Dunhill, Alexander/0000-0002-8680-9163; Larina, Ekaterina/0000-0002-3578-3776; Kitzmann, Niklas Henrik/0000-0003-4234-6336</t>
  </si>
  <si>
    <t>MAR 15</t>
  </si>
  <si>
    <t>10.1098/rsos.221507</t>
  </si>
  <si>
    <t>D9NA6</t>
  </si>
  <si>
    <t>WOS:000971911100003</t>
  </si>
  <si>
    <t>Baumhoer, CA; Dietz, AJ; Heidler, K; Kuenzer, C</t>
  </si>
  <si>
    <t>Baumhoer, Celia A.; Dietz, Andreas J.; Heidler, Konrad; Kuenzer, Claudia</t>
  </si>
  <si>
    <t>IceLines - A new data set of Antarctic ice shelf front positions</t>
  </si>
  <si>
    <t>CALVING FRONT; VICTORIA LAND; GLACIER; RETREAT; EXTRACTION; PENINSULA; TEXT; REPRESENTATION; PARTISANSHIP; GREENLAND</t>
  </si>
  <si>
    <t>The frontal position of an ice shelf is an important parameter for ice dynamic modelling, the computation of mass fluxes, mapping glacier area change, calculating iceberg production rates and the estimation of ice discharge to the ocean. Until now, continuous and up-to-date information on Antarctic calving front locations is scarce due to the time-consuming manual delineation of fronts and the previously limited amount of suitable earth observation data. Here, we present IceLines, a novel data set on Antarctic ice shelf front positions to assess calving front change at an unprecedented temporal and spatial resolution. More than 19,400 calving front positions were automatically extracted creating dense inter- and intra-annual time series of calving front change for the era of Sentinel-1 (2014-today). The calving front time series can be accessed via the EOC GeoService hosted by DLR and is updated on a monthly basis. For the first time, the presented IceLines data set provides the possibility to easily include calving front dynamics in scientific studies and modelling to improve our understanding about ice sheet dynamics.</t>
  </si>
  <si>
    <t>[Baumhoer, Celia A.; Dietz, Andreas J.; Kuenzer, Claudia] German Aerosp Ctr DLR, Earth Observat Ctr EOC, Wessling, Germany; [Heidler, Konrad] Tech Univ Munich TUM, Data Sci Earth Observat, Munich, Germany; [Kuenzer, Claudia] Univ Wurzburg, Inst Geog &amp; Geol, Wurzburg, Germany</t>
  </si>
  <si>
    <t>Helmholtz Association; German Aerospace Centre (DLR); Technical University of Munich; University of Wurzburg</t>
  </si>
  <si>
    <t>Baumhoer, CA (corresponding author), German Aerosp Ctr DLR, Earth Observat Ctr EOC, Wessling, Germany.</t>
  </si>
  <si>
    <t>celia.baumhoer@dlr.de</t>
  </si>
  <si>
    <t>Baumhoer, Celia/0000-0003-1339-2288</t>
  </si>
  <si>
    <t>DLR; Projekt DEAL</t>
  </si>
  <si>
    <t>DLR(Helmholtz AssociationGerman Aerospace Centre (DLR)); Projekt DEAL</t>
  </si>
  <si>
    <t>We would like to thank Jan-Karl Haug and Rouven Volkmann for visualizing IceLines in the GeoService and providing the data download interface. We thank the European Union Copernicus program and the Alaska Satellite Facility (ASF) for providing access to Sentinel-1 data. We thank DLR for funding the Polar Monitor project. Finally, we would like to thank the editors, James Lea and one anonymous reviewer for their helpful comments and suggestions to improve this manuscript.Open Access funding enabled and organized by Projekt DEAL.</t>
  </si>
  <si>
    <t>10.1038/s41597-023-02045-x</t>
  </si>
  <si>
    <t>A1ZK4</t>
  </si>
  <si>
    <t>WOS:000953181000004</t>
  </si>
  <si>
    <t>Frey, D; Krechik, V; Gordey, A; Gladyshev, S; Churin, D; Drozd, I; Osadchiev, A; Kashin, S; Morozov, E; Smirnova, D</t>
  </si>
  <si>
    <t>Frey, Dmitry; Krechik, Viktor; Gordey, Alexandra; Gladyshev, Sergey; Churin, Dmitry; Drozd, Ilya; Osadchiev, Alexander; Kashin, Sergey; Morozov, Eugene; Smirnova, Daria</t>
  </si>
  <si>
    <t>Austral summer circulation in the Bransfield Strait based on SADCP measurements and satellite altimetry</t>
  </si>
  <si>
    <t>Bransfield Strait; Antarctic Peninsula region; SADCP; satellite altimetry; ocean circulation</t>
  </si>
  <si>
    <t>ANTARCTIC PENINSULA; MALVINAS CURRENT; DRAKE PASSAGE; WATER MASSES; VARIABILITY; MESOSCALE; CURRENTS; SURFACE; OCEAN; TIP</t>
  </si>
  <si>
    <t>Three-dimensional structure of currents in the Bransfield Strait (BS) was measured in 2017 over 50 transects across the strait using a Shipborne Acoustic Current Doppler Profiler (SADCP) onboard the R/V Akademik Sergey Vavilov and Akademik Ioffe. These data were used to determine local features of the three-dimensional velocity field of the currents. The sections crossed all three basins of the BS and the main flows in the strait including the Bransfield Current and the southwestward flow of Weddell Sea waters along the Antarctic Peninsula. Two vessels are equipped with different SADCP systems with frequencies of 76.8 kHz and 38.4 kHz, which allows us to compare the data from different SADCPs. The observations reveal that very dense waters from the Weddell Sea propagate in deep layers over the shelf break; this flow is usually not observed at the sea surface. Vertical structure of the Bransfield Current significantly differs from the flow of the Weddell Sea waters and its velocity maximum is located in the upper ocean layer. We also used two gridded altimetry products of 0.25 degrees and 0.1 degrees resolution for investigations of circulation in the BS. We analyzed the efficiency of satellite altimetry in reproducing currents in conditions of a narrow strait and evaluated its accuracy using field velocity observations. We found that satellite altimetry can be used for identification of the mean ocean circulation patterns within the BS. However, daily altimetry data contain significant discrepancies with the in situ data and require direct measurements for studies of the BS circulation.</t>
  </si>
  <si>
    <t>[Frey, Dmitry; Krechik, Viktor; Gordey, Alexandra; Gladyshev, Sergey; Drozd, Ilya; Osadchiev, Alexander; Morozov, Eugene; Smirnova, Daria] Russian Acad Sci, Shirshov Inst Oceanol, Moscow, Russia; [Frey, Dmitry; Morozov, Eugene] Russian Acad Sci, Marine Hydrophys Inst, Sevastopol, Russia; [Frey, Dmitry; Osadchiev, Alexander; Morozov, Eugene] Moscow Inst Phys &amp; Technol, Dolgoprudnyi, Russia; [Krechik, Viktor] Immanuel Kant Baltic Fed Univ, Kaliningrad, Russia; [Churin, Dmitry] Atlantic Res Inst Marine Fisheries &amp; Oceanog, Kaliningrad, Russia; [Drozd, Ilya] Russian Acad Sci, Obukhov Inst Atmospher Phys, Moscow, Russia; [Drozd, Ilya; Smirnova, Daria] Lomonosov Moscow State Univ, Moscow, Russia; [Kashin, Sergey] Russian Federat Arctic &amp; Antarctic Res Inst, State Sci Ctr, St Petersburg, Russia</t>
  </si>
  <si>
    <t>Russian Academy of Sciences; Shirshov Institute of Oceanology; Russian Academy of Sciences; Marine Hydrophysical Institute of RAS; Moscow Institute of Physics &amp; Technology; Immanuel Kant Baltic Federal University; Research lnstitute of Fisheries &amp; Oceanography; Russian Academy of Sciences; Obukhov Institute of Atmospheric Physics of Russian Academy of Sciences; Lomonosov Moscow State University</t>
  </si>
  <si>
    <t>Frey, D (corresponding author), Russian Acad Sci, Shirshov Inst Oceanol, Moscow, Russia.;Frey, D (corresponding author), Russian Acad Sci, Marine Hydrophys Inst, Sevastopol, Russia.;Frey, D (corresponding author), Moscow Inst Phys &amp; Technol, Dolgoprudnyi, Russia.</t>
  </si>
  <si>
    <t>dima.frey@gmail.com</t>
  </si>
  <si>
    <t>Morozov, Eugene G/L-3023-2018; Osadchiev, Alexander/E-6815-2014; Smirnova, Daria/JOK-2346-2023; Drozd, Ilya/JNS-8343-2023</t>
  </si>
  <si>
    <t>Osadchiev, Alexander/0000-0002-6659-0934; Drozd, Ilya/0000-0002-6830-1446; Smirnova, Daria/0000-0001-5944-9134</t>
  </si>
  <si>
    <t>10.3389/fmars.2023.1111541</t>
  </si>
  <si>
    <t>C4HB8</t>
  </si>
  <si>
    <t>WOS:000961533100001</t>
  </si>
  <si>
    <t>Shi, JC; Sun, X; Wang, YA; Yin, SP; Liu, YF; Xu, YJ</t>
  </si>
  <si>
    <t>Shi, Jiachen; Sun, Xian; Wang, Yanan; Yin, Shipeng; Liu, Yuanfa; Xu, Yong -Jiang</t>
  </si>
  <si>
    <t>Foodomics reveals altered lipid and protein profiles of Antarctic krill (Euphausia superba) under different processing</t>
  </si>
  <si>
    <t>Euphausia superba; Lipidome; Proteome; Freeze drying; Hot-air drying</t>
  </si>
  <si>
    <t>SHRIMP SOLENOCERA-MELANTHO; FUNCTIONAL-PROPERTIES; PROTEOMIC ANALYSIS; WHITE SHRIMP; EXTRACTION; OIL; QUALITY; HEPATOPANCREAS; STRATEGIES; MEAL</t>
  </si>
  <si>
    <t>Drying processing is an indispensable procedure for the application of krill. Different drying methods usually offer significant influence on the physicochemical properties of foodstuff. This study investigated the effects of freeze and hot-air drying approaches on krill using lipidomics and proteomics. Multivariate analysis indicated the dramatic differences between freeze dried and hot-air dried krill. A total of 276 lipids were observed to be changed, including phosphatidylcholines (PC), triacylglycerols (TG) as well as fatty acids (FA) and their con-jugates. Interestingly, several long-chain polyunsaturated phospholipids, such as PC (20:5_22:6), PC (20:5_20:5) and PE (16:0_22:6) displayed higher contents in hot-air dried krill, suggesting that method was beneficial to the high-quality krill oil extraction. On the other hand, the levels of 13 proteins in hot-air dried krill were noted to be higher, whereas other 101 proteins were found to be higher in freeze dried krill. These results indicated that hot-air drying processing reserved more phospholipids in krill oil, but degraded lots of krill tissue proteins. The freeze drying maintained more proteins in tissue, increasing the risk of deterioration for long-term storge. Taken together, this comprehensive analysis provided novel insights into the processing of krill to facilitate the utili-zation of krill resource.</t>
  </si>
  <si>
    <t>[Shi, Jiachen; Sun, Xian; Wang, Yanan; Yin, Shipeng; Liu, Yuanfa; Xu, Yong -Jiang] Jiangnan Univ, Natl Engn Lab Cereal Fermentat Technol, Collaborat Innovat Ctr Food Safety &amp; Qual Control, State Key Lab Food Sci &amp; Technol,Sch Food Sci &amp; Te, 1800 Lihu Rd, Wuxi 214122, Jiangsu, Peoples R China</t>
  </si>
  <si>
    <t>Jiangnan University</t>
  </si>
  <si>
    <t>Liu, YF; Xu, YJ (corresponding author), Jiangnan Univ, Natl Engn Lab Cereal Fermentat Technol, Collaborat Innovat Ctr Food Safety &amp; Qual Control, State Key Lab Food Sci &amp; Technol,Sch Food Sci &amp; Te, 1800 Lihu Rd, Wuxi 214122, Jiangsu, Peoples R China.</t>
  </si>
  <si>
    <t>yfliu@jiangnan.edu.cn; yjxutju@gmail.com</t>
  </si>
  <si>
    <t>Yuanfa, Liu/ABH-9944-2020</t>
  </si>
  <si>
    <t>Yuanfa, Liu/0000-0002-8259-8426</t>
  </si>
  <si>
    <t>National Key R &amp; D Program of China [2021YFD2100300]; Key Research and Development Program of Shan- dong Province [2021CXGC010808]; Natural Science Foundation of China [32172136]; Collaborative Innovation Center of Food Safety and Quality Control in Jiangsu Province, Jiangnan University</t>
  </si>
  <si>
    <t>National Key R &amp; D Program of China; Key Research and Development Program of Shan- dong Province; Natural Science Foundation of China(National Natural Science Foundation of China (NSFC)); Collaborative Innovation Center of Food Safety and Quality Control in Jiangsu Province, Jiangnan University</t>
  </si>
  <si>
    <t>This study was supported by the National Key R &amp; D Program of China (2021YFD2100300) , Key Research and Development Program of Shan- dong Province (No. 2021CXGC010808) , Natural Science Foundation of China (32172136) , Collaborative Innovation Center of Food Safety and Quality Control in Jiangsu Province, Jiangnan University.</t>
  </si>
  <si>
    <t>10.1016/j.fbio.2023.102565</t>
  </si>
  <si>
    <t>C0LD7</t>
  </si>
  <si>
    <t>WOS:000958929800001</t>
  </si>
  <si>
    <t>Gao, ZH; Ma, SY; Li, JC; Sun, P; Liu, Y; Xing, QW; He, QS; Tian, YJ</t>
  </si>
  <si>
    <t>Gao, Zihui; Ma, Shuyang; Li, Jianchao; Sun, Peng; Liu, Yang; Xing, Qinwang; He, Qingsong; Tian, Yongjun</t>
  </si>
  <si>
    <t>Climate-induced long-term variations of the Arctic ecosystems</t>
  </si>
  <si>
    <t>Arctic ecosystem; Long-term variations; Regime shift; Climate change and variability</t>
  </si>
  <si>
    <t>NORTH-ATLANTIC OSCILLATION; SEA-SURFACE TEMPERATURE; FISH COMMUNITIES; REGIME SHIFTS; ICE; OCEAN; VARIABILITY; IMPACTS; FISHERIES; BIODIVERSITY</t>
  </si>
  <si>
    <t>The Arctic is significantly affected by global climate change where the warming trend is twice as fast as the world, and climate variability pattern such as Arctic Oscillation is active with great ecological effects. Most of the previous pioneering studies focused on a single local ecosystem in the Arctic, however, the similarities and differences in the dynamics of the Arctic ecosystems have been poorly understood in a changing climate. In this study, long-term variations and regime shifts of eight large marine ecosystems (LMEs) around the Arctic were explored with focuses on comparison among ecosystems in the Atlantic and Pacific sector of the Arctic ocean, and on the impacts of climate change and variability. Results of Bayesian Dynamic Factor Analysis indicate that the long-term variations of fish abundance in the most of LMEs in Atlantic sector showed an increasing trend before the 1970s/1980s and decreased subsequently, which representing variations of warm-affinity species, with regime shifts mainly observed in the 1970s. While the LMEs in Pacific sector showed an increasing trend before the 1990s, which representing the increase of most of the warm-affinity species with regimes shifts concentrating in the 1970s. Most of the LMEs were found to be regulated by Atlantic Multi-decadal Oscillation, only the Greenland Sea and West Bering Sea LMEs were related to the sea ice concentration and Pacific Decadal Oscil-lation, respectively. This study can promote understandings on climate-induced variability in Arctic ecosystems at a holistic perspective.</t>
  </si>
  <si>
    <t>[Gao, Zihui; Ma, Shuyang; Li, Jianchao; Sun, Peng; Liu, Yang; He, Qingsong; Tian, Yongjun] Ocean Univ China, Minist Educ, Frontiers Sci Ctr Deep Ocean Multispheres &amp; Earth, Qingdao 266100, Peoples R China; [Gao, Zihui; Ma, Shuyang; Li, Jianchao; Sun, Peng; Liu, Yang; He, Qingsong; Tian, Yongjun] Ocean Univ China, Minist Educ, Key Lab Mariculture, Qingdao 266100, Peoples R China; [Gao, Zihui; Ma, Shuyang; Li, Jianchao; Sun, Peng; Liu, Yang; Tian, Yongjun] Laoshan Lab, Lab Marine Fisheries Sci &amp; Food Prod Proc, Qingdao 266237, Peoples R China; [Xing, Qinwang] Shandong Univ, Inst Marine Sci &amp; Technol, Qingdao 266237, Peoples R China</t>
  </si>
  <si>
    <t>Ocean University of China; Ocean University of China; Laoshan Laboratory; Shandong University</t>
  </si>
  <si>
    <t>Tian, YJ (corresponding author), Ocean Univ China, Minist Educ, Frontiers Sci Ctr Deep Ocean Multispheres &amp; Earth, Qingdao 266100, Peoples R China.;Tian, YJ (corresponding author), Ocean Univ China, Minist Educ, Key Lab Mariculture, Qingdao 266100, Peoples R China.;Tian, YJ (corresponding author), Laoshan Lab, Lab Marine Fisheries Sci &amp; Food Prod Proc, Qingdao 266237, Peoples R China.</t>
  </si>
  <si>
    <t>13292713007@163.com; mashuyang1992@163.com; lijianchao@ouc.edu.cn; sunpeng@ouc.edu.cn; yangliu315@ouc.edu.cn; qinwangxing@gmail.com; yjtian@ouc.edu.cn</t>
  </si>
  <si>
    <t>zhao, weiwei/JUU-6585-2023; zhang, xu/JXX-7692-2024; Wang, Xingyu/JNE-0602-2023; Li, Ren/JVZ-9153-2024; zhang, yan/JGL-8022-2023; zhang, jiayue/JUF-0129-2023; Li, Huizhen/JPX-2563-2023; Wang, zhenhua/KFA-8731-2024; FENG, X/JPL-4188-2023; Zhang, Wenkai/JWO-2030-2024; LI, Jianchao/J-2053-2017; wang, KiKi/JFZ-3334-2023; Liu, Yang/AAK-3617-2020; he, xi/JXN-3817-2024; Xing, Qinwang/GQY-4526-2022</t>
  </si>
  <si>
    <t>Li, Ren/0000-0002-2579-2580; Liu, Yang/0000-0001-8548-0223; Xing, Qinwang/0000-0003-4854-320X</t>
  </si>
  <si>
    <t>National Natural Science Foundation of China (NSFC) [41930534, 42206085]; Chinese Arctic and Antarctic Administration (CAA) , Ministry of Natural Resources of the People's Republic of China; [IRASCC 01-02-05C]</t>
  </si>
  <si>
    <t>National Natural Science Foundation of China (NSFC)(National Natural Science Foundation of China (NSFC)); Chinese Arctic and Antarctic Administration (CAA) , Ministry of Natural Resources of the People's Republic of China;</t>
  </si>
  <si>
    <t>This work was partially supported by the National Natural Science Foundation of China (NSFC, Grant No. 41930534, 42206085) and the research project Impact and Response of Antarctic Seas to Climate Change, IRASCC2020-2022 (Grant No. IRASCC 01-02-05C) from Chinese Arctic and Antarctic Administration (CAA) , Ministry of Natural Resources of the People's Republic of China. All data and codes used in this study are free available on Zenodo (https://doi.org/10.5281/zenodo.7669882) .</t>
  </si>
  <si>
    <t>10.1016/j.pocean.2023.103006</t>
  </si>
  <si>
    <t>A5ZH6</t>
  </si>
  <si>
    <t>WOS:000955897800001</t>
  </si>
  <si>
    <t>Aberle, R; Enderlin, EM; Marshall, HP; Kopera, M; Meehan, TG</t>
  </si>
  <si>
    <t>Aberle, Rainey; Enderlin, Ellyn M.; Marshall, Hans-Peter; Kopera, Michal; Meehan, Tate G.</t>
  </si>
  <si>
    <t>Assessing controls on ice dynamics at Crane Glacier, Antarctic Peninsula, using a numerical ice flow model</t>
  </si>
  <si>
    <t>Antarctic glaciology; glacier modeling; ice dynamics; ice/ocean interactions</t>
  </si>
  <si>
    <t>SURFACE MASS-BALANCE; TIDEWATER GLACIERS; GROUNDING LINES; OUTLET GLACIERS; CALVING LAWS; B EMBAYMENTS; MELT RATES; GREENLAND; LARSEN; ELEVATION</t>
  </si>
  <si>
    <t>The Antarctic Peninsula's widespread glacier retreat and ice shelf collapse have been attributed to atmospheric and oceanic warming. Following the initial post-collapse period of retreat, several former tributary glaciers of the Larsen A and B ice shelves have been slowly re-advancing for more than a decade. Here, we use a flowline model of Crane Glacier to gauge the sensitivity of former tributary glaciers to future climate change following this period of long-term dynamic adjustment. The glacier's long-term geometry and speed changes are similar to those of other former Larsen A and B tributaries, suggesting that Crane Glacier is a reasonable representation of regional dynamics. For the unperturbed climate simulations, discharge remains nearly unchanged in 2018-2100, indicating that dynamic readjustment to shelf collapse took similar to 15 years. Despite large uncertainties in Crane Glacier's past and future climate forcing, a wide range of future climate scenarios leads to a relatively modest range in grounding line discharge (0.8-1.5 Gt a(-1)) by 2100. Based on the model results for Crane, we infer that although former ice shelf tributaries may readvance following collapse, similar to the tidewater glacier cycle, their dynamic response to future climate perturbations should be less than their response to ice shelf collapse.</t>
  </si>
  <si>
    <t>[Aberle, Rainey; Enderlin, Ellyn M.; Marshall, Hans-Peter] Boise State Univ, Dept Geosci, Boise, ID 83725 USA; [Kopera, Michal] Boise State Univ, Dept Math, Boise, ID USA; [Meehan, Tate G.] US Army Cold Reg Res &amp; Engn Lab, Hanover, NH USA</t>
  </si>
  <si>
    <t>Idaho; Boise State University; Idaho; Boise State University; United States Department of Defense; United States Army; U.S. Army Corps of Engineers; U.S. Army Engineer Research &amp; Development Center (ERDC); Cold Regions Research &amp; Engineering Laboratory (CRREL)</t>
  </si>
  <si>
    <t>Aberle, R (corresponding author), Boise State Univ, Dept Geosci, Boise, ID 83725 USA.</t>
  </si>
  <si>
    <t>raineyaberle@u.boisestate.edu</t>
  </si>
  <si>
    <t>Marshall, Hans-Peter/A-2374-2010</t>
  </si>
  <si>
    <t>Aberle, Rainey/0000-0002-8497-4253; Meehan, Tate/0000-0002-3176-9248; Enderlin, Ellyn/0000-0002-8266-7719</t>
  </si>
  <si>
    <t>NSF [1933764]; Directorate For Geosciences; Office of Polar Programs (OPP) [1933764] Funding Source: National Science Foundation</t>
  </si>
  <si>
    <t>NSF(National Science Foundation (NSF)); Directorate For Geosciences; Office of Polar Programs (OPP)(National Science Foundation (NSF)NSF - Directorate for Geosciences (GEO))</t>
  </si>
  <si>
    <t>This work was funded by NSF Grant 1933764. We thank Dr Alex Gardner for ITS_LIVE velocities, Dr John Paden for NASA OIB data products and processing resources, Dr Thorsten Seehaus and DrJan Wuite for SAR-derived velocity datasets, Dr Brice Noel and Dr J. M. van Wessem for RACMO products and members of the CryoGARS lab at Boise State University for their time and support throughout the course of this work.</t>
  </si>
  <si>
    <t>PII S0022143023000023</t>
  </si>
  <si>
    <t>10.1017/jog.2023.2</t>
  </si>
  <si>
    <t>WOS:000950013300001</t>
  </si>
  <si>
    <t>Peirano, A; Bordone, A; Corgnati, LP; Marini, S</t>
  </si>
  <si>
    <t>Peirano, Andrea; Bordone, Andrea; Corgnati, Lorenzo P.; Marini, Simone</t>
  </si>
  <si>
    <t>Time-lapse recording of yearly activity of the sea star Odontaster validus and the sea urchin Sterechinus neumayeri in Tethys Bay (Ross Sea, Antarctica)</t>
  </si>
  <si>
    <t>autonomous imaging device; long-term monitoring; macrozoobenthos</t>
  </si>
  <si>
    <t>TERRA-NOVA BAY; BENTHIC COMMUNITIES; MCMURDO SOUND; CAPE EVANS; GROWTH; ICE</t>
  </si>
  <si>
    <t>One-year time-lapse images acquired via an autonomous photo imaging device positioned at a depth of 20 m in Tethys Bay (Ross Sea, Antarctica) on a rocky bottom colonized by the sponge Mycale (Oxymycale) acerata were analysed. Monthly changes in the abundance and activity of the sea star Odontaster validus and sea urchin Sterechinus neumayeri on the sponge and nearby rocky bottom were compared with respect to environmental variables such as pack-ice presence/absence, temperature, salinity and photosynthetically active radiation. Sea urchins were more abundant on the rocky bottom and sponge during the summer and winter, respectively. Sea stars showed a decrease in the number of individuals on the sponge from January to December. The grazing activity of both species reached its maximum in January-April, when increased sunlight contributed to the phytoplankton bloom. The winter months were critical both for O. validus and S. neumayeri; although the red sea star maintained its pattern of activity on the rocky bottoms in terms of searching for food, the sea urchin reduced its activity. Time-lapse monitoring systems coupled with physicochemical sensors showed potential for revealing species behaviour in polar environments, contributing to the elucidation of future changes in coastal communities facing climate change.</t>
  </si>
  <si>
    <t>[Peirano, Andrea; Bordone, Andrea] Marine Environm Res Ctr, ENEA, Via S Teresa S-N, I-19032 La Spezia, Italy; [Corgnati, Lorenzo P.; Marini, Simone] Inst Marine Sci, Natl Res Council Italy, CNR, Via S Teresa S-N, I-19032 La Spezia, Italy</t>
  </si>
  <si>
    <t>Italian National Agency New Technical Energy &amp; Sustainable Economics Development; Consiglio Nazionale delle Ricerche (CNR); Istituto di Scienze Marine (ISMAR-CNR)</t>
  </si>
  <si>
    <t>Peirano, A (corresponding author), Marine Environm Res Ctr, ENEA, Via S Teresa S-N, I-19032 La Spezia, Italy.</t>
  </si>
  <si>
    <t>andrea.peirano@enea.it</t>
  </si>
  <si>
    <t>Marini, Simone/C-3872-2012; Corgnati, Lorenzo/F-9666-2015</t>
  </si>
  <si>
    <t>Marini, Simone/0000-0003-0665-7815; Corgnati, Lorenzo/0000-0001-5819-7713; Bordone, Andrea/0000-0002-2247-6953</t>
  </si>
  <si>
    <t>[2013/AZ1.16]</t>
  </si>
  <si>
    <t>Acknowledgements The work was conducted within the Ice-Lapse Project 2013/AZ1.16 during the XXXI PNRA (Italian National Antarctic Programme) expedition. We thank the Italian Navy divers G. Tangari and T. Pischedda and the Army divers G. Oggero and R. Pini for their assistance in underwater work. We also thank G.B. Fasani (ENEA) and all of the members of the Italian Mario Zucchelli Station for the logistical support. Finally, we thank the editor and two anonymous referees whose suggestions greatly improved the manuscript. Editage (www.editage.com) contributed to the English-language editing. We also thank the anonymous reviewers for their comments.</t>
  </si>
  <si>
    <t>FEB</t>
  </si>
  <si>
    <t>PII S0954102022000529</t>
  </si>
  <si>
    <t>10.1017/S0954102022000529</t>
  </si>
  <si>
    <t>E2ZS5</t>
  </si>
  <si>
    <t>WOS:000949016700001</t>
  </si>
  <si>
    <t>Smith, JA; Callard, L; Bentley, MJ; Jamieson, SSR; Sánchez-Montes, ML; Lane, TP; Lloyd, JM; McClymont, EL; Darvill, CM; Rea, BR; O'Cofaigh, C; Gulliver, P; Ehrmann, W; Jones, RS; Roberts, DH</t>
  </si>
  <si>
    <t>Smith, James A.; Callard, Louise; Bentley, Michael J.; Jamieson, Stewart S. R.; Sanchez-Montes, Maria Luisa; Lane, Timothy P.; Lloyd, Jeremy M.; McClymont, Erin L.; Darvill, Christopher M.; Rea, Brice R.; O'Cofaigh, Colm; Gulliver, Pauline; Ehrmann, Werner; Jones, Richard S.; Roberts, David H.</t>
  </si>
  <si>
    <t>Holocene history of the 79? N ice shelf reconstructed from epishelf lake and uplifted glaciomarine sediments</t>
  </si>
  <si>
    <t>SURFACE MASS-BALANCE; NORTHEAST GREENLAND; EAST GREENLAND; FRAM STRAIT; ATLANTIC; CLIMATE; SHEET; GLACIER; RETREAT; CALIBRATION</t>
  </si>
  <si>
    <t>Nioghalvfjerdsbrae, or 79 &amp; LCIRC; N Glacier, is the largest marine-terminating glacier draining the Northeast Greenland Ice Stream (NEGIS). In recent years, its &amp; SIM; 70 km long fringing ice shelf (hereafter referred to as the 79 &amp; LCIRC; N ice shelf) has thinned, and a number of small calving events highlight its sensitivity to climate warming. With the continued retreat of the 79 &amp; LCIRC; N ice shelf and the potential for accelerated discharge from NEGIS, which drains 16 % of the Greenland Ice Sheet (GrIS), it has become increasingly important to understand the long-term history of the ice shelf in order to put the recent changes into perspective and to judge their long-term significance. Here, we reconstruct the Holocene dynamics of the 79 &amp; LCIRC; N ice shelf by combining radiocarbon dating of marine molluscs from isostatically uplifted glaciomarine sediments with a multi-proxy investigation of two sediment cores recovered from Blaso, a large epishelf lake 2-13 km from the current grounding line of 79 &amp; LCIRC; N Glacier. Our reconstructions suggest that the ice shelf retreated between 8.5 and 4.4 kacalBP, which is consistent with previous work charting grounding line and ice shelf retreat to the coast as well as open marine conditions in Nioghalvfjerdsbrae. Ice shelf retreat followed a period of enhanced atmospheric and ocean warming in the Early Holocene. Based on our detailed sedimentological, microfaunal, and biomarker evidence, the ice shelf reformed at Blaso after 4.4 kacalBP, reaching a thickness similar to present by 4.0 kacalBP. Reformation of the ice shelf coincides with decreasing atmospheric temperatures, the increased dominance of Polar Water, a reduction in Atlantic Water, and (near-)perennial sea-ice cover on the adjacent continental shelf. Along with available climate archives, our data indicate that the 79 &amp; LCIRC; N ice shelf is susceptible to collapse at mean atmospheric and ocean temperatures &amp; SIM; 2 &amp; LCIRC;C warmer than present, which could be achieved by the middle of this century under some emission scenarios. Finally, the presence of marine  markers in the uppermost part of the Blaso sediment cores could record modern ice shelf thinning, although the significance and precise timing of these changes requires further work.</t>
  </si>
  <si>
    <t>[Smith, James A.] British Antarctic Survey, Madingley Rd, Cambridge CB3 0ET, England; [Callard, Louise] Newcastle Univ, Sch Geog Polit &amp; Sociol, Newcastle Upon Tyne NE1 7RU, England; [Bentley, Michael J.; Jamieson, Stewart S. R.; Lloyd, Jeremy M.; McClymont, Erin L.; O'Cofaigh, Colm; Roberts, David H.] Univ Durham, Dept Geog, Durham DH1 3LE, England; [Sanchez-Montes, Maria Luisa] Univ Colorado, INSTAAR Inst Arctic &amp; Alpine Res, Boulder, CO 80309 USA; [Lane, Timothy P.] Liverpool John Moores Univ, Sch Biol &amp; Environm Sci, Liverpool L3 3AF, England; [Darvill, Christopher M.] Univ Manchester, Dept Geog, Manchester M13 9PL, England; [Rea, Brice R.] Univ Aberdeen, Sch Geosci, Aberdeen AB24 3TU, Scotland; [Gulliver, Pauline] NERC Radiocarbon Facil, East Kilbride G75 0QF, Scotland; [Ehrmann, Werner] Univ Leipzig, Inst Geophys &amp; Geol, D-04103 Leipzig, Germany; [Jones, Richard S.] Monash Univ, Sch Earth Atmosphere &amp; Environm, Clayton, Vic, Australia</t>
  </si>
  <si>
    <t>UK Research &amp; Innovation (UKRI); Natural Environment Research Council (NERC); NERC British Antarctic Survey; Newcastle University - UK; Durham University; University of Colorado System; University of Colorado Boulder; Liverpool John Moores University; University of Manchester; University of Aberdeen; Leipzig University; Monash University</t>
  </si>
  <si>
    <t>Smith, JA (corresponding author), British Antarctic Survey, Madingley Rd, Cambridge CB3 0ET, England.</t>
  </si>
  <si>
    <t>jaas@bas.ac.uk</t>
  </si>
  <si>
    <t>McClymont, Erin/AAX-3657-2020; Jones, Richard Selwyn/AAJ-3949-2021; Smith, James A/N-1836-2013</t>
  </si>
  <si>
    <t>McClymont, Erin/0000-0003-1562-8768; Jones, Richard Selwyn/0000-0003-2988-0999; Rea, Brice/0000-0002-9928-145X; Smith, James/0000-0002-1333-2544; Lane, Timothy/0000-0002-7116-9976</t>
  </si>
  <si>
    <t>Natural Environment Research Council [NE/N011228/1]; NERC [NE/N011228/1] Funding Source: UKRI</t>
  </si>
  <si>
    <t>Natural Environment Research Council(UK Research &amp; Innovation (UKRI)Natural Environment Research Council (NERC)); NERC(UK Research &amp; Innovation (UKRI)Natural Environment Research Council (NERC))</t>
  </si>
  <si>
    <t>This research has been supported by the Natural Environment Research Council (grant no. NE/N011228/1).</t>
  </si>
  <si>
    <t>10.5194/tc-17-1247-2023</t>
  </si>
  <si>
    <t>9Y5XT</t>
  </si>
  <si>
    <t>Green Published, Green Accepted, gold, Green Submitted</t>
  </si>
  <si>
    <t>WOS:000950532000001</t>
  </si>
  <si>
    <t>Buizert, C; Shackleton, S; Severinghaus, JP; Roberts, WHG; Seltzer, A; Bereiter, B; Kawamura, K; Baggenstos, D; Orsi, AJ; Oyabu, I; Birner, B; Morgan, JD; Brook, EJ; Etheridge, DM; Thornton, D; Bertler, N; Pyne, RL; Mulvaney, R; Mosley-Thompson, E; Neff, PD; Petrenko, VV</t>
  </si>
  <si>
    <t>Buizert, Christo; Shackleton, Sarah; Severinghaus, Jeffrey P.; Roberts, William H. G.; Seltzer, Alan; Bereiter, Bernhard; Kawamura, Kenji; Baggenstos, Daniel; Orsi, Anais J.; Oyabu, Ikumi; Birner, Benjamin; Morgan, Jacob D.; Brook, Edward J.; Etheridge, David M.; Thornton, David; Bertler, Nancy; Pyne, Rebecca L.; Mulvaney, Robert; Mosley-Thompson, Ellen; Neff, Peter D.; Petrenko, Vasilii V.</t>
  </si>
  <si>
    <t>The new Kr-86 excess ice core proxy for synoptic activity: West Antarctic storminess possibly linked to Intertropical Convergence Zone (ITCZ) movement through the last deglaciation</t>
  </si>
  <si>
    <t>MERIDIONAL OVERTURNING CIRCULATION; ABRUPT CLIMATE-CHANGE; NINO-SOUTHERN OSCILLATION; EL-NINO; POLAR FIRN; GLACIAL MAXIMUM; TRAPPED AIR; HIGH-RESOLUTION; BIPOLAR SEESAW; MONSOON RECORD</t>
  </si>
  <si>
    <t>Here we present a newly developed ice core gas-phase proxy that directly samples a component of the large-scale atmospheric circulation: synoptic-scale pressure variability. Surface pressure changes weakly disrupt gravitational isotopic settling in the firn layer, which is recorded in krypton-86 excess (Kr-86(xs)). The Kr-86(xs) may therefore reflect the time-averaged synoptic pressure variability over several years (site storminess ), but it likely cannot record individual synoptic events as ice core gas samples typically average over several years. We validate Kr-86(xs) using late Holocene ice samples from 11 Antarctic ice cores and 1 Greenland ice core that collectively represent a wide range of surface pressure variability in the modern climate. We find a strong spatial correlation (r=-0.94, p &lt; 0.01) between site average Kr-86(xs) and time-averaged synoptic variability from reanalysis data. The main uncertainties in the analysis are the corrections for gas loss and thermal fractionation and the relatively large scatter in the data. Limited scientific understanding of the firn physics and potential biases of Kr-86(xs) require caution in interpreting this proxy at present. We show that Antarctic 86Krxs appears to be linked to the position of the Southern Hemisphere eddy-driven subpolar jet (SPJ), with a southern position enhancing pressure variability.We present a Kr-86(xs) record covering the last 24 kyr from the West Antarctic Ice Sheet (WAIS) Divide ice core. Based on the empirical spatial correlation of synoptic activity and Kr-86(xs) at various Antarctic sites, we interpret this record to show that West Antarctic synoptic activity is slightly below modern levels during the Last Glacial Maximum (LGM), increases during the Heinrich Stadial 1 and Younger Dryas North Atlantic cold periods, weakens abruptly at the Holocene onset, remains low during the early and mid-Holocene, and gradually increases to its modern value. The WAIS Divide Kr-86(xs) record resembles records of monsoon intensity thought to reflect changes in the meridional position of the Intertropical Convergence Zone (ITCZ) on orbital and millennial timescales such that West Antarctic storminess is weaker when the ITCZ is displaced northward and stronger when it is displaced southward. We interpret variations in synoptic activity as reflecting movement of the South Pacific SPJ in parallel to the ITCZ migrations, which is the expected zonal mean response of the eddy-driven jet in models and proxy data. Past changes to Pacific climate and the El Nino-Southern Oscillation (ENSO) may amplify the signal of the SPJ migration. Our interpretation is broadly consistent with opal flux records from the Pacific Antarctic zone thought to reflect wind-driven upwelling.We emphasize that Kr-86(xs) is a new proxy, and more work is called for to confirm, replicate, and better understand these results; until such time, our conclusions regarding past atmospheric dynamics remain speculative. Current scientific understanding of firn air transport and trapping is insufficient to explain all the observed variations in Kr-86(xs). A list of suggested future studies is provided.</t>
  </si>
  <si>
    <t>[Buizert, Christo; Brook, Edward J.] Oregon State Univ, Coll Earth Ocean &amp; Atmospher Sci, Corvallis, OR 97331 USA; [Shackleton, Sarah; Severinghaus, Jeffrey P.; Seltzer, Alan; Bereiter, Bernhard; Birner, Benjamin; Morgan, Jacob D.] Univ Calif San Diego, Scripps Inst Oceanog, La Jolla, CA 92093 USA; [Roberts, William H. G.] Northumbria Univ, Geog &amp; Environm Sci, Newcastle Upon Tyne, England; [Roberts, William H. G.] Univ Bristol, Sch Geog Sci, BRIDGE, Bristol, England; [Seltzer, Alan] Woods Hole Oceanog Inst, Marine Chem &amp; Geochem Dept, Woods Hole, MA 02543 USA; [Bereiter, Bernhard; Baggenstos, Daniel] Univ Bern, Climate &amp; Environm Phys Phys Inst, Ctr Climate Change Res, Oeschger, CH-3012 Bern, Switzerland; [Kawamura, Kenji] Natl Inst Polar Res, 10-3 Midori Cho, Tachikawa, Tokyo 1908518, Japan; [Kawamura, Kenji] Grad Univ Adv Studies, Dept Polar Sci, SOKENDAI, Tokyo 1908518, Japan; [Kawamura, Kenji] Japan Agcy Marine Sci &amp; Technol, Yokosuka 2370061, Japan; [Orsi, Anais J.] Univ Paris Saclay, Lab Sci Climat &amp; Environm, LSCE IPSL, CEA CNRS UVSQ, Gif Sur Yvette, France; [Orsi, Anais J.] Univ British Columbia, Earth Ocean &amp; Atmospher Sci Dept, Vancouver, BC V6T 1Z4, Canada; [Etheridge, David M.; Thornton, David] CSIRO Environm, PMB 1, Aspendale, Vic 3195, Australia; [Etheridge, David M.; Thornton, David] Univ Tasmania, Inst Marine &amp; Antarct Studies, Australian Antarctic Program Partnership, Hobart, Tas 7004, Australia; [Bertler, Nancy; Pyne, Rebecca L.] Victoria Univ Wellington, Antarctic Res Ctr, Wellington 6012, New Zealand; [Bertler, Nancy] GNS Sci, Lower Hut 5010, New Zealand; [Mulvaney, Robert] Natl Environm Res Council, British Antarctic Survey, Cambridge CB3 0ET, England; [Mosley-Thompson, Ellen] Ohio State Univ, Byrd Polar &amp; Climate Res Ctr, Columbus, OH 43210 USA; [Neff, Peter D.] Univ Minnesota, Dept Soil Water &amp; Climate, St Paul, MN 55108 USA; [Neff, Peter D.; Petrenko, Vasilii V.] Univ Rochester, Dept Earth &amp; Environm Sci, Rochester, NY 14627 USA; [Shackleton, Sarah] Princeton Univ, Dept Geosci, Princeton, NJ 08544 USA</t>
  </si>
  <si>
    <t>Oregon State University; University of California System; University of California San Diego; Scripps Institution of Oceanography; Northumbria University; University of Bristol; Woods Hole Oceanographic Institution; University of Bern; Research Organization of Information &amp; Systems (ROIS); National Institute of Polar Research (NIPR) - Japan; Graduate University for Advanced Studies - Japan; Japan Agency for Marine-Earth Science &amp; Technology (JAMSTEC); CEA; Centre National de la Recherche Scientifique (CNRS); Universite Paris Saclay; Universite Paris Cite; University of British Columbia; University of Tasmania; Victoria University Wellington; UK Research &amp; Innovation (UKRI); Natural Environment Research Council (NERC); NERC British Antarctic Survey; University System of Ohio; Ohio State University; University of Minnesota System; University of Minnesota Twin Cities; University of Rochester; Princeton University</t>
  </si>
  <si>
    <t>Buizert, C (corresponding author), Oregon State Univ, Coll Earth Ocean &amp; Atmospher Sci, Corvallis, OR 97331 USA.</t>
  </si>
  <si>
    <t>christo.buizert@oregonstate.edu</t>
  </si>
  <si>
    <t>Oyabu, Ikumi/AGE-1164-2022; Mulvaney, Robert/K-3929-2012; Baggenstos, Daniel/AAK-5751-2021; Kawamura, Kenji/C-7660-2011</t>
  </si>
  <si>
    <t>Oyabu, Ikumi/0000-0001-8017-1085; Baggenstos, Daniel/0000-0001-9756-6884; Severinghaus, Jeffrey/0000-0001-8883-3119; Roberts, William/0000-0002-8249-1901; Orsi, Anais/0000-0001-5511-3940; Kawamura, Kenji/0000-0003-1163-700X; Neff, Peter/0000-0003-1697-0936; Shackleton, Sarah/0000-0001-5927-1954</t>
  </si>
  <si>
    <t>National Science Foundation [ANT-0944343, ANT -1543267, ANT-1543229, ANT-1643716, ANT-1643669]; New Zealand Ministry of Business, Innovation and Employment [RDF-VUW-1103, 15-VUW-131, 540GCT32]; Japan Society for the Promotion of Science KAKENHI grants [17H06320, 15KK0027]; Grants-in-Aid for Scientific Research [20H04327] Funding Source: KAKEN</t>
  </si>
  <si>
    <t>National Science Foundation(National Science Foundation (NSF)); New Zealand Ministry of Business, Innovation and Employment(New Zealand Ministry of Business, Innovation and Employment (MBIE)); Japan Society for the Promotion of Science KAKENHI grants(Ministry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</si>
  <si>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has been supported by the National Science Foundation (grant nos. ANT-0944343, ANT -1543267, ANT-1543229, ANT-1643716, and ANT-1643669), the New Zealand Ministry of Business, Innovation and Employment (grant nos. RDF-VUW-1103, 15-VUW-131, and 540GCT32), and the Japan Society for the Promotion of Science KAKENHI grants (grant nos. 17H06320 and 15KK0027).</t>
  </si>
  <si>
    <t>10.5194/cp-19-579-2023</t>
  </si>
  <si>
    <t>A0EE4</t>
  </si>
  <si>
    <t>WOS:000951936500001</t>
  </si>
  <si>
    <t>Ferrone, A; Berne, A</t>
  </si>
  <si>
    <t>Ferrone, Alfonso; Berne, Alexis</t>
  </si>
  <si>
    <t>Radar and ground-level measurements of clouds and precipitation collected during the POPE 2020 campaign at Princess Elisabeth Antarctica</t>
  </si>
  <si>
    <t>SURFACE MASS-BALANCE; SNOW ACCUMULATION; HYDROMETEOR CLASSIFICATION; MAUD-LAND; EAST; PROFILES; CLIMATE; MODEL</t>
  </si>
  <si>
    <t>The datasets presented in this article were collected during a 4-month measurement campaign at the Belgian research base Princess Elisabeth Antarctica (PEA). The campaign, named PEA Orographic Precipitation Experiment (POPE), was conducted by the Environmental Remote Sensing Laboratory of the ecole Polytechnique Federale de Lausanne, with the logistical support of the International Polar Foundation, between the end of November 2019 and the beginning of February 2020. The datasets have been collected at five different sites. A W-band Doppler cloud profiler and a multi-angle snowflake camera (MASC) have been deployed in the immediate proximity of the main building of the station. An X-band dual-polarization Doppler scanning weather radar was installed 1.9 km southeast of PEA. Information on the various hydrometeor types have been derived from its measurements and from the images collected by the MASC. The remaining three sites were located in a transect across the mountain chain south of the base, between 7 and 17 km apart from each other. At each site, a K-band Doppler profiler and an automated weather station have been deployed. A pyrgeometer and a pyranometer accompanied the instruments at the site in the middle of the transect. The radar variables and the measurements collected by the weather stations and radiometers are available at . The Doppler spectra are available at and . A case study, covering the precipitation event recorded on 23 December 2019, is presented to illustrate the various datasets. Overall, the availability of radar measurements over a complex terrain, relatively far from a scientific base, is extremely rare in the Antarctic context and opens a wide range of possibilities for precipitation studies over the region.</t>
  </si>
  <si>
    <t>[Ferrone, Alfonso; Berne, Alexis] Ecole Polytech Fed Lausanne EPFL, Environm Remote Sensing Lab, Lausanne, Switzerland; [Ferrone, Alfonso] MeteoSwiss, Via Monti 146, Locarno, Switzerland</t>
  </si>
  <si>
    <t>Swiss Federal Institutes of Technology Domain; Ecole Polytechnique Federale de Lausanne; Federal Office of Meteorology &amp; Climatology (MeteoSwiss)</t>
  </si>
  <si>
    <t>Berne, A (corresponding author), Ecole Polytech Fed Lausanne EPFL, Environm Remote Sensing Lab, Lausanne, Switzerland.</t>
  </si>
  <si>
    <t>alexis.berne@epfl.ch</t>
  </si>
  <si>
    <t>Ferrone, Alfonso/JQI-6190-2023</t>
  </si>
  <si>
    <t>Ferrone, Alfonso/0000-0003-1441-7184</t>
  </si>
  <si>
    <t>Schweizerischer Nationalfonds zur Forderung der Wissenschaftlichen Forschung [200020-175700/1]; Swiss Polar Institute; Swiss National Science Foundation (SNF) [200020_175700] Funding Source: Swiss National Science Foundation (SNF)</t>
  </si>
  <si>
    <t>Schweizerischer Nationalfonds zur Forderung der Wissenschaftlichen Forschung(Swiss National Science Foundation (SNSF)); Swiss Polar Institute; Swiss National Science Foundation (SNF)(Swiss National Science Foundation (SNSF))</t>
  </si>
  <si>
    <t>This research has been supported by the Schweizerischer Nationalfonds zur Forderung der Wissenschaftlichen Forschung (grant no. 200020-175700/1) and the Swiss Polar Institute (Exploratory Grant and Polar Access Fund 2019).</t>
  </si>
  <si>
    <t>10.5194/essd-15-1115-2023</t>
  </si>
  <si>
    <t>A0CL7</t>
  </si>
  <si>
    <t>WOS:000951891200001</t>
  </si>
  <si>
    <t>Zheng, HY; Chen, ZY; Yang, KD; Xiao, KY; Zhu, JC; Gao, ZW; Han, ZY; Liu, YG; Cai, MH</t>
  </si>
  <si>
    <t>Zheng, Hongyuan; Chen, Zhiyi; Yang, Kunde; Xiao, Kaiyan; Zhu, Jincai; Gao, Zhiwei; Han, Zheyi; Liu, Yanguang; Cai, Minghong</t>
  </si>
  <si>
    <t>Spatiotemporal variations, surface inventory, and cross regional impact of current-use organoamine pesticides in Chinese Marginal Seas</t>
  </si>
  <si>
    <t>Current-use organoamine pesticides; Chinese Marginal Seas; Terrestrial export; Ocean current redistribution; Secondary source region</t>
  </si>
  <si>
    <t>AROMATIC-AMINES; WATER; RESIDUES; RIVER; CONTAMINATION; METOLACHLOR; MANAGEMENT; POLLUTION; ALACHLOR; SEDIMENT</t>
  </si>
  <si>
    <t>Current-use Organoamine Pesticides (CUOAPs) are a growing concern as emerging pesticide pollutants that were initially discovered on a large scale in Chinese Marginal Seas (CMSs). The highest level was detected in the East China Sea in the late spring and decreased in the following order: East China Sea (early spring) &gt; the South China Sea &gt; the Bohai Sea. The crucial role played by the Yangtze and Yellow rivers as significant terrestrial sources were established. The fluctuations in the land application and riverine input led to variations in the source, distribution, and seasonal patterns of CUOAPs. Terrestrial-exported CUOAPs were transported and redistributed spatially by the surface ocean currents, resulting in significant regional disparities. The results displayed a pronounced terrestrial source signature and a cross-regional impact. By the ocean current transport, CMSs will likely become a secondary source region for the surrounding seas.</t>
  </si>
  <si>
    <t>[Zheng, Hongyuan; Chen, Zhiyi; Xiao, Kaiyan; Zhu, Jincai; Gao, Zhiwei; Han, Zheyi; Cai, Minghong] Polar Res Inst China, Minist Nat Resources, Key Lab Polar Sci, Shanghai 200136, Peoples R China; [Zheng, Hongyuan; Yang, Kunde] Northwest Polytech Univ, Ocean Inst, Xian 215400, Jiangsu, Peoples R China; [Chen, Zhiyi] Zhejiang Univ Water Resources &amp; Elect Power, Coll Civil Engn &amp; Architecture, Hangzhou 310018, Zhejiang, Peoples R China; [Xiao, Kaiyan; Zhu, Jincai; Gao, Zhiwei; Han, Zheyi; Cai, Minghong] Polar Res Inst China, Antarctic Great Wall Ecol Natl Observat &amp; Res Stn, 1000 Xuelong Rd, Shanghai 201209, Peoples R China; [Xiao, Kaiyan] Tongji Univ, Coll Environm Sci &amp; Engn, Shanghai 200092, Peoples R China; [Liu, Yanguang] Minist Nat Resources MNR, Inst Oceanog 1, Key Lab Marine Geol &amp; Metallogeny, Qingdao 266061, Peoples R China; [Zhu, Jincai; Cai, Minghong] Shanghai Jiao Tong Univ, Sch Oceanog, 1954 Huashan Rd, Shanghai 200030, Peoples R China; [Liu, Yanguang] Minist Nat Resources MNR, Inst Oceanog 1, Qingdao 266061, Peoples R China; [Cai, Minghong] Polar Res Inst China, Shanghai 200136, Peoples R China</t>
  </si>
  <si>
    <t>Ministry of Natural Resources of the People's Republic of China; Polar Research Institute of China; Northwestern Polytechnical University; Zhejiang University of Water Resources and Electric Power; Polar Research Institute of China; Tongji University; Ministry of Natural Resources of the People's Republic of China; Shanghai Jiao Tong University; Ministry of Natural Resources of the People's Republic of China; Polar Research Institute of China</t>
  </si>
  <si>
    <t>Liu, YG (corresponding author), Minist Nat Resources MNR, Inst Oceanog 1, Qingdao 266061, Peoples R China.;Cai, MH (corresponding author), Polar Res Inst China, Shanghai 200136, Peoples R China.</t>
  </si>
  <si>
    <t>yanguangliu@fio.org.cn; caiminghong@pric.org.cn</t>
  </si>
  <si>
    <t>ZHENG, HONGYUAN/ABF-9513-2020; Yang, Min/JPY-3791-2023; tian, ye/KGL-6485-2024; Liu, min/JXW-8493-2024; Zhang, Lanyue/JNS-8209-2023; liu, xinyi/KFB-4466-2024; Chen, zhuo/JWO-5404-2024; Yang, Kun/ISA-1094-2023; Tan, Wei/KBB-7333-2024; zhang, yan/JGL-8022-2023; guo, yi/KHC-4669-2024; yang, kun/JGM-4169-2023; su, lin/KHC-5034-2024; lin, qing/JTU-4293-2023</t>
  </si>
  <si>
    <t>ZHENG, HONGYUAN/0000-0002-0225-3883; Yang, Kun/0000-0003-1335-3449; Cai, Minghong/0000-0003-2107-4386</t>
  </si>
  <si>
    <t>National Natural Science Foundation of China [41776202, 52231013]; National Key Research and Development Program of China [2021YFC2801103, 2022YFF1400504]</t>
  </si>
  <si>
    <t>This work was supported by National Natural Science Foundation of China (Nos. 41776202, 52231013) and the National Key Research and Development Program of China (Nos. 2021YFC2801103, 2022YFF1400504) . Special thanks to the crew of R/V: ? Xiangyanghong 18 ? and the ? Xuelong 2 ?.</t>
  </si>
  <si>
    <t>JUN 5</t>
  </si>
  <si>
    <t>10.1016/j.jhazmat.2023.131213</t>
  </si>
  <si>
    <t>0A4GH</t>
  </si>
  <si>
    <t>WOS:000951782100001</t>
  </si>
  <si>
    <t>Makula, EK; Zhou, BT</t>
  </si>
  <si>
    <t>Makula, Exavery Kisesa; Zhou, Botao</t>
  </si>
  <si>
    <t>Relationship between Antarctic Sea ice and the variability of March to May precipitation in Tanzania</t>
  </si>
  <si>
    <t>INTERNATIONAL JOURNAL OF CLIMATOLOGY</t>
  </si>
  <si>
    <t>Antarctic Sea ice; atmospheric circulations; MAM precipitation; Tanzania</t>
  </si>
  <si>
    <t>INTERANNUAL VARIABILITY; CIRCULATION MECHANISMS; SURFACE TEMPERATURE; CLIMATE; RAINFALL; IMPACT; REANALYSIS; PACIFIC; AFRICA; EXTENT</t>
  </si>
  <si>
    <t>This study investigates the relationship between the Antarctic sea ice concentration (SIC) and the precipitation variability in Tanzania during March to May (MAM) season from 1978 to 2017. It is found that the MAM SIC over the Weddell (Ross) sea is negatively correlated with the MAM precipitation, particularly over northern (southern) Tanzania, signifying that the high (low) MAM SIC over the Weddell (Ross) sea is associated with suppressed (enhanced) rainfall in Tanzania. The atmospheric circulations related to the MAM SIC anomalies were further analysed. It is revealed that the positive MAM SIC anomalies in the Weddell sea and the Ross sea are associated with the upper-level wave train patterns propagating from the high latitudes to the low latitudes of the Southern Hemisphere, which results in anomalous upper-level cyclonic circulation over the western Indian Ocean and Tanzania. The upper-level cyclonic circulation anomaly favours the low-level divergence and results in the subsidence over Tanzania. Moreover, the low-level wind outflow over Tanzania due to divergence reduces the water vapour supply to Tanzania. This background is unfavourable for the occurrence of precipitation and thus decreases the precipitation in Tanzania. The situation is reversed for the negative MAM SIC anomalies over the Weddell sea and the Ross sea, conducive to the increase of precipitation over Tanzania.</t>
  </si>
  <si>
    <t>[Makula, Exavery Kisesa; Zhou, Botao] Nanjing Univ Informat Sci &amp; Technol, Collaborat Innovat Ctr Forecast &amp; Evaluat Meteorol, Key Lab Meteorol Disaster, Int Joint Res Lab Climate &amp; Environm Change,Minist, Nanjing, Peoples R China; [Makula, Exavery Kisesa; Zhou, Botao] Nanjing Univ Informat Sci &amp; Technol, Sch Atmospher Sci, Nanjing, Peoples R China; [Makula, Exavery Kisesa] Univ Dar Es Salaam, Dept Phys, Dar Es Salaam, Tanzania</t>
  </si>
  <si>
    <t>Nanjing University of Information Science &amp; Technology; Nanjing University of Information Science &amp; Technology; University of Dar es Salaam</t>
  </si>
  <si>
    <t>Zhou, BT (corresponding author), Nanjing Univ Informat Sci &amp; Technol, Sch Atmospher Sci, Nanjing, Peoples R China.</t>
  </si>
  <si>
    <t>zhoubt@nuist.edu.cn</t>
  </si>
  <si>
    <t>MAKULA, EXAVERY KISESA/AAF-3067-2021</t>
  </si>
  <si>
    <t>MAKULA, EXAVERY KISESA/0000-0003-3236-1022; zhou, Botao/0000-0002-5995-2378</t>
  </si>
  <si>
    <t>National Key Research and Development Program of China [2017YFA0605004]; Program of Distinguished Professors of Jiangsu; Chinese Scholarship Council (CSC); Nanjing University of Information Science and Technology</t>
  </si>
  <si>
    <t>National Key Research and Development Program of China; Program of Distinguished Professors of Jiangsu; Chinese Scholarship Council (CSC)(China Scholarship Council); Nanjing University of Information Science and Technology(Nanjing University of Information Science &amp; Technology)</t>
  </si>
  <si>
    <t>National Key Research and Development Program of China, Grant/Award Number: 2017YFA0605004; Program of Distinguished Professors of Jiangsu; Chinese Scholarship Council (CSC); Nanjing University of Information Science and Technology</t>
  </si>
  <si>
    <t>0899-8418</t>
  </si>
  <si>
    <t>1097-0088</t>
  </si>
  <si>
    <t>INT J CLIMATOL</t>
  </si>
  <si>
    <t>Int. J. Climatol.</t>
  </si>
  <si>
    <t>10.1002/joc.7921</t>
  </si>
  <si>
    <t>9T6NJ</t>
  </si>
  <si>
    <t>WOS:000947142000010</t>
  </si>
  <si>
    <t>Vo, TTM; Amoroso, G; Ventura, T; Elizur, A</t>
  </si>
  <si>
    <t>Vo, Thu Thi Minh; Amoroso, Gianluca; Ventura, Tomer; Elizur, Abigail</t>
  </si>
  <si>
    <t>Histological and transcriptomic analysis of muscular atrophy associated with depleted flesh pigmentation in Atlantic salmon (Salmo salar) exposed to elevated seawater temperatures</t>
  </si>
  <si>
    <t>GENE-EXPRESSION; MUSCLE; ASTAXANTHIN; QUALITY; CANTHAXANTHIN; TEXTURE; GROWTH; PROTEIN; COLOR; L.</t>
  </si>
  <si>
    <t>Tasmania is experiencing increasing seawater temperatures during the summer period which often leads to thermal stress-induced starvation events in farmed Atlantic salmon, with consequent flesh pigment depletion. Our previous transcriptomic studies found a link between flesh pigmentation and the expression of genes regulating lipid metabolism accompanied by feeding behavior in the hindgut. However, the impact of prolonged exposure to elevated water temperature on muscle structural integrity and molecular mechanisms in muscle underlying pigment variation has not been elucidated to date. In this study, we investigated the effect of prolonged exposure to elevated water temperature on the farmed salmon flesh pigmentation and structural integrity, using muscle histological and transcriptomic analysis. On April 2019, after the end of the summer, two muscle regions of the fish fillet, front dorsal and back central (usually the most and least affected by depletion, respectively), were sampled from fifteen fish (weighing approximately 2 kg and belonging to the same commercial population split in two cages). The fish represented three flesh color intensity groups (n = 5 fish per group) categorized according to general level of pigmentation and presence of banding (i.e. difference in color between the two regions of interest) as follows: high red color-no banding (HN), high red color-banded (HB) and Pale fish. Histological analysis showed a distinction between the flesh color intensity phenotypes in both muscle regions. Muscle fibers in the HB fish were partly degraded, while they were atrophied and smaller in size in Pale fish compared to HN fish. In the Pale fish, interstitial spaces between muscle fibers were also enlarged. Transcriptomic analysis showed that in the front dorsal region of the HN fish, genes encoding collagens, calcium ion binding and metabolic processes were upregulated while genes related to lipid and fatty acid metabolism were downregulated when compared to HB fish. When comparing the back central region of the three phenotypes, actin alpha skeletal muscle and myosin genes were upregulated in the HN and HB fish, while tropomyosin genes were upregulated in the Pale fish. Also, genes encoding heat shock proteins were upregulated in the HN fish, while genes involving lipid metabolism and proteolysis were upregulated in the Pale fish. Starvation, likely caused by thermal stress during prolonged periods of elevated summer water temperatures, negatively affects energy metabolism to different extents, leading to localized or almost complete flesh color depletion in farmed Atlantic salmon. Based on our results, we conclude that thermal stress is responsible not only for flesh discoloration but also for loss of muscle integrity, which likely plays a key role in pigment depletion.</t>
  </si>
  <si>
    <t>[Vo, Thu Thi Minh; Ventura, Tomer; Elizur, Abigail] Univ Sunshine Coast, Ctr Bioinnovat, 4 Locked Bag, Maroochydore, Qld 4558, Australia; [Vo, Thu Thi Minh; Ventura, Tomer] Univ Sunshine Coast, Sch Sci Technol &amp; Engn, 4 Locked Bag, Maroochydore, Qld 4558, Australia; [Amoroso, Gianluca] Univ Tasmania, Inst Marine &amp; Antarctic Studies, Private Bag 49, Hobart, Tas 7001, Australia; [Vo, Thu Thi Minh] Vietnam Natl Univ, Int Univ, Sch Biotechnol, Ho Chi Minh City 700000, Vietnam</t>
  </si>
  <si>
    <t>University of the Sunshine Coast; University of the Sunshine Coast; University of Tasmania; Vietnam National University Hochiminh City</t>
  </si>
  <si>
    <t>Vo, TTM; Ventura, T; Elizur, A (corresponding author), Univ Sunshine Coast, Ctr Bioinnovat, 4 Locked Bag, Maroochydore, Qld 4558, Australia.;Vo, TTM; Ventura, T (corresponding author), Univ Sunshine Coast, Sch Sci Technol &amp; Engn, 4 Locked Bag, Maroochydore, Qld 4558, Australia.;Amoroso, G (corresponding author), Univ Tasmania, Inst Marine &amp; Antarctic Studies, Private Bag 49, Hobart, Tas 7001, Australia.;Vo, TTM (corresponding author), Vietnam Natl Univ, Int Univ, Sch Biotechnol, Ho Chi Minh City 700000, Vietnam.</t>
  </si>
  <si>
    <t>thu.vo@research.usc.edu.au; gianluca.amoroso@utas.edu.au; tventura@usc.edu.au; aelizur@usc.edu.au</t>
  </si>
  <si>
    <t>Ventura, T./H-9832-2019</t>
  </si>
  <si>
    <t>Ventura, T./0000-0002-0777-2367; Amoroso, Gianluca/0000-0003-2985-4205; Elizur, Abigail/0000-0002-2960-302X</t>
  </si>
  <si>
    <t>Australian Fisheries Research and Development Corporation (FRDC) [2014 - 248]</t>
  </si>
  <si>
    <t>Australian Fisheries Research and Development Corporation (FRDC)(Fisheries R&amp;D Corp)</t>
  </si>
  <si>
    <t>The funders had no role in study design, data collection and analysis, decision to publish, or preparation of the manuscript. The research was funded by the Australian Fisheries Research and Development Corporation (FRDC), project 2014 - 248 through a collaboration between Petuna Aquaculture and the University of the Sunshine Coast.</t>
  </si>
  <si>
    <t>MAR 14</t>
  </si>
  <si>
    <t>10.1038/s41598-023-31242-2</t>
  </si>
  <si>
    <t>F7TU4</t>
  </si>
  <si>
    <t>WOS:000984342100077</t>
  </si>
  <si>
    <t>Simpson, NP; Simpson, KJ; Ferreira, AT; Constable, A; Glavovic, B; Eriksen, SEH; Ley, D; Solecki, W; Rodriguez, RS; Stringer, LC</t>
  </si>
  <si>
    <t>Simpson, Nicholas P.; Simpson, Kayleen Jeanne; Ferreira, Albert T.; Constable, Andrew; Glavovic, Bruce; Eriksen, Siri Ellen Hallstrom; Ley, Debora; Solecki, William; Rodriguez, Roberto Sanchez; Stringer, Lindsay C.</t>
  </si>
  <si>
    <t>Climate-resilient development planning for cities: progress from Cape Town (vol 3, 10, 2023)</t>
  </si>
  <si>
    <t>NPJ URBAN SUSTAINABILITY</t>
  </si>
  <si>
    <t>[Simpson, Nicholas P.] Univ Cape Town, African Climate &amp; Dev Initiat, Cape Town, South Africa; [Simpson, Kayleen Jeanne; Ferreira, Albert T.] Strateg Policy Branch, Future Planning &amp; Resilience, Cape Town, South Africa; [Constable, Andrew] Commonwealth Dept Agr Water &amp; Environm, Australian Antarctic Div, Kingston, ACT, Australia; [Glavovic, Bruce] Massey Univ, Sch People Environm &amp; Planning, Palmerston North, New Zealand; [Eriksen, Siri Ellen Hallstrom] Norwegian Univ Life Sci, Dept Publ Hlth Sci, Oslo, Norway; [Ley, Debora] United Nations Econ Commiss Latin Amer &amp; Caribbean, Energy &amp; Nat Resources, Mexico City, Mexico; [Solecki, William] CUNY Hunter Coll, Dept Geog, New York, NY USA; [Rodriguez, Roberto Sanchez] Gobierno Mexico, Colegio Frontera Norte, Tijuana, Mexico; [Stringer, Lindsay C.] Univ York, Dept Environm &amp; Geog, York, England</t>
  </si>
  <si>
    <t>University of Cape Town; Australian Antarctic Division; Massey University; Norwegian University of Life Sciences; City University of New York (CUNY) System; Hunter College (CUNY); Colegio Frontera Norte; University of York - UK</t>
  </si>
  <si>
    <t>Simpson, NP (corresponding author), Univ Cape Town, African Climate &amp; Dev Initiat, Cape Town, South Africa.</t>
  </si>
  <si>
    <t>Nick.Simpson@uct.ac.za</t>
  </si>
  <si>
    <t>Simpson, Nicholas Philip/AAC-4578-2022</t>
  </si>
  <si>
    <t>Simpson, Nicholas Philip/0000-0002-9041-982X</t>
  </si>
  <si>
    <t>2661-8001</t>
  </si>
  <si>
    <t>NPJ URBAN SUSTAIN</t>
  </si>
  <si>
    <t>npj Urban Sustain.</t>
  </si>
  <si>
    <t>10.1038/s42949-023-00097-x</t>
  </si>
  <si>
    <t>Environmental Studies; Urban Studies</t>
  </si>
  <si>
    <t>Environmental Sciences &amp; Ecology; Urban Studies</t>
  </si>
  <si>
    <t>I1QD4</t>
  </si>
  <si>
    <t>WOS:001000590200001</t>
  </si>
  <si>
    <t>Schmid, M; Biancacci, C; Leal, PP; Fernandez, PA</t>
  </si>
  <si>
    <t>Schmid, Matthias; Biancacci, Cecilia; Leal, Pablo P.; Fernandez, Pamela A.</t>
  </si>
  <si>
    <t>Editorial: Sustainable seaweed aquaculture: Current advances and its environmental implications</t>
  </si>
  <si>
    <t>seaweed aquaculture; sustainability; carbon cycling; macroalgae; seaweed domestication</t>
  </si>
  <si>
    <t>SYSTEMS</t>
  </si>
  <si>
    <t>[Schmid, Matthias] Univ Galway, Sch Nat Sci, Galway, Ireland; [Schmid, Matthias] Trinity Coll Dublin, Zool Dept, Dublin, Ireland; [Schmid, Matthias] Univ Tasmania, Inst Marine &amp; Antarctic Studies, Hobart, Tas, Australia; [Biancacci, Cecilia] Deakin Univ, Ctr Integrat Ecol, Sch Life &amp; Environm Sci, Warrnambool, Vic, Australia; [Leal, Pablo P.] Inst Fomento Pesquero, Lab Estudio Ambientes &amp; Recursos Marinos ARMlab, Dept Repoblac &amp; Cult, Puerto Montt, Chile; [Fernandez, Pamela A.] Univ Los Lagos, Ctr Biotechnol &amp; Bioengn CeBiB &amp; Marine Agron Seaw, Ctr i mar, Puerto Montt, Chile</t>
  </si>
  <si>
    <t>Ollscoil na Gaillimhe-University of Galway; Trinity College Dublin; University of Tasmania; Deakin University; Instituto de Fomento Pesquero (Valparaiso); Universidad de Los Lagos</t>
  </si>
  <si>
    <t>Schmid, M (corresponding author), Univ Galway, Sch Nat Sci, Galway, Ireland.;Schmid, M (corresponding author), Trinity Coll Dublin, Zool Dept, Dublin, Ireland.;Schmid, M (corresponding author), Univ Tasmania, Inst Marine &amp; Antarctic Studies, Hobart, Tas, Australia.</t>
  </si>
  <si>
    <t>Leal, Pablo P./N-3927-2019; Fernandez, Pamela Andrea/K-2021-2014</t>
  </si>
  <si>
    <t>Leal, Pablo P./0000-0002-7616-1850; Biancacci, Cecilia/0000-0003-3754-7272; Fernandez, Pamela Andrea/0000-0003-3122-0084</t>
  </si>
  <si>
    <t>SFI of Ireland Future Research Leaders Programme: Beyond biofuel: Advanced seaweed cultivation for biodiscovery and climate change mitigation [18/FR/6198]; European Commission Marie Sklodowska-Curie Actions Postdoctoral Fellowship (Project - ASPIRE) [101066815]; Seaweed solutions for sustainable aquaculture CRC Project - Australian government [CRCPSIX000144]; Tassal P/L; Spring Bay Seafoods, Institute for Marine and Antarctic Sciences/University of Tasmania; Deakin University; ANID/FONDECYT-iniciacion [11200474]; Proyecto interno Ulagos [R21/19]; ANID/Programa Basal (CeBiB) [FB-0001]; Marie Curie Actions (MSCA) [101066815] Funding Source: Marie Curie Actions (MSCA)</t>
  </si>
  <si>
    <t>SFI of Ireland Future Research Leaders Programme: Beyond biofuel: Advanced seaweed cultivation for biodiscovery and climate change mitigation; European Commission Marie Sklodowska-Curie Actions Postdoctoral Fellowship (Project - ASPIRE); Seaweed solutions for sustainable aquaculture CRC Project - Australian government; Tassal P/L; Spring Bay Seafoods, Institute for Marine and Antarctic Sciences/University of Tasmania; Deakin University; ANID/FONDECYT-iniciacion; Proyecto interno Ulagos; ANID/Programa Basal (CeBiB); Marie Curie Actions (MSCA)(Marie Curie Actions)</t>
  </si>
  <si>
    <t>MS was funded by SFI President of Ireland Future Research Leaders Programme: (18/FR/6198) Beyond biofuel: Advanced seaweed cultivation for biodiscovery and climate change mitigation and a European Commission Marie Sklodowska-Curie Actions Postdoctoral Fellowship (Project 101066815 - ASPIRE). CB was funded through the Seaweed solutions for sustainable aquaculture CRC Project (CRCPSIX000144) funded by the Australian government, Tassal P/L, Spring Bay Seafoods, Institute for Marine and Antarctic Sciences/University of Tasmania and Deakin University. PF was funded by ANID/FONDECYT-iniciacion 11200474, Proyecto interno Ulagos R21/19, and ANID/Programa Basal (CeBiB, FB-0001).</t>
  </si>
  <si>
    <t>10.3389/fmars.2023.1160656</t>
  </si>
  <si>
    <t>C1ES5</t>
  </si>
  <si>
    <t>WOS:000959441600001</t>
  </si>
  <si>
    <t>Sérazin, G; Tréguier, AM; Montégut, CD</t>
  </si>
  <si>
    <t>Serazin, Guillaume; Treguier, Anne Marie; Montegut, Clement de Boyer</t>
  </si>
  <si>
    <t>A seasonal climatology of the upper ocean pycnocline</t>
  </si>
  <si>
    <t>upper ocean stratification; mixed layer depth; boundary layer; air-sea exchanges; seasonal variability</t>
  </si>
  <si>
    <t>MIXED-LAYER INSTABILITIES; DEEP CONVECTION; PART II; TRANSITION; SURFACE; RESTRATIFICATION; STRATIFICATION; TEMPERATURE; SALINITY; WATER</t>
  </si>
  <si>
    <t>Climatologies of the mixed layer depth (MLD) have been provided using several definitions based on temperature/density thresholds or hybrid approaches. The upper ocean pycnocline (UOP) that sits below the mixed layer base remains poorly characterized, though this transition layer is an ubiquitous feature of the ocean surface layer. Available hydrographic profiles provide near-global coverage of the world's ocean and are used to build a seasonal climatology of UOP properties - intensity, depth, thickness - to characterize the spatial and seasonal variations of upper ocean stratification. The largest stratification values O(10(-3)s(-2)) are found in the intertropical band, where seasonal variations of the UOP are also very small. The deepest (&gt; 200 m) and least stratified O(10(-6)s(-2)) UOPs are found in winter along the Antarctic Circumpolar Current (ACC) and at high latitudes of the North Atlantic. The UOP thickness has a median value of 23 m with limited seasonal and spatial variations; only a few regions have UOP thicknesses exceeding 35 m. The UOP properties allow the characterization of the upper ocean restratification that generally occurs in early spring and is generally associated with large variability. Depending on the region, this restratification may happen gradually as around the Rockall plateau or abruptly as in the Kuroshio Extension. The UOP is also likely to merge intermittently with the permanent pycnocline in winter. The upper edge of the UOP is eventually close to MLD estimates, except in a few notable regions such as in the Pacific Warm Pool where barrier layers are important, and during wintertime at high latitudes of the North Pacific.</t>
  </si>
  <si>
    <t>[Serazin, Guillaume; Treguier, Anne Marie; Montegut, Clement de Boyer] Univ Brest, Ifremer, CNRS, IRD,LOPS,IUEM, Brest, France</t>
  </si>
  <si>
    <t>Ifremer; Universite de Bretagne Occidentale; Institut Universitaire Europeen de la Mer (IUEM); Institut de Recherche pour le Developpement (IRD); Centre National de la Recherche Scientifique (CNRS)</t>
  </si>
  <si>
    <t>Sérazin, G (corresponding author), Univ Brest, Ifremer, CNRS, IRD,LOPS,IUEM, Brest, France.</t>
  </si>
  <si>
    <t>serazing@gmail.com</t>
  </si>
  <si>
    <t>Treguier, Anne Marie/B-7497-2009; de Boyer Montegut, Clement/F-9717-2010</t>
  </si>
  <si>
    <t>de Boyer Montegut, Clement/0000-0003-3218-9330</t>
  </si>
  <si>
    <t>10.3389/fmars.2023.1120112</t>
  </si>
  <si>
    <t>A1ZI0</t>
  </si>
  <si>
    <t>Green Submitted, Green Published, gold</t>
  </si>
  <si>
    <t>WOS:000953178600001</t>
  </si>
  <si>
    <t>Pandey, OP; Sharma, M; Shukla, B; Kumar, M; Ram-Awatar; Parthasarathy, G; Sai, VVS; Sreedhar, B; Tripathi, P; Dayal, AM; Chandrakala, K</t>
  </si>
  <si>
    <t>Pandey, Om Prakash; Sharma, Mukund; Shukla, Bandana; Kumar, Madhav; Ram-Awatar; Parthasarathy, Gopalakrishnarao; Sai, Valiveti Venkata Sesha; Sreedhar, Bojja; Tripathi, Priyanka; Dayal, Anurodh Mohan; Chandrakala, Koteswara</t>
  </si>
  <si>
    <t>Presence of infratrappean Gondwana sediments below Deccan volcanic covered 1993 Killari earthquake region, Maharashtra (India) and geodynamical instability of the south Indian craton</t>
  </si>
  <si>
    <t>GEOLOGICAL JOURNAL</t>
  </si>
  <si>
    <t>Deccan Volcanic Province; Infratrappean Gondwana sediments; intracratonic rifting; Killari borehole; palynology; south Indian craton</t>
  </si>
  <si>
    <t>PERMO-TRIASSIC BOUNDARY; ARCHEAN DHARWAR CRATON; FLOOD BASALTS; LITHOSPHERE; EVOLUTION; BENEATH; LATUR; BASIN; KOYNA; EAST</t>
  </si>
  <si>
    <t>KLR-1 scientific deep borehole, drilled in the 1993 Killari earthquake region of Maharashtra (India), penetrated 8 m thick infratrappean sediments below a 338 m-thick column of Deccan volcanics that rested over Neoarchean amphibolite to granulite facies mid-crustal basement. Detailed palynological studies revealed the presence of characteristic Gondwana palynomorphs in sedimentary succession that include Plicatipollenites indicus, P. trigonalis, Parasaccites korbaensis, P. diffusus, Microbaculispora indica, Cyclobaculisporites minimus, Cyclogranisporites barakarensis, C. gondwanensis, Jayantisporites pseudozonatus, Leiosphaeridia bokaroensis, Latosporites sp., Verrucosisporites sp., cf. V. ambiplicatus and Striatopodocarpites gondwanensis. Qualitative analyses of palynomorphs would suggest an Asselian age (298-295 Ma) for their formation and burial in dysoxic to anoxic conditions. Recorded palynological assemblages correlate well with continental Lower Gondwana (Early Permian) sediments of India, as well as other Gondwana continents, indicating a larger extent of Gondwana sedimentation than hitherto known today. Petrological studies indicate the presence of two types of carbonate units that overly the crystalline basement. A relatively coarse-grained sparry carbonate rock immediately overlies the basement (Sample KIL-7). The size of the carbonate crystals in the sparite vary from 100 to 500 mu m. This unit is overlain by an extremely fine-grained micrite resembling lime mud (Sample KIL-6). Micrite is made of carbonate grains with an average size of 10 mu m. X-ray diffraction studies indicate that calcite is the dominant carbonate mineral, while dolomite and quartz occur in minor amounts. Geochemical analyses indicate that in these two samples of carbonate rock that overlie the basement, CaO (33.38 to 38.16 wt %) is higher than MgO (16.0-23.85 wt%). These infratrappeans sediments are also characterized by stable carbon (delta C-13) and oxygen (delta O-18) isotopic ratios ranging from -1.59 to -8.74% and -9.12 to -13.50% versus PDB, respectively, thereby conforming to non-marine fresh water deposits. These findings provide first evidences of reactivation and rifting of Dharwar intracratonic regions during earliest Permian Gondwana Period, which led to severe lithospheric mantle destruction, and massive regional uplift and erosion of the granitic-gneissic upper crust. Large scale inland-rifting during the Gondwana sedimentation period was possibly a prelude to India-Antarctic breakup during the early Cretaceous.</t>
  </si>
  <si>
    <t>[Pandey, Om Prakash; Dayal, Anurodh Mohan; Chandrakala, Koteswara] CSIR Natl Geophys Res Inst, Hyderabad, India; [Sharma, Mukund; Shukla, Bandana; Kumar, Madhav; Ram-Awatar] Birbal Sahni Inst Palaeosci, Lucknow, India; [Parthasarathy, Gopalakrishnarao] Indian Inst Sci Campus, Natl Inst Adv Studies, Sch Nat Sci &amp; Engn, Bangaluru, India; [Sai, Valiveti Venkata Sesha] Geol Survey India, Petrol Div, Nagpur, India; [Sreedhar, Bojja] CSIR Indian Inst Chem Technol, Dept Catalysis, Hyderabad, India; [Tripathi, Priyanka] Geol Survey India, Natl Geochem Mapping, Jaipur, India; [Pandey, Om Prakash] CSIR Natl Geophys Res Inst, Uppal Rd, Hyderabad 500007, India; 7-464 A Vikas Nagar, Lucknow 226022, UP, India</t>
  </si>
  <si>
    <t>Council of Scientific &amp; Industrial Research (CSIR) - India; CSIR - National Geophysical Research Institute (NGRI); Department of Science &amp; Technology (India); Birbal Sahni Institute of Palaeobotany (BSIP); Geological Survey India; Council of Scientific &amp; Industrial Research (CSIR) - India; CSIR - Indian Institute of Chemical Technology (IICT); Geological Survey India; Council of Scientific &amp; Industrial Research (CSIR) - India; CSIR - National Geophysical Research Institute (NGRI)</t>
  </si>
  <si>
    <t>Pandey, OP (corresponding author), CSIR Natl Geophys Res Inst, Uppal Rd, Hyderabad 500007, India.</t>
  </si>
  <si>
    <t>om_pandey@rediffmail.com</t>
  </si>
  <si>
    <t>Tripathi, Priyanka/HPC-7322-2023</t>
  </si>
  <si>
    <t>CSIR; Department of Science and Technology; Indian National Science Academy, New Delhi (India); National Institue of Advance studies, Bangalore (India)</t>
  </si>
  <si>
    <t>CSIR(Council of Scientific &amp; Industrial Research (CSIR) - India); Department of Science and Technology(Department of Science &amp; Technology (India)); Indian National Science Academy, New Delhi (India); National Institue of Advance studies, Bangalore (India)</t>
  </si>
  <si>
    <t>CSIR-Emeritus Scientist; Department of Science and Technology women scientist; Indian National Science Academy, New Delhi (India); National Institue of Advance studies, Bangalore (India)</t>
  </si>
  <si>
    <t>0072-1050</t>
  </si>
  <si>
    <t>1099-1034</t>
  </si>
  <si>
    <t>GEOL J</t>
  </si>
  <si>
    <t>Geol. J.</t>
  </si>
  <si>
    <t>10.1002/gj.4716</t>
  </si>
  <si>
    <t>K7NF8</t>
  </si>
  <si>
    <t>WOS:000952819400001</t>
  </si>
  <si>
    <t>Ko, YW; Lee, DS; Kim, S; Ha Kim, J; Choi, HG</t>
  </si>
  <si>
    <t>Ko, Young Wook; Lee, Dong Seok; Kim, Sanghee; Ha Kim, Jeong; Choi, Han-Gu</t>
  </si>
  <si>
    <t>The rapid shift of intertidal macroalgal assemblage from vertical shoreline profiles in Barton Peninsula, King George Island, Antarctica during summer</t>
  </si>
  <si>
    <t>POLAR SCIENCE</t>
  </si>
  <si>
    <t>Antarctica; Contour plot; Intertidal zone; Macroalgae; Assemblage shift</t>
  </si>
  <si>
    <t>BENTHIC COMMUNITIES; ICE-SCOUR; ECOLOGY; DISTURBANCE; HABITATS; SEAWEEDS; LIFE; SEA</t>
  </si>
  <si>
    <t>Temporal variability and the vertical shoreline profile of an intertidal macroalgal assemblage were examined on the coast of Barton Peninsula, Maxwell Bay, King George Island, Antarctica. Sampling was performed during the three austral summer seasons from November 2016 to January 2019. The sampling interval for the summer shift was 1-2 months. Eighteen algal species were identified, with 75% relative coverage of the predominant red alga Iridaea cordata and endemic brown alga Phaeurus antarcticus. Temporal variation in the macroalgal assemblage showed 78.35% similarity between one month and 64.61% similarity between two months. Contour plots for visualizing macroalgal distribution were first attempted in this study, and compared to general distribution of tables and diagrams that were discontinuously expressed. The coastscape was expressed more quantitatively and continuously, and was also useful for explaining temporal changes such as summer abundance can be described as a shift from I. cordata to P. antarcticus. In addition, in terms of species composition, this study area corresponds to the middle to lower intertidal zone and shows the highest species diversity in King George Island, so it is expected to provide important information for the researches in Antarctic intertidal zones.</t>
  </si>
  <si>
    <t>[Ko, Young Wook; Kim, Sanghee; Choi, Han-Gu] Korea Polar Res Inst, Div Life Sci, Incheon, South Korea; [Lee, Dong Seok; Ha Kim, Jeong] Sungkyunkwan Univ, Dept Biol Sci, Suwon, South Korea</t>
  </si>
  <si>
    <t>Korea Polar Research Institute (KOPRI); Sungkyunkwan University (SKKU)</t>
  </si>
  <si>
    <t>Choi, HG (corresponding author), Korea Polar Res Inst, Div Life Sci, Incheon, South Korea.</t>
  </si>
  <si>
    <t>hchoi82@kopri.re.kr</t>
  </si>
  <si>
    <t>Choi, Han-Gu/0000-0002-7085-9588; Ko, Young Wook/0000-0002-6808-7275</t>
  </si>
  <si>
    <t>Korea Polar Research Institute (KOPRI) - Ministry of Oceans and Fisheries [PE23140, PE23110]; Ministry of Oceans and Fisheries</t>
  </si>
  <si>
    <t>Korea Polar Research Institute (KOPRI) - Ministry of Oceans and Fisheries; Ministry of Oceans and Fisheries</t>
  </si>
  <si>
    <t>This work was supported by Korea Polar Research Institute (KOPRI) grant (PE23140 and PE23110) funded by the Ministry of Oceans and Fisheries. We would like to give special thanks to the 29th overwintering team in King Sejong Station for helping us set up this experiment.</t>
  </si>
  <si>
    <t>1873-9652</t>
  </si>
  <si>
    <t>1876-4428</t>
  </si>
  <si>
    <t>POLAR SCI</t>
  </si>
  <si>
    <t>Polar Sci.</t>
  </si>
  <si>
    <t>10.1016/j.polar.2023.100927</t>
  </si>
  <si>
    <t>A6PZ3</t>
  </si>
  <si>
    <t>WOS:000956335000001</t>
  </si>
  <si>
    <t>Nagata, Y; Osono, T; Hasegawa, M; Hobara, S; Hirose, D; Tanabe, Y; Kudoh, S; Uchida, M</t>
  </si>
  <si>
    <t>Nagata, Yudai; Osono, Takashi; Hasegawa, Motohiro; Hobara, Satoru; Hirose, Dai; Tanabe, Yukiko; Kudoh, Sakae; Uchida, Masaki</t>
  </si>
  <si>
    <t>Application of the Biolog EcoPlateTM technique for assessing the microbial metabolic diversity in moss profiles of continental Antarctica</t>
  </si>
  <si>
    <t>Biolog EcoPlate TM; Bryophyte; Bryum pseudotriquetrum; Community level physiological profiling; Substrate utilization</t>
  </si>
  <si>
    <t>FUNCTIONAL DIVERSITY; LITTER QUALITY; ISLAND; FUNGI; DECOMPOSITION</t>
  </si>
  <si>
    <t>Little is known about metabolic capabilities of microbial assemblages in continental Antarctic to utilize diverse carbon sources within moss profiles consisting of live, senescent, and dead moss tissues in different stages of decomposition. In the present study, microbial metabolic diversity was determined using Biolog EcoPlateTM for samples of Bryum pseudotriquetrum/B. archangelicum complex collected at five sites located in coastal outcrops of the Lutzow-Holm Bay area (Queen Maud Land), East continental Antarctica, and effects of chemical, biological, and physical properties of the moss tissues were explored. The average well-color development, the number of substrates utilized, Simpson's diversity index and equitability of the microbial substrate utilization, and the utilization of carbohydrates, amino acids/amines, carboxylic acids, and polymers varied significantly among the five sites and among four layers of moss profiles. Principal component analysis showed that the utilization of L-asparagine, L-arginine, D-galacturonic acid, Tween 40, Tween 80, and D-mannitol mainly contributed to the variance in the microbial metabolic diversity between sites and moss profiles. The linear mixed models indicated that the relative content of recalcitrant organic components, the number of fungal species, and the water content of moss tissues affected the diversity of microbial utilization of carbon sources.</t>
  </si>
  <si>
    <t>[Nagata, Yudai] Doshisha Univ, Grad Sch Sci &amp; Engn, Kyotanabe, Kyoto 6100394, Japan; [Osono, Takashi; Hasegawa, Motohiro] Doshisha Univ, Fac Sci &amp; Engn, Dept Environm Syst Sci, Kyotanabe, Kyoto 6100394, Japan; [Hobara, Satoru] Rakuno Gakuen Univ, Dept Environm Symbiot Sci, Ebetsu, Hokkaido 0698501, Japan; [Hirose, Dai] Nihon Univ, Sch Pharm, Funabashi, Chiba 2748555, Japan; [Tanabe, Yukiko; Kudoh, Sakae; Uchida, Masaki] Natl Inst Polar Res, Tachikawa, Tokyo 1738515, Japan</t>
  </si>
  <si>
    <t>Doshisha University; Doshisha University; Rakuno Gakuen University; Nihon University; Research Organization of Information &amp; Systems (ROIS); National Institute of Polar Research (NIPR) - Japan</t>
  </si>
  <si>
    <t>Osono, T (corresponding author), Doshisha Univ, Fac Sci &amp; Engn, Dept Environm Syst Sci, Kyotanabe, Kyoto 6100394, Japan.</t>
  </si>
  <si>
    <t>tosono@mail.doshisha.ac.jp</t>
  </si>
  <si>
    <t>Osono, Takashi/N-9580-2014</t>
  </si>
  <si>
    <t>Hirose, Dai/0000-0003-4990-3959</t>
  </si>
  <si>
    <t>National Institute of Polar Research [2-28]; Japanese Society for the Promotion of Science KAKENHI [18K05731, 18H03413]</t>
  </si>
  <si>
    <t>National Institute of Polar Research(National Institute of Polar Research (NIPR) - Japan); Japanese Society for the Promotion of Science KAKENHI(Ministry of Education, Culture, Sports, Science and Technology, Japan (MEXT)Japan Society for the Promotion of ScienceGrants-in-Aid for Scientific Research (KAKENHI))</t>
  </si>
  <si>
    <t>We thank Dr. Y. Motoyoshi and members of JARE-51 for their assistance during the expedition; Dr. K. Kato for helpful identification of moss species; Dr. S. Matsuoka for supporting statistical analyses; Mr. D. Yamamoto for help with Biolog analysis; and two anonymous reviewers and Dr. Elizabeth Nakajima for critical reading and helpful comments of the manuscript. This study was partially supported by the National Institute of Polar Research through General Collaboration Projects No. 2-28 to T.O. and by a Japanese Society for the Promotion of Science KAKENHI Grant (No. 18K05731 to T.O. and 18H03413 to M.U.) .</t>
  </si>
  <si>
    <t>10.1016/j.polar.2023.100924</t>
  </si>
  <si>
    <t>A6QN7</t>
  </si>
  <si>
    <t>WOS:000956349400001</t>
  </si>
  <si>
    <t>Liu, A; Fan, XP; Talalay, P; Wang, RS; Li, X</t>
  </si>
  <si>
    <t>Liu, An; Fan, Xiaopeng; Talalay, Pavel; Wang, Rusheng; Li, Xiao</t>
  </si>
  <si>
    <t>Hot-water rescue ice drilling system to recover subglacial lake exploring sonde: General concept</t>
  </si>
  <si>
    <t>Antarctica; Subglacial lake; Autonomous sonde; Hot-water drill</t>
  </si>
  <si>
    <t>Autonomous sondes are used to study the Antarctic subglacial environment, yet they risk of being frozen in ice due to heating failure. To recover an accidently frozen sonde this paper describes a concept for a hot-water rescue ice drilling system. A special hot-water drill tool was designed to drill downward along the cable/sonde and melt surrounding ice. Theoretical estimation indicated the power system needed to provide hot water at a flow rate of 25 L/min and a pressure of more than 4.2 MPa to release the sonde at ice depth of 500 m. Laboratory testing and field testing near the Chinese Zhongshan Station in Antarctica demonstrated rationality of the concept. Potential risks were estimated and corresponding solutions presented. The hot-water rescue ice drilling system mentioned in the paper provides a safety guarantee for subglacial lake successful exploration, furthermore supports more ideas for future ice sheet exploration.</t>
  </si>
  <si>
    <t>[Liu, An] PowerChina Huadong Engn Corp Ltd, 22 Chaowang Str, Hangzhou 310014, Peoples R China; [Liu, An; Fan, Xiaopeng; Talalay, Pavel; Wang, Rusheng] Jilin Univ, Polar Res Ctr, 938 Ximinzhu Str, Changchun 130021, Peoples R China; [Li, Xiao] Zhejiang Univ City Coll, 51 Huzhou Str, Hangzhou 310015, Peoples R China</t>
  </si>
  <si>
    <t>POWERCHINA Huadong Engineering Corporation Limited; Jilin University; Hangzhou City University</t>
  </si>
  <si>
    <t>Li, X (corresponding author), Zhejiang Univ City Coll, 51 Huzhou Str, Hangzhou 310015, Peoples R China.</t>
  </si>
  <si>
    <t>lix@zucc.edu.cn</t>
  </si>
  <si>
    <t>Talalay, Pavel/AAH-2908-2020</t>
  </si>
  <si>
    <t>Talalay, Pavel/0000-0002-8230-4600; Li, Xiao/0000-0002-2664-0407</t>
  </si>
  <si>
    <t>National Key R AMP; D Program of China [2021YFA0719100, 2021YFA0719103]</t>
  </si>
  <si>
    <t>National Key R AMP; D Program of China</t>
  </si>
  <si>
    <t>This paper presents research conducted with the support of National Key R &amp; D Program of China (Project No. 2021YFA0719100; Subject No. 2021YFA0719103) . The authors would like to thank anonymous re- viewers for fruitful suggestions and useful comments.</t>
  </si>
  <si>
    <t>10.1016/j.polar.2022.100919</t>
  </si>
  <si>
    <t>A0KK2</t>
  </si>
  <si>
    <t>WOS:000952102200001</t>
  </si>
  <si>
    <t>La Mesa, M; Donato, F; Riginella, E</t>
  </si>
  <si>
    <t>La Mesa, Mario; Donato, Fortunata; Riginella, Emilio</t>
  </si>
  <si>
    <t>Life history and population structure of the Antarctic icefish, Pagetopsis maculata (Notothenioidei, Channichthyidae) from the Weddell Sea</t>
  </si>
  <si>
    <t>Antarctic fish; Channichthyids; Growth performance; Reproduction; Weddell Sea</t>
  </si>
  <si>
    <t>EMPEROR PENGUINS; FISH FAUNA; SIZE; AGE; GROWTH; EGGS; DIET; FOOD</t>
  </si>
  <si>
    <t>The life history traits of many large-sized and commercial Antarctic icefishes are reasonably well known, except for smaller species such as Pagetopsis maculata Barsukov and Permitin, 1958. Therefore, we provide, for the first -time, data on growth and reproductive biology of this species based on a representative sample collected in the Weddell Sea during summer. Individual age and gonad stage of development were assessed by sagittal otolith readings and histological analysis of gonads respectively. The sampled population had an equal sex ratio and was composed of adult specimens spread over a wide size range. Both sexes exhibited isometric body growth and comparable condition factors. The estimated life span and growth parameters were similar between sexes, although females attained a larger asymptotic size than males, consistent with the length-frequency distributions. Typically, the reproductive investment of females, based on the gonadosomatic index, was larger than in males, although they both attained sexual maturity at a similar size. Most individuals were at an advanced stage of gonad maturity, indicating imminent spawning in late summer-early autumn. Compared to other icefish species with different geographical distributions, maximum sizes and lifestyles, P. maculata had the lowest growth performance and reproductive investment, primarily because of its smaller body size.</t>
  </si>
  <si>
    <t>[La Mesa, Mario] CNR ISP, Inst Polar Sci, Area Ric Bologna,Via P Gobetti 101, I-40129 Bologna, Italy; [Donato, Fortunata] CNR IRBIM, Inst Marine Biol Resources &amp; Biotechnol, sede Ancona, I-60125 Ancona, Italy; [Riginella, Emilio] Anton Dohrn Zool Stn, Integrat Marine Ecol, Villa Comunale, I-80121 Naples, Italy</t>
  </si>
  <si>
    <t>Consiglio Nazionale delle Ricerche (CNR); Istituto di Scienze Polari (ISP-CNR); Consiglio Nazionale delle Ricerche (CNR); Istituto per le Risorse Biologiche Biotecnologie Marine (IRBIM-CNR)</t>
  </si>
  <si>
    <t>La Mesa, M (corresponding author), CNR ISP, Inst Polar Sci, Area Ric Bologna,Via P Gobetti 101, I-40129 Bologna, Italy.</t>
  </si>
  <si>
    <t>mario.lamesa@cnr.it</t>
  </si>
  <si>
    <t>Riginella, Emilio/0000-0002-1442-8310; Donato, Fortunata/0009-0000-4836-8216</t>
  </si>
  <si>
    <t>Italian National Antarctic Research Program (PNRA) [2013/C1.07]</t>
  </si>
  <si>
    <t>Italian National Antarctic Research Program (PNRA)(Ministry of Education, Universities and Research (MIUR))</t>
  </si>
  <si>
    <t>Acknowledgements We are much indebted to the crew and scientific personnel for their valuable support in field activities aboard the R/V Polarstern during the cruises PS82 and PS96 in the Weddell Sea. We would like to thank two anonymous reviewers for their helpful comments to the early draft of the manuscript. This work was financially supported by the Italian National Antarctic Research Program (PNRA) , Project 2013/C1.07.</t>
  </si>
  <si>
    <t>10.1016/j.polar.2022.100917</t>
  </si>
  <si>
    <t>A0KO5</t>
  </si>
  <si>
    <t>WOS:000952106700001</t>
  </si>
  <si>
    <t>Fromm, T; Schlindwein, V; Helm, V; Fofonova, V</t>
  </si>
  <si>
    <t>Fromm, Tanja; Schlindwein, Vera; Helm, Veit; Fofonova, Vera</t>
  </si>
  <si>
    <t>Observing tidal effects on the dynamics of the Ekstrom Ice Shelf with focus on quarterdiurnal and terdiurnal periods</t>
  </si>
  <si>
    <t>Antarctic glaciology; ice; ocean interactions; ice shelves; ice velocity; seismology</t>
  </si>
  <si>
    <t>GROUNDING ZONE; WEST ANTARCTICA; STREAM; SEISMICITY; MOTION; FLOW; MODULATION; FLEXURE; TIDES; GPS</t>
  </si>
  <si>
    <t>Antarctica's ice shelves stabilize the ice sheet and, therefore, understanding processes affecting the mass budgets of ice shelves is important for estimating grounded ice loss. To study the ice shelf dynamics, we analyzed seismological and GNSS data from the Ekstrom Ice Shelf in Dronning Maud Land. We extracted probabilistic power spectral densities (PPSD) in the frequency band 3.4-6.8 Hz, typical of icequakes, from seismological data and observed pronounced signals in the PPSD with near 3 and 4 cycles per day (cpd) corresponding to tidal overharmonics, in addition to the main tidal constituents near 1 and 2 cpd. GNSS data reveal the same components in ice flow speed but not in vertical displacements. Generally, tide-induced grounding line migration modulates the flow velocity of an entire ice shelf. We find that this velocity modulation causes the increased icequake activity in the tidal overharmonics with 3 and 4 cpd in an ice shear zone where the flow velocity drops to nearly zero.</t>
  </si>
  <si>
    <t>[Fromm, Tanja; Schlindwein, Vera; Helm, Veit; Fofonova, Vera] Alfred Wegener Inst Polar &amp; Meeresforschung, Bremerhaven, Germany</t>
  </si>
  <si>
    <t>Helmholtz Association; Alfred Wegener Institute, Helmholtz Centre for Polar &amp; Marine Research</t>
  </si>
  <si>
    <t>Fromm, T (corresponding author), Alfred Wegener Inst Polar &amp; Meeresforschung, Bremerhaven, Germany.</t>
  </si>
  <si>
    <t>Tanja.Fromm@awi.de</t>
  </si>
  <si>
    <t>Fofonova, Vera/ABA-2221-2021</t>
  </si>
  <si>
    <t>Fofonova, Vera/0000-0002-5956-1844; Helm, Veit/0000-0001-7788-9328</t>
  </si>
  <si>
    <t>PII S0022143023000047</t>
  </si>
  <si>
    <t>10.1017/jog.2023.4</t>
  </si>
  <si>
    <t>WOS:000948801400001</t>
  </si>
  <si>
    <t>Dellagnezze, BM; Bovio-Winkler, P; Lavergne, C; Menoni, DA; Mosquillo, F; Cabrol, L; Barret, M; Etchebehere, C</t>
  </si>
  <si>
    <t>Dellagnezze, B. M.; Bovio-Winkler, P.; Lavergne, C.; Menoni, D. A.; Mosquillo, F.; Cabrol, L.; Barret, M.; Etchebehere, C.</t>
  </si>
  <si>
    <t>Acetoclastic archaea adaptation under increasing temperature in lake sediments and wetland soils from Alaska</t>
  </si>
  <si>
    <t>Methane; Acetoclastic; Archaeal community; 16S rRNA sequencing; qPCR</t>
  </si>
  <si>
    <t>METHANOGENIC COMMUNITIES; ANAEROBIC-DIGESTION; THERMOKARST LAKES; METHANE; DIVERSITY; ROLES</t>
  </si>
  <si>
    <t>The activity of methanogenic archaea is expected to be strongly affected under warmer temperatures, with higher greenhouse gas (GHG) emissions in the Arctic. In the sub-Arctic and Arctic freshwater sediments and wetland soils, acetoclastic methanogenesis is one of the major processes involved in methane (CH4) release. To investigate the microbial adaptation/ tolerance at warmer temperatures and high acetate concentration, anaerobic microcosms of lake sediments and wetland soils from sub-Arctic ecosystems from Denali to Toolik regions in Alaska (USA) were set up at four temperatures (5, 10, 15 and 20 degrees C). In both environmental and microcosm samples, archaeal diversity was evaluated through specific archaeal 16S rRNA sequencing as well as bacterial, archaeal and methanogen abundance using quantitative PCR. Acetate amendment strongly modified the archaeal diversity highly favoring methanogens from Methanosarcinales, and in lower abundance, Methanoregula and Bathyarchaeia in some lake sediment. While acetoclastic groups significantly diverged among aquatic and terrestrial ecosystems, temperature did not significantly shape methanogens' diversity, showing their adaptability under warmer conditions. Faster microbial response on CH4 production rates was observed at warmer temperatures (15 and 20 degrees C), bringing insights on the psychrophilic acetoclastic groups adapted to high acetate concentration with potential biotechnological application.</t>
  </si>
  <si>
    <t>[Dellagnezze, B. M.; Bovio-Winkler, P.; Menoni, D. A.; Mosquillo, F.; Etchebehere, C.] Biol Res Inst Clemente Estable, Dept Microbial Biochem &amp; Genom, Microbial Ecol Lab, Italia 15 3318, Montevideo 11600, Uruguay; [Lavergne, C.] Univ Playa Ancha, HUB AMBIENTAL UPLALab Aquat Environm Res, Ctr Estudios Avanzados, Valparaiso, Chile; [Lavergne, C.; Cabrol, L.] Pontificia Univ Catolica Valparaiso, Escuela Ingn Bioquim, Ave Brasil, Valparaiso 2085, Chile; [Cabrol, L.] Univ Toulon &amp; Var, Aix Marseille Univ, CNRS, IRD Mediterranean Inst Oceanog MIO,UM 110, Marseille, France; [Cabrol, L.] Millenium Inst BASE Biodivers Antarctic &amp; Subantar, Santiago, Chile; [Barret, M.] Univ Toulouse, CNRS, Lab Ecol Fonct &amp; Environm, Toulouse, France</t>
  </si>
  <si>
    <t>Instituto de Investigaciones Biologicas Clemente Estable Uruguay; Universidad de Playa Ancha; Pontificia Universidad Catolica de Valparaiso; Universite de Toulon; Aix-Marseille Universite; Centre National de la Recherche Scientifique (CNRS); Universite de Toulouse; Universite Federale Toulouse Midi-Pyrenees (ComUE); Universite Toulouse III - Paul Sabatier; Institut National Polytechnique de Toulouse; Centre National de la Recherche Scientifique (CNRS)</t>
  </si>
  <si>
    <t>Etchebehere, C (corresponding author), Biol Res Inst Clemente Estable, Dept Microbial Biochem &amp; Genom, Microbial Ecol Lab, Italia 15 3318, Montevideo 11600, Uruguay.</t>
  </si>
  <si>
    <t>cetchebehere@iibce.edu.uy</t>
  </si>
  <si>
    <t>Bovio-Winkler, Patricia/ABD-2624-2020</t>
  </si>
  <si>
    <t>Bovio-Winkler, Patricia/0000-0002-4004-0416; Martins Dellagnezze, Bruna/0000-0002-4467-0407; Etchebehere, Claudia/0000-0003-2495-205X</t>
  </si>
  <si>
    <t>10.1007/s00300-023-03120-0</t>
  </si>
  <si>
    <t>WOS:000948883100001</t>
  </si>
  <si>
    <t>Li, JK; Xiao, X; Zhou, M; Zhang, Y</t>
  </si>
  <si>
    <t>Li, Jiakang; Xiao, Xiang; Zhou, Meng; Zhang, Yu</t>
  </si>
  <si>
    <t>Strategy for the Adaptation to Stressful Conditions of the Novel Isolated Conditional Piezophilic Strain Halomonas titanicae ANRCS81</t>
  </si>
  <si>
    <t>high hydrostatic pressure; conditional piezophilic; halophilic; transcriptome; common adaptation; antioxidation; Antarctic</t>
  </si>
  <si>
    <t>HIGH HYDROSTATIC-PRESSURE; SEA HYDROTHERMAL-VENT; MICROBIAL-GROWTH; SP-NOV.; OXIDATIVE STRESS; ALIGNMENT; LIFE; ENVIRONMENTS; TEMPERATURE; BACTERIA</t>
  </si>
  <si>
    <t>Microorganisms have successfully predominated deep-sea ecosystems, while we know little about their adaptation strategy to multiple environmental stresses therein, including high hydrostatic pressure (HHP). Here, we focused on the genus Halomonas, one of the most widely distributed halophilic bacterial genera in marine ecosystems and isolated a piezophilic strain Halomonas titanicae ANRCS81 from Antarctic deep-sea sediment. The strain grew under a broad range of temperatures (2 to 45 degrees C), pressures (0.1 to 55 MPa), salinities (NaCl, 0.5 to 17.5%, wt/vol), and chaotropic agent (Mg2+, 0 to 0.9 M) with either oxygen or nitrate as an electron acceptor. Genome annotation revealed that strain ANRCS81 expressed potential antioxidant genes/proteins and possessed versatile energy generation pathways. Based on the transcriptomic analysis, when the strain was incubated at 40 MPa, genes related to antioxidant defenses, anaerobic respiration, and fermentation were upregulated, indicating that HHP induced intracellular oxidative stress. Under HHP, superoxide dismutase (SOD) activity increased, glucose consumption increased with less CO2 generation, and nitrate/nitrite consumption increased with more ammonium generation. The cellular response to HHP represents the common adaptation developed by Halomonas to inhabit and drive geochemical cycling in deep-sea environments.IMPORTANCE Microbial growth and metabolic responses to environmental changes are core aspects of adaptation strategies developed during evolution. In particular, high hydrostatic pressure (HHP) is the most common but least examined environmental factor driving microbial adaptation in the deep sea. According to recent studies, microorganisms developed a common adaptation strategy to multiple stresses, including HHP, with antioxidant defenses and energy regulation as key components, but experimental data are lacking. Meanwhile, cellular SOD activity is elevated under HHP. The significance of this research lies in identifying the HHP adaptation strategy of a Halomonas strain at the genomic, transcriptomic, and metabolic activity levels, which will allow researchers to bridge environmental factors with the ecological function of marine microorganisms. Microbial growth and metabolic responses to environmental changes are core aspects of adaptation strategies developed during evolution. In particular, high hydrostatic pressure (HHP) is the most common but least examined environmental factor driving microbial adaptation in the deep sea.</t>
  </si>
  <si>
    <t>[Li, Jiakang; Xiao, Xiang; Zhou, Meng; Zhang, Yu] Shanghai Jiao Tong Univ, Sch Oceanog, Shanghai Key Lab Polar Life &amp; Environm Sci, Shanghai, Peoples R China; [Li, Jiakang] Shanghai Jiao Tong Univ, Sch Environm Sci &amp; Engn, Shanghai, Peoples R China; [Xiao, Xiang] Shanghai Jiao Tong Univ, Sch Life Sci &amp; Biotechnol, Shanghai, Peoples R China; [Xiao, Xiang] Lab Marine Biol &amp; Biotechnol, Pilot Natl Lab Marine Sci &amp; Technol Qingdao, Qingdao, Peoples R China</t>
  </si>
  <si>
    <t>Shanghai Jiao Tong University; Shanghai Jiao Tong University; Shanghai Jiao Tong University; Laoshan Laboratory</t>
  </si>
  <si>
    <t>Zhang, Y (corresponding author), Shanghai Jiao Tong Univ, Sch Oceanog, Shanghai Key Lab Polar Life &amp; Environm Sci, Shanghai, Peoples R China.</t>
  </si>
  <si>
    <t>zhang.yusjtu@sjtu.edu.cn</t>
  </si>
  <si>
    <t>, yu/GYD-8364-2022</t>
  </si>
  <si>
    <t>, yu/0000-0002-0379-7882; Li, Jiakang/0009-0004-8644-141X</t>
  </si>
  <si>
    <t>National Natural Science Foundation of China [42122043, 42141003, 91951117, 41921006, 41776173, 41941008]; Shanghai Pilot Program for Basic Research-Shanghai Jiao Tong University [21TQ1400201]</t>
  </si>
  <si>
    <t>National Natural Science Foundation of China(National Natural Science Foundation of China (NSFC)); Shanghai Pilot Program for Basic Research-Shanghai Jiao Tong University</t>
  </si>
  <si>
    <t>We acknowledge the cruise crew of NB Palmer Cruise 1304 for performing the sampling. In addition, we thank Yongxin Lv and Qilian Fan for their assistance with data processing. We also thank Na Yang and Huaying Lin for correcting the article. This work was supported by National Natural Science Foundation of China (grant numbers: 42122043, 42141003, 91951117, 41921006, 41776173, and 41941008), Shanghai Pilot Program for Basic Research-Shanghai Jiao Tong University (21TQ1400201).</t>
  </si>
  <si>
    <t>10.1128/aem.01304-22</t>
  </si>
  <si>
    <t>A5IM3</t>
  </si>
  <si>
    <t>WOS:000948373700001</t>
  </si>
  <si>
    <t>Jouberton, A; Miles, ES; Shaw, TE; McCarthy, M; Fugger, S; Pellicciotti, F</t>
  </si>
  <si>
    <t>Jouberton, Achille; Miles, Evan S.; Shaw, Thomas E.; McCarthy, Michael; Fugger, Stefan; Pellicciotti, Francesca</t>
  </si>
  <si>
    <t>Reply to Yang et al.: Global warming and black carbon simultaneously lead to glacier mass decline over the southeastern Tibetan Plateau</t>
  </si>
  <si>
    <t>[Jouberton, Achille; Miles, Evan S.; Shaw, Thomas E.; McCarthy, Michael; Fugger, Stefan; Pellicciotti, Francesca] Swiss Fed Inst Forest Snow &amp; Landscape Res, CH-8903 Birmensdorf, Switzerland; [Jouberton, Achille; Fugger, Stefan] Swiss Fed Inst Technol, Inst Environm Engn, CH-8049 Zurich, Switzerland; [McCarthy, Michael] British Antarctic Survey, Nat Environm Res Council, Cambridge CB3 0ET, England</t>
  </si>
  <si>
    <t>Swiss Federal Institutes of Technology Domain; Swiss Federal Institute for Forest, Snow &amp; Landscape Research; Swiss Federal Institutes of Technology Domain; ETH Zurich; UK Research &amp; Innovation (UKRI); Natural Environment Research Council (NERC); NERC British Antarctic Survey</t>
  </si>
  <si>
    <t>Jouberton, A (corresponding author), Swiss Fed Inst Forest Snow &amp; Landscape Res, CH-8903 Birmensdorf, Switzerland.;Jouberton, A (corresponding author), Swiss Fed Inst Technol, Inst Environm Engn, CH-8049 Zurich, Switzerland.</t>
  </si>
  <si>
    <t>achille.jouberton@wsl.ch</t>
  </si>
  <si>
    <t>Miles, Evan/J-1286-2019</t>
  </si>
  <si>
    <t>Miles, Evan/0000-0001-5446-8571; McCarthy, Michael/0000-0002-4138-0578; Jouberton, Achille/0000-0001-8509-9350</t>
  </si>
  <si>
    <t>MAR 13</t>
  </si>
  <si>
    <t>e2301467120</t>
  </si>
  <si>
    <t>10.1073/pnas.2301467120</t>
  </si>
  <si>
    <t>G7UB6</t>
  </si>
  <si>
    <t>Green Published, Green Accepted, hybrid</t>
  </si>
  <si>
    <t>WOS:000991153200010</t>
  </si>
  <si>
    <t>Kuempel, CD; Frazier, M; Verstaen, J; Rayner, PE; Blanchard, JL; Cottrell, RS; Froehlich, HE; Gephart, JA; Jacobsen, NS; McIntyre, PB; Metian, M; Moran, D; Nash, KL; Többen, J; Williams, DR; Halpern, BS</t>
  </si>
  <si>
    <t>Kuempel, Caitlin D.; Frazier, Melanie; Verstaen, Juliette; Rayner, Paul-Eric; Blanchard, Julia L.; Cottrell, Richard S.; Froehlich, Halley E.; Gephart, Jessica A.; Jacobsen, Nis Sand; McIntyre, Peter B.; Metian, Marc; Moran, Daniel; Nash, Kirsty L.; Toebben, Johannes; Williams, David R.; Halpern, Benjamin S.</t>
  </si>
  <si>
    <t>Environmental footprints of farmed chicken and salmon bridge the land and sea</t>
  </si>
  <si>
    <t>CURRENT BIOLOGY</t>
  </si>
  <si>
    <t>AQUACULTURE PRODUCTION; WATER; RESOURCES; IMPACTS; FUTURE; ENERGY; CROPS; BLUE; MAP</t>
  </si>
  <si>
    <t>Food production, particularly of fed animals, is a leading cause of environmental degradation globally.(1,2) Understanding where and how much environmental pressure different fed animal products exert is critical to designing effective food policies that promote sustainability.(3) Here, we assess and compare the environmental footprint of farming industrial broiler chickens and farmed salmonids (salmon, marine trout, and Arctic char) to identify opportunities to reduce environmental pressures. We map cumulative environmental pressures (greenhouse gas emissions, nutrient pollution, freshwater use, and spatial disturbance), with particular focus on dynamics across the land and sea. We found that farming broiler chickens disturbs 9 times more area than farming salmon (similar to 924,000 vs. similar to 103,500 km(2)) but yields 55 times greater production. The footprints of both sectors are extensive, but 95% of cumulative pressures are concentrated into &lt;5% of total area. Surprisingly, the location of these pressures is similar (85.5% spatial overlap between chicken and salmon pressures), primarily due to shared feed ingredients. Environmental pressures from feed ingredients account for &gt;78% and &gt;69% of cumulative pressures of broiler chicken and farmed salmon production, respectively, and could represent a key leverage point to reduce environmental footprints. The environmental efficiency (cumulative pressures per tonne of production) also differs geographically, with areas of high efficiency revealing further potential to promote sustainability. The propagation of environmental pressures across the land and sea underscores the importance of integrating food policies across realms and sectors to advance food system sustainability.</t>
  </si>
  <si>
    <t>[Kuempel, Caitlin D.] Griffith Univ, Australian Rivers Inst, Nathan, Qld 4111, Australia; [Kuempel, Caitlin D.; Frazier, Melanie; Verstaen, Juliette; Rayner, Paul-Eric; Halpern, Benjamin S.] Univ Calif Santa Barbara, Natl Ctr Ecol Anal &amp; Synth, 1021 Anacapa St,Suite 300, Santa Barbara, CA 93101 USA; [Blanchard, Julia L.; Cottrell, Richard S.] Univ Tasmania, Inst Marine &amp; Antarctic Studies, Hobart, Tas 7004, Australia; [Blanchard, Julia L.; Cottrell, Richard S.; Nash, Kirsty L.] Univ Tasmania, Ctr Marine Socioecol, Hobart, Tas 7004, Australia; [Cottrell, Richard S.] Univ Queensland, Ctr Biodivers &amp; Conservat Sci, Sch Earth &amp; Environm Sci, Brisbane, Qld 4072, Australia; [Froehlich, Halley E.] Univ Calif Santa Barbara, Environm Studies, Santa Barbara, CA 93106 USA; [Froehlich, Halley E.] Univ Calif Santa Barbara, Ecol Evolut &amp; Marine Biol, Santa Barbara, CA 93106 USA; [Gephart, Jessica A.] Amer Univ, Dept Environm Sci, Washington, DC 20016 USA; [Jacobsen, Nis Sand] Tech Univ Denmark, Natl Inst Aquat Resources, Kemitorvet 1, DK-2800 Lyngby, Denmark; [McIntyre, Peter B.] Cornell Univ, Dept Nat Resource &amp; Environm, Ithaca, NY 14853 USA; [Metian, Marc] IAEA, Marine Environm Labs, Radioecol Lab, Principal Monaco, Monaco, Monaco; [Moran, Daniel] Norwegian Univ Sci &amp; Technol, Dept Energy &amp; Proc Technol, Ind Ecol Programme, N-7016 Trondheim, Norway; [Toebben, Johannes] GWS Inst Econ Struct Res, D-49080 Osnabruck, Germany; [Toebben, Johannes] Potsdam Inst Climate Impact Res, Social Metab &amp; Impacts, D-14473 Potsdam, Germany; [Toebben, Johannes] Leibniz Assoc, D-14473 Potsdam, Germany; [Williams, David R.] Univ Leeds, Sch Earth &amp; Environm, Sustainabil Res Inst, Leeds LS2 9JT, W Yorkshire, England; [Williams, David R.; Halpern, Benjamin S.] Univ Calif Santa Barbara, Bren Sch Environm Sci &amp; Management, Santa Barbara, CA 93106 USA</t>
  </si>
  <si>
    <t>Griffith University; University of California System; University of California Santa Barbara; National Center for Ecological Analysis &amp; Synthesis; University of Tasmania; University of Tasmania; University of Queensland; University of California System; University of California Santa Barbara; University of California System; University of California Santa Barbara; American University; Technical University of Denmark; Cornell University; Norwegian University of Science &amp; Technology (NTNU); Potsdam Institut fur Klimafolgenforschung; University of Leeds; University of California System; University of California Santa Barbara</t>
  </si>
  <si>
    <t>Kuempel, CD (corresponding author), Griffith Univ, Australian Rivers Inst, Nathan, Qld 4111, Australia.;Kuempel, CD (corresponding author), Univ Calif Santa Barbara, Natl Ctr Ecol Anal &amp; Synth, 1021 Anacapa St,Suite 300, Santa Barbara, CA 93101 USA.</t>
  </si>
  <si>
    <t>c.kuempel@griffith.edu.au</t>
  </si>
  <si>
    <t>Kuempel, Caitlin D./AAV-8807-2020</t>
  </si>
  <si>
    <t>Kuempel, Caitlin D./0000-0003-1609-9706; Froehlich, Halley/0000-0001-7322-1523; McIntyre, Peter/0000-0003-1809-7552</t>
  </si>
  <si>
    <t>Zegar Family Foundation; L'Oreal for Women in Science Fellowship program; Australian Research Council [DE210100606]; Government of the Principality of Monaco; Australian Research Council [DE210100606] Funding Source: Australian Research Council</t>
  </si>
  <si>
    <t>Zegar Family Foundation; L'Oreal for Women in Science Fellowship program; Australian Research Council(Australian Research Council); Government of the Principality of Monaco; Australian Research Council(Australian Research Council)</t>
  </si>
  <si>
    <t>This research was a collaborative endeavor conducted by the Global Food Systems Working Group at the National Center for Ecological Analysis and Synthesis at UC, Santa Barbara, supported by the Zegar Family Foundation. On behalf of M.M., the IAEA is grateful to the Government of the Principality of Monaco for the support provided to its Marine Environment Laboratories. K.L.N. received funding from the Australian Research Council (DE210100606) and L'Oreal for Women in Science Fellowship program.</t>
  </si>
  <si>
    <t>0960-9822</t>
  </si>
  <si>
    <t>1879-0445</t>
  </si>
  <si>
    <t>CURR BIOL</t>
  </si>
  <si>
    <t>Curr. Biol.</t>
  </si>
  <si>
    <t>10.1016/j.cub.2023.01.037</t>
  </si>
  <si>
    <t>Biochemistry &amp; Molecular Biology; Biology; Cell Biology</t>
  </si>
  <si>
    <t>Biochemistry &amp; Molecular Biology; Life Sciences &amp; Biomedicine - Other Topics; Cell Biology</t>
  </si>
  <si>
    <t>A6QC7</t>
  </si>
  <si>
    <t>WOS:000956338400001</t>
  </si>
  <si>
    <t>Davtian, N; Bard, E</t>
  </si>
  <si>
    <t>Davtian, Nina; Bard, Edouard</t>
  </si>
  <si>
    <t>A new view on abrupt climate changes and the bipolar seesaw based on paleotemperatures from Iberian Margin sediments</t>
  </si>
  <si>
    <t>bipolar seesaw; abrupt climate changes; paleotemperature; paleoceanography</t>
  </si>
  <si>
    <t>CORE WD2014 CHRONOLOGY; EPICA DOME C; NORTH-ATLANTIC; ANTARCTIC ICE; LAST DEGLACIATION; OCEAN CIRCULATION; GLACIAL CLIMATE; ISOTOPE RECORDS; TEMPERATURE RECONSTRUCTIONS; PLANKTONIC-FORAMINIFERA</t>
  </si>
  <si>
    <t>The last glacial cycle provides the opportunity to investigate large changes in the Atlantic Meridional Overturning Circulation (AMOC) beyond the small fluctuations evidenced from direct measurements. Paleotemperature records from Greenland and the North Atlantic show an abrupt variability, called Dansgaard???Oeschger (DO) events, which is associated with abrupt changes of the AMOC. These DO events also have Southern Hemisphere counterparts via the thermal bipolar seesaw, a con-cept describing the meridional heat transport leading to asynchronous temperature changes between both hemispheres. However, temperature records from the North Atlantic show more pronounced DO cooling events during massive releases of ice-bergs known as Heinrich (H) events, contrary to ice-core???based temperature records from Greenland. Here, we present high-resolution temperature records from the Iberian Margin and a Bipolar Seesaw Index to discriminate DO cooling events with and without H events. We show that the thermal bipolar seesaw model generates synthetic Southern Hemisphere temperature records that best resemble Antarctic tem-perature records when using temperature records from the Iberian Margin as inputs. Our data-model comparison emphasizes the role of the thermal bipolar seesaw in the abrupt temperature variability of both hemispheres with a clear enhancement during DO cooling events with H events, implying a relationship that is more complex than a simple flip-flop between two climate states linked to a tipping point threshold.</t>
  </si>
  <si>
    <t>[Davtian, Nina] Univ Autonoma Barcelona, Inst Ciencia Tecnol &amp; Ambientals, Barcelona 08193, Spain; [Davtian, Nina; Bard, Edouard] Aix Marseille Univ, CNRS, Coll France, CEREGE,IRD,INRAE, Technopole Arbois, F-13545 Aix En Provence, France</t>
  </si>
  <si>
    <t>Autonomous University of Barcelona; INRAE; Institut de Recherche pour le Developpement (IRD); Aix-Marseille Universite; Universite PSL; College de France; Centre National de la Recherche Scientifique (CNRS)</t>
  </si>
  <si>
    <t>Davtian, N (corresponding author), Univ Autonoma Barcelona, Inst Ciencia Tecnol &amp; Ambientals, Barcelona 08193, Spain.;Davtian, N; Bard, E (corresponding author), Aix Marseille Univ, CNRS, Coll France, CEREGE,IRD,INRAE, Technopole Arbois, F-13545 Aix En Provence, France.</t>
  </si>
  <si>
    <t>Nina.Davtian@uab.cat; bard@cerege.fr</t>
  </si>
  <si>
    <t>Davtian, Nina/AAA-1870-2021</t>
  </si>
  <si>
    <t>Davtian, Nina/0000-0002-3047-6064; Bard, Edouard/0000-0002-7237-8622</t>
  </si>
  <si>
    <t>e209558120</t>
  </si>
  <si>
    <t>10.1073/pnas.2209558120</t>
  </si>
  <si>
    <t>F2DK7</t>
  </si>
  <si>
    <t>Green Published, Green Submitted, hybrid</t>
  </si>
  <si>
    <t>WOS:000980501000001</t>
  </si>
  <si>
    <t>Wang, SJ; Liu, HX; Alley, RB; Jezek, K; Alexander, P; Alley, KE; Huang, ZR; Wang, L</t>
  </si>
  <si>
    <t>Wang, Shujie; Liu, Hongxing; Alley, Richard B.; Jezek, Kenneth; Alexander, Patrick; Alley, Karen E.; Huang, Zhengrui; Wang, Lei</t>
  </si>
  <si>
    <t>Multidecadal pre- and post-collapse dynamics of the northern Larsen Ice Shelf</t>
  </si>
  <si>
    <t>EARTH AND PLANETARY SCIENCE LETTERS</t>
  </si>
  <si>
    <t>ice shelf; collapse; calving; Larsen; flow dynamics; Antarctica</t>
  </si>
  <si>
    <t>SOUTHERN ANNULAR MODE; ANTARCTIC PENINSULA; CREEP DEFORMATION; BREAK-UP; STABILITY; RETREAT; DISINTEGRATION; ASSIMILATION; CAPSIZE; FUTURE</t>
  </si>
  <si>
    <t>Rapid retreat of Antarctic ice shelves in a warmer climate remains challenging to predict, contributing to uncertainties in projections of sea level rise. The collapse of the Larsen B Ice Shelf on the Antarctic Peninsula in 2002 was perhaps the most dramatic example of ice shelf retreat on record. Despite a general consensus that regional climate warming is associated with ice shelf collapse, knowledge of the precise details leading to and following collapse is limited. Here we examine a comprehensive set of satellite observations, modeling experiments, and climate reanalysis data to elucidate calving behavior, flow dynamics, and mechanical conditions of the northern Larsen Ice Shelf since the mid-1960s. Our analysis reveals that the Larsen B collapse in March 2002 was the last phase of a calving sequence that began in 1998, and was controlled by both atmospheric and oceanic anomalies that weakened the ice shelf structure over time. The collapse was preceded by a transition from infrequent calving of large tabular-icebergs and localized flow acceleration to frequent calving of small-icebergs and ice-shelf-wide acceleration. The intermittent pulses of the calving sequence were triggered by failure of the northern shear margin, most likely due to ocean-driven weakening by incision of sub-ice-shelf channels, and were further controlled by the location of effective buttressing sources and preexisting crevasses. The limited observational data indicate a similar process for the Larsen A ice shelf. These calving events corresponded with warm anomalies associated with a La Nina / positive Southern Annular Mode teleconnection pattern. The results suggest that warm climate anomalies control the occurrence of calving, while the extent and speed of calving are governed by ice shelf geometry and mechanical conditions, in particular, the sturdiness of the weakest shear margin. Sudden widespread flow acceleration and frequent small-iceberg calving may serve as quantifiable precursors for ice shelf destabilization. (c) 2023 Elsevier B.V. All rights reserved.</t>
  </si>
  <si>
    <t>[Wang, Shujie; Huang, Zhengrui] Penn State Univ, Dept Geog, University Pk, PA 16802 USA; [Wang, Shujie; Alley, Richard B.] Penn State Univ, Earth &amp; Environm Syst Inst, University Pk, PA 16802 USA; [Liu, Hongxing] Univ Alabama, Dept Geog, Tuscaloosa, AL 35487 USA; [Alley, Richard B.] Penn State Univ, Dept Geosci, University Pk, PA 16802 USA; [Jezek, Kenneth] Ohio State Univ, Sch Earth Sci, Columbus, OH 43210 USA; [Alexander, Patrick] Columbia Univ, Lamont Doherty Earth Observ, Palisades, NY 10964 USA; [Alley, Karen E.] Univ Manitoba, Ctr Earth Observat Sci, Dept Environm &amp; Geog, Winnipeg, MB R3T 2M6, Canada; [Wang, Lei] Louisiana State Univ, Dept Geog &amp; Anthropol, Baton Rouge, LA 70803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</si>
  <si>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Alabama System; University of Alabama Tuscaloosa; Pennsylvania Commonwealth System of Higher Education (PCSHE); Pennsylvania State University; Pennsylvania State University - University Park; University System of Ohio; Ohio State University; Columbia University; University of Manitoba; Louisiana State University System; Louisiana State University</t>
  </si>
  <si>
    <t>Wang, SJ (corresponding author), Penn State Univ, Dept Geog, University Pk, PA 16802 USA.</t>
  </si>
  <si>
    <t>skw5660@psu.edu</t>
  </si>
  <si>
    <t>Alley, Karen E/0000-0003-0358-3806; Wang, Lei/0000-0003-1298-4839; Wang, Shujie/0000-0002-8055-0234; Huang, Zhengrui/0000-0001-9445-2435</t>
  </si>
  <si>
    <t>NASA Cryospheric Sciences Program [80NSSC22K0384]; National Science Foundation [2127329, NSF-NERC-OPP-1738934]; Heising-Simons Foundation [2018-0769]; Natural Sciences and Engineering Research Council of Canada [RGPIN-2021-02910]; Direct For Social, Behav &amp; Economic Scie; Division Of Behavioral and Cognitive Sci [2127329] Funding Source: National Science Foundation</t>
  </si>
  <si>
    <t>NASA Cryospheric Sciences Program(National Aeronautics &amp; Space Administration (NASA)); National Science Foundation(National Science Foundation (NSF)); Heising-Simons Foundation; Natural Sciences and Engineering Research Council of Canada(Natural Sciences and Engineering Research Council of Canada (NSERC)CGIAR); Direct For Social, Behav &amp; Economic Scie; Division Of Behavioral and Cognitive Sci(National Science Foundation (NSF)NSF - Directorate for Social, Behavioral &amp; Economic Sciences (SBE))</t>
  </si>
  <si>
    <t>The authors acknowledge the support from the NASA Cryospheric Sciences Program #80NSSC22K0384 (SW, RBA), National Science Foundation #2127329 (SW), NSF-NERC-OPP-1738934 (RBA), Heising-Simons Foundation 2018-0769 (RBA), and the Natural Sciences and Engineering Research Council of Canada #RGPIN-2021-02910 (KEA). The authors acknowledge the United States Geological Survey (USGS) for the Declassified Intelligence Satellite Photography and Landsat images, the Alaska Satellite Facility for the Radarsat-1 images, the European Space Agency for the ERS-1/2, Envisat, and Sentinel-1 SAR images, the National Snow and Ice Data Center for the Antarctic DEM data, the European Centre for Medium-Range Weather Forecasts (ECMWF) for the ORAS5 and ERA-5 reanalysis data, NCAR for SAM index data, NOAA/National Weather Service for ONI index data, and the Jet Propulsion Laboratory and University of California at Irvine for the Ice-sheet and Sea-level System Model (ISSM).</t>
  </si>
  <si>
    <t>0012-821X</t>
  </si>
  <si>
    <t>1385-013X</t>
  </si>
  <si>
    <t>EARTH PLANET SC LETT</t>
  </si>
  <si>
    <t>Earth Planet. Sci. Lett.</t>
  </si>
  <si>
    <t>10.1016/j.epsl.2023.118077</t>
  </si>
  <si>
    <t>A5UJ9</t>
  </si>
  <si>
    <t>WOS:000955766600001</t>
  </si>
  <si>
    <t>Teoh, CP; Yusof, NA; Budiman, C; Cheah, YK; Wong, CMVL</t>
  </si>
  <si>
    <t>Teoh, Chui Peng; Yusof, Nur Athirah; Budiman, Cahyo; Cheah, Yoke Kqueen; Wong, Clemente Michael Vui Ling</t>
  </si>
  <si>
    <t>Whole genome sequence data of an Antarctic bacterium, Arthrobacter sp. ES1 from the Schirmacher Oasis, East Antarctica</t>
  </si>
  <si>
    <t>DATA IN BRIEF</t>
  </si>
  <si>
    <t>Arthrobacter; Antarctica; Whole genome sequencing; Genome</t>
  </si>
  <si>
    <t>Arthrobacter is a coryneform bacterium in the family of Mi-crococcaceae. Arthrobacter species isolated from hostile en-vironments are capable of producing interesting bioactive compounds, some of which may be a new class of antibi-otics . Here, we present the complete genome sequence of Arthrobacter sp. ES1 isolated from Schirmacher Oasis in East Antarctica. Genomic DNA sequencing was performed using the Illumina MiSeq sequencer. Arthrobacter sp. ES1 has a genome size of 3,964,927 bp and a GC content of 65.73%. The raw genome sequences have been deposited in the NCBI Se-quence Read Archive database under the accession number, SRR20664316.(c) 2023 The Author(s). Published by Elsevier Inc. This is an open access article under the CC BY license ( http://creativecommons.org/licenses/by/4.0/ )</t>
  </si>
  <si>
    <t>[Teoh, Chui Peng; Yusof, Nur Athirah; Budiman, Cahyo; Wong, Clemente Michael Vui Ling] Univ Malaysia Sabah, Biotechnol Res Inst, Kota Kinabalu 88400, Sabah, Malaysia; [Cheah, Yoke Kqueen] Univ Putra Malaysia, Fac Med &amp; Hlth Sci, Dept Biomed Sci, Upm Serdang 43400, Selangor Darul, Malaysia</t>
  </si>
  <si>
    <t>Universiti Malaysia Sabah; Universiti Putra Malaysia</t>
  </si>
  <si>
    <t>Wong, CMVL (corresponding author), Univ Malaysia Sabah, Biotechnol Res Inst, Kota Kinabalu 88400, Sabah, Malaysia.</t>
  </si>
  <si>
    <t>michaelw@ums.edu.my</t>
  </si>
  <si>
    <t>Teoh, Chui Peng/AAM-9640-2021; Yusof, Nur Athirah/ABD-6881-2021</t>
  </si>
  <si>
    <t>Teoh, Chui Peng/0000-0003-1261-4600; Yusof, Nur Athirah/0000-0002-9298-7425</t>
  </si>
  <si>
    <t>Yayasan Penyelidikan Antartika Sultan Mizan (YPASM); Academy of Sciences, Malaysia</t>
  </si>
  <si>
    <t>The funding supports from the Yayasan Penyelidikan Antartika Sultan Mizan (YPASM) and the Academy of Sciences, Malaysia is gratefully acknowledged. We would like to thank the Academy of Sciences, Malaysia for arranging our trip to the Antarctic, and the National Centre for Antarctic and Ocean Research (NCAOR) , India for inviting Malaysians to join their scientific expedition.</t>
  </si>
  <si>
    <t>2352-3409</t>
  </si>
  <si>
    <t>DATA BRIEF</t>
  </si>
  <si>
    <t>Data Brief</t>
  </si>
  <si>
    <t>10.1016/j.dib.2023.109052</t>
  </si>
  <si>
    <t>A5FD5</t>
  </si>
  <si>
    <t>WOS:000955369800001</t>
  </si>
  <si>
    <t>Johnson, MD; Moeller, HV; Paight, C; Kellogg, RM; McIlvin, MR; Saito, MA; Lasek-Nesselquist, E</t>
  </si>
  <si>
    <t>Johnson, Matthew D.; Moeller, Holly, V; Paight, Christopher; Kellogg, Riss M.; McIlvin, Matthew R.; Saito, Mak A.; Lasek-Nesselquist, Erica</t>
  </si>
  <si>
    <t>Functional control and metabolic integration of stolen organelles in a photosynthetic ciliate</t>
  </si>
  <si>
    <t>MESODINIUM-RUBRUM; DATABASE; REPLACEMENT; GENERATION; RETENTION; ALIGNMENT; PLASTIDS; ORIGIN; GENES</t>
  </si>
  <si>
    <t>Stealing prey plastids for metabolic gain is a common phenomenon among protists within aquatic eco-systems.1 Ciliates of the Mesodinium rubrum species complex are unique in that they also steal a tran-scriptionally active but non-dividing prey nucleus, the kleptokaryon, from certain cryptophytes.2 The kleptokaryon enables full control and replication of kleptoplastids but has a half-life of about 10 days.2 Once the kleptokaryon is lost, the ciliate experiences a slow loss of photosynthetic meta-bolism and eventually death.2-4 This transient ability to function phototrophically allows M. rubrum to form productive blooms in coastal waters.5-8 Here, we show, using multi-omics approaches, that an Antarctic strain of the ciliate not only depends on stolen Geminigera cryophila organelles for photosyn-thesis but also for anabolic synthesis of fatty acids, amino acids, and other essential macromolecules. Transcription of diverse pathways was higher in the kleptokaryon than that in G. cryophila, and many increased in higher light. Proteins of major biosynthetic pathways were found in greater numbers in the kleptokaryon relative to M. rubrum, implying anabolic dependency on foreign metabolism. We show that despite losing transcriptional control of the kleptokaryon, M. rubrum regulates kleptoplastid pigments with changing light, implying an important role for post-transcriptional control. These findings demonstrate that the integration of foreign organelles and their gene and protein expression, energy metabolism, and anabolism occur in the absence of a stable endosymbiotic association. Our results shed light on potential events early in the process of complex plastid acquisition and broaden our understanding of symbiogenesis.</t>
  </si>
  <si>
    <t>[Johnson, Matthew D.] Woods Hole Oceanog Inst, Biol Dept, Woods Hole, MA 02543 USA; [Moeller, Holly, V; Paight, Christopher] Univ Calif Santa Barbara, Dept Ecol Evolut &amp; Marine Biol, Santa Barbara, CA 93106 USA; [Kellogg, Riss M.; McIlvin, Matthew R.; Saito, Mak A.] Woods Hole Oceanog Inst, Dept Marine Chem &amp; Geochem, Woods Hole, MA 02543 USA; [Lasek-Nesselquist, Erica] Wadsworth Ctr, New York State Dept Hlth NYSDOH, Albany, NY 12208 USA</t>
  </si>
  <si>
    <t>Woods Hole Oceanographic Institution; University of California System; University of California Santa Barbara; Woods Hole Oceanographic Institution; Wadsworth Center</t>
  </si>
  <si>
    <t>Johnson, MD (corresponding author), Woods Hole Oceanog Inst, Biol Dept, Woods Hole, MA 02543 USA.</t>
  </si>
  <si>
    <t>mattjohnson@whoi.edu</t>
  </si>
  <si>
    <t>Johnson, Matthew/B-4344-2012</t>
  </si>
  <si>
    <t>Johnson, Matthew/0000-0003-4853-2674; Kell, Riss M./0000-0003-4485-9610</t>
  </si>
  <si>
    <t>NSF IOS award [1354773]; NSF Postdoctoral Research Fellowship in Biology; U.S. Army Research Office [W911NF-19-D-0001]</t>
  </si>
  <si>
    <t>NSF IOS award; NSF Postdoctoral Research Fellowship in Biology(National Science Foundation (NSF)); U.S. Army Research Office</t>
  </si>
  <si>
    <t>M.D.J. and H.V.M. would like to thank David Beaudoin, and M.A.S. would like to thank Dawn Moran for their assistance in the lab. We thank Kelly Paglia andOliver Fiehn of the West Coast Metabolomics Center for their assistance with the metabolomic data. M.D.J. acknowledges the funding support of NSF IOS award 1354773. H.V.M. acknowledges funding from an NSF Postdoctoral Research Fellowship in Biology. Research was also sponsored by the U.S. Army Research Office and accomplished under contract W911NF-19-D-0001 for the Institute for Collaborative Biotechnologies.</t>
  </si>
  <si>
    <t>10.1016/j.cub.2023.01.027</t>
  </si>
  <si>
    <t>A6RA0</t>
  </si>
  <si>
    <t>WOS:000956361700001</t>
  </si>
  <si>
    <t>Cade, DE; Kahane-Rapport, SR; Gough, WT; Bierlich, KC; Linsky, JMJ; Calambokidis, J; Johnston, DW; Goldbogen, JA; Friedlaender, AS</t>
  </si>
  <si>
    <t>Cade, David E.; Kahane-Rapport, Shirel R.; Gough, William T.; Bierlich, K. C.; Linsky, Jacob M. J.; Calambokidis, John; Johnston, David W.; Goldbogen, Jeremy A.; Friedlaender, Ari S.</t>
  </si>
  <si>
    <t>Minke whale feeding rate limitations suggest constraints on the minimum body size for engulfment filtration feeding</t>
  </si>
  <si>
    <t>NATURE ECOLOGY &amp; EVOLUTION</t>
  </si>
  <si>
    <t>BALEEN WHALES; MASS; BALAENOPTERIDAE; PERFORMANCE; EFFICIENCY; KINEMATICS; DIVERSITY; MECHANICS; EVOLUTION; DRIVERS</t>
  </si>
  <si>
    <t>Bulk filter feeding has enabled gigantism throughout evolutionary history. The largest animals, extant rorqual whales, utilize intermittent engulfment filtration feeding (lunge feeding), which increases in efficiency with body size, enabling their gigantism. The smallest extant rorquals (7-10 m minke whales), however, still exhibit short-term foraging efficiencies several times greater than smaller non-filter-feeding cetaceans, raising the question of why smaller animals do not utilize this foraging modality. We collected 437 h of bio-logging data from 23 Antarctic minke whales (Balaenoptera bonaerensis) to test the relationship of feeding rates (lambda(f)) to body size. Here, we show that while ultra-high nighttime lambda(f) (mean +/- s.d.: 165 +/- 40 lunges h(-1); max: 236 lunges h(-1); mean depth: 28 +/- 46 m) were indistinguishable from predictions from observations of larger species, daytime lambda(f) (mean depth: 72 +/- 72 m) were only 25-40% of predicted rates. Both lambda(f) were near the maxima allowed by calculated biomechanical, physiological and environmental constraints, but these temporal constraints meant that maximum lambda(f) was below the expected lambda(f) for animals smaller than similar to 5 m-the length of weaned minke whales. Our findings suggest that minimum size for specific filter-feeding body plans may relate broadly to temporal restrictions on filtration rate and have implications for the evolution of filter feeding. Theoretical models of foraging efficiency suggest that lunge-filter-feeding marine vertebrates could be as small as 10 kg. However, here the authors show with bio-logged data from filter-feeding minke whales that in practice there are minimum body-size constraints on filter feeders, below which this becomes an unviable feeding strategy.</t>
  </si>
  <si>
    <t>[Cade, David E.; Linsky, Jacob M. J.; Friedlaender, Ari S.] Univ Calif Santa Cruz, Inst Marine Sci, Santa Cruz, CA 95064 USA; [Cade, David E.; Kahane-Rapport, Shirel R.; Gough, William T.; Goldbogen, Jeremy A.] Stanford Univ, Hopkins Marine Stn, Pacific Grove, CA 94305 USA; [Bierlich, K. C.; Johnston, David W.] Duke Univ, Nicholas Sch Environm, Div Marine Sci &amp; Conservat, Beaufort, NC USA; [Bierlich, K. C.] Oregon State Univ, Marine Mammal Inst, Hatfield Marine Sci Ctr, Newport, OR USA; [Linsky, Jacob M. J.] Univ Queensland, Sch Biol Sci, Brisbane, Qld, Australia; [Calambokidis, John] Cascadia Res Collect, Olympia, WA USA</t>
  </si>
  <si>
    <t>University of California System; University of California Santa Cruz; Stanford University; Duke University; Oregon State University; University of Queensland</t>
  </si>
  <si>
    <t>Cade, DE (corresponding author), Univ Calif Santa Cruz, Inst Marine Sci, Santa Cruz, CA 95064 USA.;Cade, DE (corresponding author), Stanford Univ, Hopkins Marine Stn, Pacific Grove, CA 94305 USA.</t>
  </si>
  <si>
    <t>davecade@stanford.edu</t>
  </si>
  <si>
    <t>Linsky, Jacob/JXN-2072-2024</t>
  </si>
  <si>
    <t>Linsky, Jacob/0000-0002-2851-8835; Johnston, David/0000-0003-2424-036X; Bierlich, KC/0000-0001-9724-6055; Kahane-Rapport, Shirel/0000-0002-5208-1100; Goldbogen, Jeremy/0000-0002-4170-7294; Cade, David/0000-0003-3641-1242</t>
  </si>
  <si>
    <t>NSF OPP [1643877]; ONR YIP [N000141612477]; Stanford University's Terman Fellowship; Directorate For Geosciences; Office of Polar Programs (OPP) [1643877] Funding Source: National Science Foundation</t>
  </si>
  <si>
    <t>NSF OPP(National Science Foundation (NSF)NSF - Directorate for Geosciences (GEO)); ONR YIP(Office of Naval Research); Stanford University's Terman Fellowship; Directorate For Geosciences; Office of Polar Programs (OPP)(National Science Foundation (NSF)NSF - Directorate for Geosciences (GEO))</t>
  </si>
  <si>
    <t>This work was primarily funded with NSF OPP grant no. 1643877, with additional funding from ONR YIP grant no. N000141612477 and Stanford University's Terman Fellowship. This work was authorized under NMFS permits 16111 and 23095 and ACA permit 2020-016. We wish to thank J. Dale, C. Taylor, E. Levy and P. Gray for their contributions to data collection. A special thanks is also extended to the scientists and crew of the Lawrence M Gould, especially E. Hutt and the marine techs.</t>
  </si>
  <si>
    <t>2397-334X</t>
  </si>
  <si>
    <t>NAT ECOL EVOL</t>
  </si>
  <si>
    <t>Nat. Ecol. Evol.</t>
  </si>
  <si>
    <t>10.1038/s41559-023-01993-2</t>
  </si>
  <si>
    <t>D0IU4</t>
  </si>
  <si>
    <t>WOS:000949909100002</t>
  </si>
  <si>
    <t>Amin, M; Odeyemi, OA; Dewi, FR; Burke, CM</t>
  </si>
  <si>
    <t>Amin, Muhamad; Odeyemi, Olumide A.; Dewi, Fera R.; Burke, Christopher M.</t>
  </si>
  <si>
    <t>Bacteriocin-like inhibitory substance (BLIS) produced by Enterococcus faecium MA115 and its potential use as a seafood biopreservative</t>
  </si>
  <si>
    <t>OPEN AGRICULTURE</t>
  </si>
  <si>
    <t>BLIS; biopreservative; LAB; food safety; salmon filet</t>
  </si>
  <si>
    <t>LISTERIA-MONOCYTOGENES; SAKACIN-P; BIO-CONTROL; NISIN; GROWTH; SALMON; MILK; RESISTANCE; MICROBIOTA; AGENTS</t>
  </si>
  <si>
    <t>Introduction: Listeria monocytogenes is an opportunistic foodborne pathogen that can cause death to infected humans. The bacterial pathogen was frequently associated with food-borne origins including seafood. Thus, the present study aimed at screening anti-listeria-producing lactic acid bacteria (AL-LAB) isolated from the intestinal tracts of wild gilt-head seabream (Sparus aurata).Materials and Methods: Lactic acid bacteria (LAB) were isolated from the intestinal tracts of 15 wild gilt-head seabreams and screened for antimicrobial activity against Listeria monocytogenes. LAB isolated with the strongest anti-listerial activity was identified and further characterized for its anti-listerial compounds, followed by testing its protecting capacity on experimentally contaminated salmon fillets.Results: Three out of 52 LAB showed antagonistic activities against the foodborne pathogen. Of these 3, an isolate with the strongest inhibitory activity was obtained from strain MA115 (&gt; 400 AU). Based on its 16S rDNA sequence, strain MA115 had 99% similarity to Enterococcus faecium (Acc. Nb: MG461637.1). Further in vitro assays showed that the anti-listerial compound was very sensitive to proteinase K which suggested that it is a bacteriocin-like inhibitory substance (BLIS). In addition, the BLIS was resistant to a wide range of pH (2-10), and low (4 to -20?) as well as high temperatures (30-121?). In addition, the BLIS showed bactericidal activity on L. monocytogenes in artificially contaminated Salmon fillets stored at 0?.Conclusion: The BLIS produced by Enterococcus faecium strain MA115 has the potential for application to improve food safety, although further studies are still required to specifically identify the BLIS, for biopreservation purposes.</t>
  </si>
  <si>
    <t>[Amin, Muhamad] Univ Airlangga, Dept Aquaculture, Fac Fisheries &amp; Marine, Campus C,Jl Mulyorejo, Surabaya 60115, East Java, Indonesia; [Odeyemi, Olumide A.] Univ Tasmania, Res Div, Launceston, Tas, Australia; [Odeyemi, Olumide A.] Univ Birmingham, HeTA Food Res Ctr Excellence, Sch Chem Engn, Birmingham, England; [Dewi, Fera R.] Natl Res &amp; Innovat Agcy, Res Ctr Appl Microbiol, Cibinong 16911, Indonesia; [Burke, Christopher M.] Univ Tasmania, Inst Marine &amp; Antarctic Studies, Launceston, Tas 7250, Australia</t>
  </si>
  <si>
    <t>Airlangga University; University of Tasmania; University of Birmingham; University of Tasmania</t>
  </si>
  <si>
    <t>Amin, M (corresponding author), Univ Airlangga, Dept Aquaculture, Fac Fisheries &amp; Marine, Campus C,Jl Mulyorejo, Surabaya 60115, East Java, Indonesia.</t>
  </si>
  <si>
    <t>muhamad.amin@fpk.unair.ac.id</t>
  </si>
  <si>
    <t>Odeyemi, Olumide A/F-4373-2015; Amin, muhamad/IQU-3321-2023</t>
  </si>
  <si>
    <t>Amin, muhamad/0000-0002-7633-8388</t>
  </si>
  <si>
    <t>Institute for Marine and Antarctic Studies (IMAS), University of Tasmania, Australia; Universitas Airlangga, Indonesia</t>
  </si>
  <si>
    <t>This research was funded by the Institute for Marine and Antarctic Studies (IMAS), University of Tasmania, Australia, and supported by Universitas Airlangga, Indonesia.</t>
  </si>
  <si>
    <t>DE GRUYTER POLAND SP Z O O</t>
  </si>
  <si>
    <t>WARSAW</t>
  </si>
  <si>
    <t>BOGUMILA ZUGA 32A STR, 01-811 WARSAW, MAZOVIA, POLAND</t>
  </si>
  <si>
    <t>2391-9531</t>
  </si>
  <si>
    <t>OPEN AGRIC</t>
  </si>
  <si>
    <t>Open Agric.</t>
  </si>
  <si>
    <t>10.1515/opag-2022-0170</t>
  </si>
  <si>
    <t>Agriculture, Multidisciplinary</t>
  </si>
  <si>
    <t>9Y2XH</t>
  </si>
  <si>
    <t>WOS:000950323100001</t>
  </si>
  <si>
    <t>Du, X; Xu, BB; Wen, YQ; Xue, CH; Jiang, XM; Bi, SJ</t>
  </si>
  <si>
    <t>Du, Xin; Xu, Beibei; Wen, Yunqi; Xue, Changhu; Jiang, Xiaoming; Bi, Shijie</t>
  </si>
  <si>
    <t>Nutritional Metabolism of Antarctic Krill Product Protein in Rats</t>
  </si>
  <si>
    <t>Antarctic krill product; protein; digestion and absorption characteristics; rats metabolic test</t>
  </si>
  <si>
    <t>AMINO-ACID; BODY; DIGESTIBILITY; QUALITY</t>
  </si>
  <si>
    <t>This work conducted a four-week metabolism test on rats to study the digestion and absorption characteristics of five protein-based krill products prepared from Antarctic krill as raw material. It aimed to provide theoretical support for the effective use of Antarctic krill protein and the development of novel protein resources. The results showed that the weight gain and true digestibility of the rats fed with krill meat, surimi and ordinary krill powder were significantly higher (P &lt;0.05) than those of the rats fed with traditional casein. Compared to casein, proteins from the five Antarctic krill products were found to significantly improve the net protein utilization (P &lt; 0.05), and reduce the total cholesterol and triglycerides in the serum of rats (P &lt;0.05). In summary, the Antarctic krill protein-based products with high nutritional values can be used as a potential novel protein resource in the food industry.</t>
  </si>
  <si>
    <t>[Du, Xin; Wen, Yunqi; Xue, Changhu; Jiang, Xiaoming] Ocean Univ China, Coll Food Sci &amp; Engn, Qingdao 266003, Peoples R China; [Du, Xin; Xue, Changhu; Jiang, Xiaoming] Pilot Natl Lab Marine Sci &amp; Technol, Qingdao 266000, Peoples R China; [Xu, Beibei] Natl Vegetable Qual Stand Ctr, Shouguang 262700, Peoples R China; [Xue, Changhu; Jiang, Xiaoming] Qingdao Inst Marine Bioresources Nutr &amp; Hlth Innov, Qingdao 266000, Peoples R China; [Bi, Shijie] Hebei Agr Univ, Coll Food Sci &amp; Technol, Baoding 071000, Peoples R China</t>
  </si>
  <si>
    <t>Ocean University of China; Laoshan Laboratory; Hebei Agricultural University</t>
  </si>
  <si>
    <t>Jiang, XM (corresponding author), Ocean Univ China, Coll Food Sci &amp; Engn, Qingdao 266003, Peoples R China.;Jiang, XM (corresponding author), Pilot Natl Lab Marine Sci &amp; Technol, Qingdao 266000, Peoples R China.;Jiang, XM (corresponding author), Qingdao Inst Marine Bioresources Nutr &amp; Hlth Innov, Qingdao 266000, Peoples R China.</t>
  </si>
  <si>
    <t>jxm@ouc.edu.cn</t>
  </si>
  <si>
    <t>Xu, Beibei/IQT-2456-2023; Jiang, Xiaoming/AES-5733-2022</t>
  </si>
  <si>
    <t>Jiang, Xiaoming/0000-0002-1444-6121</t>
  </si>
  <si>
    <t>Marine S&amp;T Fund of Shandong Province for Pilot National Laboratory for Marine Science and Technology (Qingdao) [2022 QNLM030002]; National Key R&amp;D Program of China Formation Mechanism of Antarctic Krill Fishery and Key Technologies for Efficient Utilization of Resources': Antarctic Krill High Value Product Creation and Industrialization Demonstration [2018YFC1406806]; Technology Innovation Project of Qingdao Marine Science and Technology Pilot National Laboratory, Shandong Provincial Marine Science, the Technology Fund Major Dark Blue Fishery' 4-2: Construction of Antarctic Krill Processing Technology Process System [2018SDKJ0304-2]</t>
  </si>
  <si>
    <t>Marine S&amp;T Fund of Shandong Province for Pilot National Laboratory for Marine Science and Technology (Qingdao); National Key R&amp;D Program of China Formation Mechanism of Antarctic Krill Fishery and Key Technologies for Efficient Utilization of Resources': Antarctic Krill High Value Product Creation and Industrialization Demonstration; Technology Innovation Project of Qingdao Marine Science and Technology Pilot National Laboratory, Shandong Provincial Marine Science, the Technology Fund Major Dark Blue Fishery' 4-2: Construction of Antarctic Krill Processing Technology Process System</t>
  </si>
  <si>
    <t>This work was financially supported by the Marine S&amp;T Fund of Shandong Province for Pilot National Laboratory for Marine Science and Technology (Qingdao) (No. 2022 QNLM030002), the National Key R&amp;D Program of China Formation Mechanism of Antarctic Krill Fishery and Key Technologies for Efficient Utilization of Resources': Antarctic Krill High Value Product Creation and Industrialization Demonstration (No. 2018YFC1406806), and the Technology Innovation Project of Qingdao Marine Science and Technology Pilot National Laboratory, Shandong Provincial Marine Science, the Technology Fund Major Dark Blue Fishery' 4-2: Construction of Antarctic Krill Processing Technology Process System (No. 2018SDKJ0304-2).</t>
  </si>
  <si>
    <t>10.1007/s11802-023-5297-y</t>
  </si>
  <si>
    <t>G0VD5</t>
  </si>
  <si>
    <t>WOS:000948760900002</t>
  </si>
  <si>
    <t>Calvanese, M; Balestra, C; Colarusso, A; Lauro, C; Riccardi, C; Fondi, M; Parrilli, E; Tutino, ML</t>
  </si>
  <si>
    <t>Calvanese, Marzia; Balestra, Cecilia; Colarusso, Andrea; Lauro, Concetta; Riccardi, Christopher; Fondi, Marco; Parrilli, Ermenegilda; Tutino, Maria Luisa</t>
  </si>
  <si>
    <t>Development of high-copy number plasmids in Pseudoalteromonas haloplanktis TAC125</t>
  </si>
  <si>
    <t>APPLIED MICROBIOLOGY AND BIOTECHNOLOGY</t>
  </si>
  <si>
    <t>High-copy plasmid; Pseudoalteromonas haloplanktis TAC125; Recombinant protein production; Cold-adapted bacteria</t>
  </si>
  <si>
    <t>BACTERIUM; EXPRESSION; PROTEINS; COLD; STABILITY; REVEALS; SYSTEM; GENOME</t>
  </si>
  <si>
    <t>The Antarctic bacterium Pseudoalteromonas haloplanktis TAC125 (PhTAC125) is considered an interesting alternative host for the recombinant protein production, that can be explored when the conventional bacterial expression systems fail. Indeed, the manufacture of all the difficult-to-express proteins produced so far in this bacterial platform gave back soluble and active products. Despite these promising results, the low yield of recombinant protein production achieved is hampering the wider and industrial exploitation of this psychrophilic cell factory. All the expression plasmids developed so far in PhTAC125 are based on the origin of replication of the endogenous pMtBL plasmid and are maintained at a very low copy number. In this work, we set up an experimental strategy to select mutated OriR sequences endowed with the ability to establish recombinant plasmids at higher multiplicity per cell. The solution to this major production bottleneck was achieved by the construction of a library of psychrophilic vectors, each containing a randomly mutated version of pMtBL OriR, and its screening by fluorescence-activated cell sorting (FACS). The selected clones allowed the identification of mutated OriR sequences effective in enhancing the plasmid copy number of approximately two orders of magnitude, and the production of the recombinant green fluorescent protein was increased up to twenty times approximately. Moreover, the molecular characterization of the different mutant OriR sequences allowed us to suggest some preliminary clues on the pMtBL replication mechanism that deserve to be further investigated in the future. Key points center dot Setup of an electroporation procedure for Pseudoalteromonas haloplanktis TAC125. center dot Two order of magnitude improvement of OriR-derived psychrophilic expression systems. center dot Almost twenty times enhancement in Green fluorescent protein production.</t>
  </si>
  <si>
    <t>[Calvanese, Marzia; Colarusso, Andrea; Lauro, Concetta; Parrilli, Ermenegilda; Tutino, Maria Luisa] Federico II Univ Naples, Complesso Univ Monte S Angelo, Dept Chem Sci, Via Cintia, I-80126 Naples, Italy; [Balestra, Cecilia] Ist Nazl Oceanog &amp; Geofis Sperimentale, Oceanog Div OGS, Trieste, Italy; [Colarusso, Andrea; Lauro, Concetta] Ist Nazl Biostrutture &amp; Biosistemi INBB, Viale Medaglie Oro 305, I-00136 Rome, Italy; [Riccardi, Christopher; Fondi, Marco] Dept Biol, Via Madonna Piano 6, I-50018 Florence, Italy</t>
  </si>
  <si>
    <t>Istituto Nazionale di Oceanografia e di Geofisica Sperimentale</t>
  </si>
  <si>
    <t>Tutino, ML (corresponding author), Federico II Univ Naples, Complesso Univ Monte S Angelo, Dept Chem Sci, Via Cintia, I-80126 Naples, Italy.</t>
  </si>
  <si>
    <t>tutino@unina.it</t>
  </si>
  <si>
    <t>TUTINO, MARIA LUISA/L-1834-2013; parrilli, ermenegilda/K-4616-2016</t>
  </si>
  <si>
    <t>Balestra, Cecilia/0000-0003-4433-4793; parrilli, ermenegilda/0000-0002-9002-5409; Lauro, Concetta/0000-0003-0139-5166; Calvanese, Marzia/0000-0002-7554-0680; Riccardi, Christopher/0000-0002-5310-6437; Tutino, Maria Luisa/0000-0002-4978-6839</t>
  </si>
  <si>
    <t>Universita degli Studi di Napoli Federico II; Italian Programma Nazionale di Ricerca in Antartide [PNRA18_00335]; Italian Parents' Association La fabbrica dei sogni 2-New developments for Rett syndrome APS</t>
  </si>
  <si>
    <t>Universita degli Studi di Napoli Federico II; Italian Programma Nazionale di Ricerca in Antartide; Italian Parents' Association La fabbrica dei sogni 2-New developments for Rett syndrome APS</t>
  </si>
  <si>
    <t>Open access funding provided by Universita degli Studi di Napoli Federico II within the CRUI-CARE Agreement. This research was partially funded by the Italian Programma Nazionale di Ricerca in Antartide (PNRA project number PNRA18_00335) and by the Italian Parents' Association La fabbrica dei sogni 2-New developments for Rett syndrome APS.</t>
  </si>
  <si>
    <t>0175-7598</t>
  </si>
  <si>
    <t>1432-0614</t>
  </si>
  <si>
    <t>APPL MICROBIOL BIOT</t>
  </si>
  <si>
    <t>Appl. Microbiol. Biotechnol.</t>
  </si>
  <si>
    <t>7-8</t>
  </si>
  <si>
    <t>10.1007/s00253-023-12448-w</t>
  </si>
  <si>
    <t>9Z6UD</t>
  </si>
  <si>
    <t>WOS:000948820600001</t>
  </si>
  <si>
    <t>Lee, SK; Lumpkin, R; Gomez, F; Yeager, S; Lopez, H; Takglis, F; Dong, SF; Aguiar, W; Kim, D; Baringer, M</t>
  </si>
  <si>
    <t>Lee, Sang-Ki; Lumpkin, Rick; Gomez, Fabian; Yeager, Stephen; Lopez, Hosmay; Takglis, Filippos; Dong, Shenfu; Aguiar, Wilton; Kim, Dongmin; Baringer, Molly</t>
  </si>
  <si>
    <t>Human-induced changes in the global meridional overturning circulation are emerging from the Southern Ocean</t>
  </si>
  <si>
    <t>ANTARCTIC BOTTOM WATER; SEA-LEVEL RISE; CIRCUMPOLAR CURRENT; ATLANTIC-OCEAN; ROSS SEA; HEAT; ICE; IMPACT; TRENDS; OZONE</t>
  </si>
  <si>
    <t>Anthropogenically-induced changes in the global meridional overturning circulation since the 1950s have led the upper overturning cell in the Southern Ocean to expand and strengthen while the lower cell has contracted and weakened, according to diagnostic model simulations. In a warming climate, the Global Meridional Overturning Circulation (GMOC) is expected to change significantly with a risk of disrupting the global redistribution of ocean properties that sustains marine ecosystems, carbon cycle, and others. Here we make a novel attempt to utilize a diagnostic ocean &amp; sea-ice model to estimate the GMOC and its interdecadal changes since the mid-1950s that are consistent with historical hydrographic observations. We find that significant changes in the GMOC have already occurred, most notably in the upper and lower overturning cells in the Southern Ocean. The former has expanded poleward and into denser water and strengthened by 3-4 Sv since the mid-1970s, while the latter has contracted and weakened by a similar rate during the same period. These changes are driven by the increasing Southern Hemisphere (SH) Ferrel cell and associated increases in the westerlies and the surface buoyancy loss over its sinking branch, and the increasing Antarctic meltwater discharge, in response to ozone depletion in the SH stratosphere and increasing atmospheric CO2. A large-scale readjustment of the GMOC seems to be underway in the South Atlantic and Indo-Pacific Oceans since the mid-2000s in response to the Southern Ocean changes.</t>
  </si>
  <si>
    <t>[Lee, Sang-Ki; Lumpkin, Rick; Gomez, Fabian; Lopez, Hosmay; Takglis, Filippos; Dong, Shenfu; Aguiar, Wilton; Kim, Dongmin; Baringer, Molly] NOAA, Atlantic Oceanog &amp; Meteorol Lab, Miami, FL 33149 USA; [Gomez, Fabian] Mississippi State Univ, Northern Gulf Inst, Mississippi State, MS USA; [Yeager, Stephen] Natl Ctr Atmospher Res, Boulder, CO USA; [Takglis, Filippos; Aguiar, Wilton; Kim, Dongmin] Univ Miami, Cooperat Inst Marine &amp; Atmospher Studies, Miami, FL USA</t>
  </si>
  <si>
    <t>National Oceanic Atmospheric Admin (NOAA) - USA; Atlantic Oceanographic &amp; Meteorological Laboratory (AOML); Mississippi State University; National Center Atmospheric Research (NCAR) - USA; University of Miami</t>
  </si>
  <si>
    <t>Lee, SK (corresponding author), NOAA, Atlantic Oceanog &amp; Meteorol Lab, Miami, FL 33149 USA.</t>
  </si>
  <si>
    <t>Sang-Ki.Lee@noaa.gov</t>
  </si>
  <si>
    <t>Dong, Shenfu/I-4435-2013; Gomez, Fabian Andres/L-2631-2018; Lumpkin, Rick/C-9615-2009; Lopez, Hosmay/M-3278-2015; Lee, Sang-Ki/A-5703-2011; Kim, Dongmin/Z-5286-2019; Baringer, Molly O/D-2277-2012</t>
  </si>
  <si>
    <t>Dong, Shenfu/0000-0001-8247-8072; Gomez, Fabian Andres/0000-0002-2335-478X; Lumpkin, Rick/0000-0002-6690-1704; Lopez, Hosmay/0000-0002-8422-8699; Lee, Sang-Ki/0000-0002-4047-3545; Kim, Dongmin/0000-0002-1465-2945; Aguiar, Wilton/0000-0003-2453-9791</t>
  </si>
  <si>
    <t>NOAA's Atlantic Oceanographic and Meteorological Laboratory (AOML); NOAA's Climate Program Office's Modeling, Analysis, Predictions, and Projections program; Regional and Global Model Analysis (RGMA) component of the Earth and Environmental System Modeling Program of the U.S. Department of Energy's Office of Biological &amp; Environmental Research (BER) [DE-SC0022070]; National Center for Atmospheric Research - National Science Foundation (NSF); NOAA's AOML under the Cooperative Institute for Marine and Atmospheric Studies (CIMAS), a cooperative institute of the University of Miami and NOAA; [1852977]; [NA20OAR4320472]</t>
  </si>
  <si>
    <t>NOAA's Atlantic Oceanographic and Meteorological Laboratory (AOML)(National Oceanic Atmospheric Admin (NOAA) - USA); NOAA's Climate Program Office's Modeling, Analysis, Predictions, and Projections program; Regional and Global Model Analysis (RGMA) component of the Earth and Environmental System Modeling Program of the U.S. Department of Energy's Office of Biological &amp; Environmental Research (BER); National Center for Atmospheric Research - National Science Foundation (NSF); NOAA's AOML under the Cooperative Institute for Marine and Atmospheric Studies (CIMAS), a cooperative institute of the University of Miami and NOAA; ;</t>
  </si>
  <si>
    <t>The authors acknowledge Denis Volkov for helpful discussions and comments, and Franz Philip Tuchen for reviewing the manuscript. This work was supported by the base funding of NOAA's Atlantic Oceanographic and Meteorological Laboratory (AOML), and by NOAA's Climate Program Office's Modeling, Analysis, Predictions, and Projections program. S.Y. acknowledges support from the Regional and Global Model Analysis (RGMA) component of the Earth and Environmental System Modeling Program of the U.S. Department of Energy's Office of Biological &amp; Environmental Research (BER) under Award Number DE-SC0022070, and from the National Center for Atmospheric Research, which is a major facility sponsored by the National Science Foundation (NSF) under Cooperative Agreement No. 1852977. F.T., W.A., and D.K. were supported by NOAA's AOML in part under the auspices of the Cooperative Institute for Marine and Atmospheric Studies (CIMAS), a cooperative institute of the University of Miami and NOAA, cooperative agreement NA20OAR4320472.</t>
  </si>
  <si>
    <t>10.1038/s43247-023-00727-3</t>
  </si>
  <si>
    <t>9W0NK</t>
  </si>
  <si>
    <t>WOS:000948778800002</t>
  </si>
  <si>
    <t>Neukermans, G; Bach, LT; Butterley, A; Sun, Q; Claustre, H; Fournier, GR</t>
  </si>
  <si>
    <t>Neukermans, G.; Bach, L. T.; Butterley, A.; Sun, Q.; Claustre, H.; Fournier, G. R.</t>
  </si>
  <si>
    <t>Quantitative and mechanistic understanding of the open ocean carbonate pump- perspectives for remote sensing and autonomous in situ observation</t>
  </si>
  <si>
    <t>EARTH-SCIENCE REVIEWS</t>
  </si>
  <si>
    <t>Ocean carbon cycle; Biological carbon pump; Carbonate pump; Alkalinity pump; Planktonic calcification; Calcium carbonate flux; Autonomous observations; Ocean colour remote sensing</t>
  </si>
  <si>
    <t>PARTICULATE ORGANIC-CARBON; COCCOLITHOPHORE EXPORT PRODUCTION; NORTH-ATLANTIC OCEAN; NET COMMUNITY PRODUCTION; SEDIMENT TRAPS; OPTICAL-PROPERTIES; EMILIANIA-HUXLEYI; PLANKTONIC-FORAMINIFERA; CALCIUM-CARBONATE; CALCIFICATION RATES</t>
  </si>
  <si>
    <t>The open ocean carbonate pump represents the production and downward flux of particulate inorganic carbon (PIC) in the form of calcium carbonate synthesized by calcifying plankton. This pump operates alongside the organic carbon pump, which concerns the production and downward flux of organic carbon, mostly in the form of particles (POC). While the organic carbon pump draws down atmospheric carbon dioxide, the carbonate pump causes an increase in surface ocean carbon dioxide (CO2), thereby counteracting the organic carbon pump. However, PIC produced by the carbonate pump is of high-density and has been hypothesized to enhance the downward flux of organic carbon, increasing the efficiency of the organic carbon pump. Here, we review our current quantitative and mechanistic understanding of the contemporary open ocean carbonate pump, its counter- and ballast effects. We first examine the relative contributions of the various calcifying plankton groups (coccolithophores, foraminifera, and pteropods) to PIC production and flux based on a global compilation of PIC flux observations. Next, we compare spatial patterns in calcification rates from remote sensing with observations of PIC flux at depth obtained from sediment traps and radiochemical tracers. We then review estimates of the counter effect of the carbonate pump on the partial pressure of CO2, pCO2, in surface waters based on remote sensing studies and estimates of the rain ratio of exported carbon and the amount of CO2 released per PIC precipitated, psi. Next, we review our understanding of the PIC ballast effect and implementations in biogeochemical models. Lastly, we discuss observations of the organic carbon pump with autonomous BioGeoChemicalArgo (BGC-Argo) profiling floats and perspectives for extending observations to the carbonate pump.</t>
  </si>
  <si>
    <t>[Neukermans, G.] Univ Ghent, Biol Dept, MarSens Res Grp, Krijgslaan 281-S8, B-9000 Ghent, Belgium; [Bach, L. T.; Butterley, A.; Sun, Q.] Univ Tasmania, Inst Marine &amp; Antarctic Studies, Hobart, Tas 7004, Australia; [Claustre, H.] Sorbonne Univ, CNRS, Lab Oceanog Villefranche, F-06230 Villefranche Sur Mer, France; [Fournier, G. R.] DRDC Valcartier Res Lab, Quebec City, PQ G3J1X5, Canada; [Sun, Q.] Univ Ghent, ELIS Dept, Liquid Crystals &amp; Photon Grp, Technol Pk Zwijnaarde 15, B-9052 Ghent, Belgium; [Neukermans, G.] Flanders Marine Inst VLIZ, InnovOcean Campus,Jacobsenstr 1, B-8400 Oostende, Belgium</t>
  </si>
  <si>
    <t>Ghent University; University of Tasmania; Centre National de la Recherche Scientifique (CNRS); Sorbonne Universite; Ghent University</t>
  </si>
  <si>
    <t>Neukermans, G (corresponding author), Univ Ghent, Biol Dept, MarSens Res Grp, Krijgslaan 281-S8, B-9000 Ghent, Belgium.;Neukermans, G (corresponding author), Flanders Marine Inst VLIZ, InnovOcean Campus,Jacobsenstr 1, B-8400 Oostende, Belgium.</t>
  </si>
  <si>
    <t>griet.neukermans@ugent.be</t>
  </si>
  <si>
    <t>sun, qiming/V-6268-2019</t>
  </si>
  <si>
    <t>sun, qiming/0000-0002-8895-5703; Bach, Lennart/0000-0003-0202-3671; Sun, Qiming/0000-0001-6132-5093</t>
  </si>
  <si>
    <t>European Research Council (ERC) under the European Union [853516]; UGent's Industrial Research Fund [F2020/IOF-StarTT/088]; Special Research Fund [BOF/STA/202002/011]; European Research Council (ERC) [853516] Funding Source: European Research Council (ERC)</t>
  </si>
  <si>
    <t>European Research Council (ERC) under the European Union(European Research Council (ERC)); UGent's Industrial Research Fund; Special Research Fund; European Research Council (ERC)(European Research Council (ERC)Spanish Government)</t>
  </si>
  <si>
    <t>Catherine Mitchell and Barney Balch are kindly thanked to provide satellite data of calcification rates. We thank NASA Goddard Space Flight Center, Ocean Ecology Laboratory, Ocean Biology Processing Group for Ocean Color Data from the SeaWiFS and MODIS Aqua satellite missions. This review paper is part of a project that has received funding from the European Research Council (ERC) under the European Union's Horizon 2020 research and innovation programme (Grant agreement No. 853516 CarbOcean). The technological development of a cross-polarized transmissometer has also received funding from UGent's Industrial Research Fund (F2020/IOF-StarTT/088) and Special Research Fund (BOF/STA/202002/011).</t>
  </si>
  <si>
    <t>0012-8252</t>
  </si>
  <si>
    <t>1872-6828</t>
  </si>
  <si>
    <t>EARTH-SCI REV</t>
  </si>
  <si>
    <t>Earth-Sci. Rev.</t>
  </si>
  <si>
    <t>10.1016/j.earscirev.2023.104359</t>
  </si>
  <si>
    <t>H4BZ3</t>
  </si>
  <si>
    <t>WOS:000995447600001</t>
  </si>
  <si>
    <t>Loza, CM; Carlini, AA; Zarza, R; Krmpotic, CM; Galliari, FC; Andrés-Laube, F; Scarano, AC; Parada-Gandarilla, V; Negrete, J; Loureiro, JP; Barbeito, CG</t>
  </si>
  <si>
    <t>Loza, Cleopatra Mara; Carlini, Alfredo Armando; Zarza, Renata; Krmpotic, Cecilia Mariana; Galliari, Fernando Carlos; Andres-Laube, Fernando; Scarano, Alejo Carlos; Parada-Gandarilla, Vania; Negrete, Javier; Loureiro, Juan Pablo; Barbeito, Claudio Gustavo</t>
  </si>
  <si>
    <t>Description and distribution of the mechanical papillae of the lingual surface of Antarctic seals species (Phocidae: Carnivora) and their relationship with diet and dental morphology</t>
  </si>
  <si>
    <t>Tongue; Mechanical papillae; Austral pinnipeds; Diet</t>
  </si>
  <si>
    <t>SCANNING-ELECTRON-MICROSCOPY; LEPTONYCHOTES-WEDDELLII; OMMATOPHOCA-ROSSII; DORSAL SURFACE; LEOPARD SEALS; TONGUE; XENARTHRA; MAMMALIA; BIOLOGY; LIGHT</t>
  </si>
  <si>
    <t>The tongue is a solid muscular organ belonging to the first portion of the digestive system. Its dorsal surface is characterized by the presence of mechanical papillae and taste buds. Mechanical papillae have been classified according to their morphology (i.e., filiform, conical, lenticular and marginal), and its type, shape, relative quantity and distribution have been linked to different eating habits. In this contribution, we analyze the dorsal surface of the southern Antarctic seals' tongues Mirounga leonina, Leptonychotes weddellii, Lobodon carcinophaga and Hydrurga leptonyx. We evaluate the distribution, quantity, morphology, and density of mechanical lingual papillae in the context of eating habits preferences of each species, and food items included in their diet. The complexity in the topography of the lingual surfaces correlates with the complexity of the crowns of the postcanine teeth. In M. leonina, the lingual surface is smooth, with small crowns without cusps; L. weddellii has some papillae on the body and some postcanines with small cusps; H. leptonyx has a large number of papillae, and the crowns are complex with several cusps; and L. carcinophaga has the greatest abundance and distribution of filiform papillae and the maximum development in complexity of the postcanine crowns. Finally, we show our results in relation to the phylogenetic groupings resulting from analyzing the evolution of prey capture techniques in pinnipedimorphs and the dental morphology, and conclude that our results match with that proposed phylogeny.</t>
  </si>
  <si>
    <t>[Loza, Cleopatra Mara; Carlini, Alfredo Armando; Zarza, Renata; Krmpotic, Cecilia Mariana; Galliari, Fernando Carlos; Parada-Gandarilla, Vania] Univ Nacl La Plata, Fac Ciencias Nat &amp; Museo, Lab Morfol Evolut &amp; Desarrollo MORPHOS, Paseo Bosque S-N, RA-1900 La Plata, Argentina; [Loza, Cleopatra Mara; Carlini, Alfredo Armando; Krmpotic, Cecilia Mariana; Galliari, Fernando Carlos; Scarano, Alejo Carlos; Barbeito, Claudio Gustavo] Consejo Nacl Invest Cient &amp; Tecn, CONICET, Buenos Aires, DF, Argentina; [Zarza, Renata; Andres-Laube, Fernando; Barbeito, Claudio Gustavo] Univ Nacl La Plata, Fac Ciencias Vet, Lab Histol &amp; Embriol Descript Expt &amp; Comparada LH, Buenos Aires, DF, Argentina; [Scarano, Alejo Carlos] Univ Nacl Avellaneda, Dept Ambiente &amp; Turismo, Buenos Aires, DF, Argentina; [Negrete, Javier] Inst Antart Argentino, Dept Biol Predadores Tope, Buenos Aires, DF, Argentina; [Loureiro, Juan Pablo] Fdn Mundo Marino, San Clemente Del Tuyu, Buenos Aires, Argentina; [Loureiro, Juan Pablo] Univ Nacl La Plata, Fac Ciencias Vet, Buenos Aires, DF, Argentina</t>
  </si>
  <si>
    <t>National University of La Plata; Museo La Plata; Consejo Nacional de Investigaciones Cientificas y Tecnicas (CONICET); National University of La Plata; Instituto Antartico Argentino; National University of La Plata</t>
  </si>
  <si>
    <t>Loza, CM (corresponding author), Univ Nacl La Plata, Fac Ciencias Nat &amp; Museo, Lab Morfol Evolut &amp; Desarrollo MORPHOS, Paseo Bosque S-N, RA-1900 La Plata, Argentina.;Loza, CM (corresponding author), Consejo Nacl Invest Cient &amp; Tecn, CONICET, Buenos Aires, DF, Argentina.</t>
  </si>
  <si>
    <t>cleopatra.mara.loza@gmail.com</t>
  </si>
  <si>
    <t>CONICET [PIP 0798]; UNLP [N-871]</t>
  </si>
  <si>
    <t>CONICET(Consejo Nacional de Investigaciones Cientificas y Tecnicas (CONICET)); UNLP(National University of La Plata)</t>
  </si>
  <si>
    <t>This work was supported by CONICET (PIP 0798 to AAC) and UNLP (N-871 to AAC).</t>
  </si>
  <si>
    <t>10.1007/s00300-023-03119-7</t>
  </si>
  <si>
    <t>A1XM0</t>
  </si>
  <si>
    <t>WOS:000947181300001</t>
  </si>
  <si>
    <t>Zhang, ZW; Liu, YL; Qiu, B; Luo, YY; Cai, WJ; Yuan, QG; Liu, YX; Zhang, H; Liu, HL; Miao, MF; Zhang, JC; Zhao, W; Tian, JW</t>
  </si>
  <si>
    <t>Zhang, Zhiwei; Liu, Yuelin; Qiu, Bo; Luo, Yiyong; Cai, Wenju; Yuan, Qingguo; Liu, Yinxing; Zhang, Hong; Liu, Hailong; Miao, Mingfang; Zhang, Jinchao; Zhao, Wei; Tian, Jiwei</t>
  </si>
  <si>
    <t>Submesoscale inverse energy cascade enhances Southern Ocean eddy heat transport</t>
  </si>
  <si>
    <t>MIXED-LAYER EDDIES; MESOSCALE; MODEL; RESTRATIFICATION; PARAMETERIZATION; VARIABILITY; CIRCULATION; BOUNDARY; MOTIONS; FLOW</t>
  </si>
  <si>
    <t>Oceanic eddy-induced meridional heat transport (EHT) is an important process in the Southern Ocean heat budget, the variability of which significantly modulates global meridional overturning circulation (MOC) and Antarctic sea-ice extent. Although it is recognized that mesoscale eddies with scales of similar to 40-300 km greatly contribute to the EHT, the role of submesoscale eddies with scales of similar to 1-40 km remains unclear. Here, using two state-of-the-art high-resolution simulations (resolutions of 1/48 degrees and 1/24 degrees), we find that submesoscale eddies significantly enhance the total poleward EHT in the Southern Ocean with an enhancement percentage reaching 19-48% in the Antarctic Circumpolar Current band. By comparing the eddy energy budgets between the two simulations, we detect that the primary role of submesoscale eddies is to strengthen mesoscale eddies (and thus their heat transport capability) through inverse energy cascade rather than directly through submesoscale heat fluxes. Due to the submesoscale-mediated enhancement of mesoscale eddies in the 1/48 degrees simulation, the clockwise upper cell and anti-clockwise lower cell of the residual-mean MOC in the Southern Ocean are weakened and strengthened, respectively. This finding identifies a potential route to improve the mesoscale parameterization in climate models for more accurate simulations of the MOC and sea ice variability in the Southern Ocean. Based on two high-resolution simulations, the authors find that submesoscale eddies significantly boost poleward oceanic heat transport in Antarctic waters by strengthening transport capability of mesoscale eddies through inverse energy cascade.</t>
  </si>
  <si>
    <t>[Zhang, Zhiwei; Liu, Yuelin; Luo, Yiyong; Cai, Wenju; Yuan, Qingguo; Liu, Yinxing; Miao, Mingfang; Zhang, Jinchao; Zhao, Wei; Tian, Jiwei] Ocean Univ China, Sanya Oceanog Inst, Frontier Sci Ctr Deep Ocean Multispheres &amp; Earth S, Qingdao, Sanya, Peoples R China; [Zhang, Zhiwei; Luo, Yiyong; Cai, Wenju; Yuan, Qingguo; Liu, Yinxing; Miao, Mingfang; Zhang, Jinchao; Zhao, Wei; Tian, Jiwei] Ocean Univ China, Sanya Oceanog Inst, Phys Oceanog Lab, Key Lab OceanObservat &amp; Informat Hainan Prov, Qingdao, Sanya, Peoples R China; [Zhang, Zhiwei; Luo, Yiyong; Cai, Wenju; Zhao, Wei; Tian, Jiwei] Laoshan Lab, Qingdao, Peoples R China; [Qiu, Bo] Univ Hawaii Manoa, Dept Oceanog, Honolulu, HI USA; [Cai, Wenju] CSIRO Oceans &amp; Atmosphere, Ctr Southern Hemisphere Oceans Res CSHOR, Hobart, Australia; [Zhang, Hong] Univ Calif Los Angeles, Joint Inst Reg Earth Syst Sci &amp; Engn, Los Angeles, CA USA; [Liu, Hailong] Chinese Acad Sci, Inst Atmospher Phys, State Key Lab Numer Modeling Atmospher Sci &amp; Geoph, Beijing, Peoples R China</t>
  </si>
  <si>
    <t>Ocean University of China; Ocean University of China; Laoshan Laboratory; University of Hawaii System; University of Hawaii Manoa; Commonwealth Scientific &amp; Industrial Research Organisation (CSIRO); University of California System; University of California Los Angeles; Chinese Academy of Sciences; Institute of Atmospheric Physics, CAS</t>
  </si>
  <si>
    <t>Zhang, ZW; Zhao, W; Tian, JW (corresponding author), Ocean Univ China, Sanya Oceanog Inst, Frontier Sci Ctr Deep Ocean Multispheres &amp; Earth S, Qingdao, Sanya, Peoples R China.;Zhang, ZW; Zhao, W; Tian, JW (corresponding author), Ocean Univ China, Sanya Oceanog Inst, Phys Oceanog Lab, Key Lab OceanObservat &amp; Informat Hainan Prov, Qingdao, Sanya, Peoples R China.;Zhang, ZW; Zhao, W; Tian, JW (corresponding author), Laoshan Lab, Qingdao, Peoples R China.</t>
  </si>
  <si>
    <t>zzw330@ouc.edu.cn; weizhao@ouc.edu.cn; tianjw@ouc.edu.cn</t>
  </si>
  <si>
    <t>Liu, Hailong/C-9566-2013; Cai, Wei-Jun/C-1361-2013</t>
  </si>
  <si>
    <t>Liu, Hailong/0000-0002-8780-0398;</t>
  </si>
  <si>
    <t>National Key Research and Development Program of China [2018YFA0605702, 2022YFC3105003]; National Natural Science Foundation of China [92258301, 42222601, 42076004, 91958205, 91858203, 42230405]; Fundamental Research Funds for the Central Universities [tsqn202103032]; Taishan Talents program [SKJC-2022-01-001]; 2022 Research Program of Sanya Yazhou Bay Science and Technology City; [202041009]</t>
  </si>
  <si>
    <t>National Key Research and Development Program of China; National Natural Science Foundation of China(National Natural Science Foundation of China (NSFC)); Fundamental Research Funds for the Central Universities(Fundamental Research Funds for the Central Universities); Taishan Talents program; 2022 Research Program of Sanya Yazhou Bay Science and Technology City;</t>
  </si>
  <si>
    <t>This study was supported by the National Key Research and Development Program of China (2018YFA0605702, 2022YFC3105003), the National Natural Science Foundation of China (92258301, 42222601, 42076004, 91958205, 91858203, 42230405), the 2022 Research Program of Sanya Yazhou Bay Science and Technology City (SKJC-2022-01-001), and the Fundamental Research Funds for the Central Universities (202041009). Z.Z. is also supported by the Taishan Talents program (tsqn202103032).</t>
  </si>
  <si>
    <t>MAR 11</t>
  </si>
  <si>
    <t>10.1038/s41467-023-36991-2</t>
  </si>
  <si>
    <t>I3HH0</t>
  </si>
  <si>
    <t>WOS:001001718000011</t>
  </si>
  <si>
    <t>Cui, FC; Wang, QQ; Han, LY; Wang, DF; Li, JR; Li, TT; Li, XP</t>
  </si>
  <si>
    <t>Cui, Fangchao; Wang, Qianqian; Han, Lingyu; Wang, Dangfeng; Li, Jianrong; Li, Tingting; Li, Xuepeng</t>
  </si>
  <si>
    <t>Effect of Maillard conjugates of peptides and polydextrose on Antarctic krill oil emulsion stability and digestibility</t>
  </si>
  <si>
    <t>LWT-FOOD SCIENCE AND TECHNOLOGY</t>
  </si>
  <si>
    <t>Antarctic krill oil; Emulsion; Codfish skin collagen peptides; Maillard congujates; Microwave heating</t>
  </si>
  <si>
    <t>OXIDATIVE STABILITY; ANTIOXIDANT; HYDROLYSATE; PROTEINS; IMPACT; AGENTS</t>
  </si>
  <si>
    <t>The Maillard conjugates of cod skin collagen peptide (CSCP) and polydextrose (PDX) were used to stabilize the Antarctic krill oil (AKO) emulsion. First, CSCP-PDX glycoconjugate was prepared using microwave heating (MH) for 20 min, which had a higher grafting rate, wider structure, and better functional characteristics than CSCP-PDX glycoconjugate, which was prepared by traditional wet-heating (WH) after 10 h. Then, Maillard conjugates as an emulsifier improved the stability of AKO emulsion, as shown by the zeta potential, rheology, and so forth. In vitro digestibility indicated that the free fatty acid (FFA) release of MH (20 min)-stabilized emulsion was significantly increased by 5.22% (P &lt; 0.05) compared with that of CSCP-stabilized emulsion, displaying a sustained release in simulated intestinal fluid (SIF). The results of this study highlighted the potential of Maillard conjugates to serve as a useful emulsifier for utilization in the food industry.</t>
  </si>
  <si>
    <t>[Cui, Fangchao; Wang, Qianqian; Wang, Dangfeng; Li, Jianrong; Li, Xuepeng] Bohai Univ, Coll Food Sci &amp; Technol, Natl &amp; Local Joint Engn Res Ctr Storage Proc &amp; Saf, Jinzhou 121013, Liaoning, Peoples R China; [Han, Lingyu; Li, Tingting] Dalian Minzu Univ, Key Lab Biotechnol &amp; Bioresources Utilizat, Minist Educ, Dalian 116029, Liaoning, Peoples R China; [Wang, Dangfeng] Jiangnan Univ, Coll Food Sci &amp; Technol, Wuxi 214122, Jiangsu, Peoples R China</t>
  </si>
  <si>
    <t>Bohai University; Dalian Minzu University; Jiangnan University</t>
  </si>
  <si>
    <t>Li, JR; Li, XP (corresponding author), Bohai Univ, Coll Food Sci &amp; Technol, Natl &amp; Local Joint Engn Res Ctr Storage Proc &amp; Saf, Jinzhou 121013, Liaoning, Peoples R China.;Li, TT (corresponding author), Dalian Minzu Univ, Key Lab Biotechnol &amp; Bioresources Utilizat, Minist Educ, Dalian 116029, Liaoning, Peoples R China.</t>
  </si>
  <si>
    <t>lijr6491@163.com; xuepengli8234@163.com; xuepengli8234@163.com</t>
  </si>
  <si>
    <t>l, j/HNC-5728-2023; lu, yuan/JZD-0832-2024</t>
  </si>
  <si>
    <t>Natural Science Foundation of China (Important program) [U20A2067]</t>
  </si>
  <si>
    <t>Natural Science Foundation of China (Important program)</t>
  </si>
  <si>
    <t>This study was supported by Natural Science Foundation of China (Important program, U20A2067).</t>
  </si>
  <si>
    <t>0023-6438</t>
  </si>
  <si>
    <t>1096-1127</t>
  </si>
  <si>
    <t>LWT-FOOD SCI TECHNOL</t>
  </si>
  <si>
    <t>LWT-Food Sci. Technol.</t>
  </si>
  <si>
    <t>10.1016/j.lwt.2023.114648</t>
  </si>
  <si>
    <t>H7SL5</t>
  </si>
  <si>
    <t>WOS:000997915800001</t>
  </si>
  <si>
    <t>Horstmann, P; Maas, RM; de Boer, XV; Staessen, TWO; Kokou, F; Schrama, JW</t>
  </si>
  <si>
    <t>Horstmann, Peter; Maas, Roel M.; de Boer, Xander V.; Staessen, Thomas W. O.; Kokou, Fotini; Schrama, Johan W.</t>
  </si>
  <si>
    <t>Faecal waste characteristics of yellowtail kingfish (Seriola lalandi) fed with pelleted and natural feed</t>
  </si>
  <si>
    <t>ANIMAL FEED SCIENCE AND TECHNOLOGY</t>
  </si>
  <si>
    <t>Nutrient digestibility; RAS waste production; Faeces integrity; Faeces removal; Efficiency; Faecal consistency; Total suspended solids</t>
  </si>
  <si>
    <t>TROUT ONCORHYNCHUS-MYKISS; RAINBOW-TROUT; ATLANTIC SALMON; FISH-MEAL; NUTRIENT DIGESTIBILITY; GROWTH-PERFORMANCE; EUPHAUSIA-SUPERBA; SUSPENDED-SOLIDS; ANTARCTIC KRILL; FLOATING FECES</t>
  </si>
  <si>
    <t>Yellowtail kingfish (Seriola lalandi) is a fast-growing fish species. One of the challenges of farming yellowtail kingfish in recirculating aquaculture systems is their poor faeces integrity, also referred to as 'diarrhoea-like' faeces. Whether diarrhoea-like faeces occur under conditions when feeding on its natural feed items or are diet induced, is unclear. This study assessed the effect of feed type (pelleted vs. natural feed) on the faecal characteristics and faecal waste production of yellowtail kingfish. Three dietary treatments were studied over a 35-d experimental period: a pelleted diet based on marine ingredients (Marine; open formula); an experimental pelleted feed based on the ingredient composition of a commercial kingfish feed (Commercial Dummy, CD; closed formula); and a diet composed of four, individually fed raw (unprocessed) natural ingredients and commercial dummy pellets at a ratio of 1:1 on dry matter basis (Natural and Commercial Dummy, NCD). The NCD treatment was intended to clarify whether diarrhoea-like faeces are naturally occurring in yellowtail kingfish. Each dietary treatment was tested in four tanks, which were stocked with 27 yellowtail kingfish (mean initial weight 39 g). Fish were fed to apparent satiation twice daily for 1 h. For each tank nutrient digestibility and faecal characteristics were measured. The inclusion of natural ingredients reduced the faecal waste production (p &lt; 0.001). Furthermore, the faeces integrity of yellowtail kingfish fed with natural ingredients was not poor (not diarrhoea-like). At the natural treatment, fish excreted faecal pellets and short strings, which were not observed at the other treatments. Faecal waste collected from fish receiving only pelleted feed was classified as diarrhoea-like. The highest faeces removal efficiency by settling was observed at the NCD treatment compared to the other treatments (p &lt; 0.001). Consequently, the lowest amount of non-removed faeces per feed intake (p &lt; 0.001) was observed at the NCD treatment (62.9 g OM/kg OM FI), followed by the Marine (101.1 g OM/kg OM FI) and Commercial Dummy treatment (111.7 g OM/kg OM FI). In conclusion, this study shows the potential of dietary interventions to alter the amount and integrity of faecal waste. This offers possibilities to reduce the total suspended solid load for yellowtail kingfish farming in recirculating aquaculture systems.</t>
  </si>
  <si>
    <t>[Horstmann, Peter; Staessen, Thomas W. O.] Kingfish Co, Kingfish Zeeland, Kats, Netherlands; [Horstmann, Peter; Kokou, Fotini; Schrama, Johan W.] Wageningen Univ &amp; Res, Aquaculture &amp; Fisheries Grp, POB 338, NL-6700 AH Wageningen, Netherlands</t>
  </si>
  <si>
    <t>Wageningen University &amp; Research</t>
  </si>
  <si>
    <t>Schrama, JW (corresponding author), Wageningen Univ &amp; Res, Aquaculture &amp; Fisheries Grp, POB 338, NL-6700 AH Wageningen, Netherlands.</t>
  </si>
  <si>
    <t>johan.schrama@wur.nl</t>
  </si>
  <si>
    <t>Kokou, Fotini/0000-0002-3675-3835; Horstmann, Peter/0000-0002-5880-5552</t>
  </si>
  <si>
    <t>RVO (Netherlands Enterprise Agency) [19111000012]; European Union; European Maritime and Fisheries Fund (EMFF)</t>
  </si>
  <si>
    <t>RVO (Netherlands Enterprise Agency)(Netherlands Enterprise Agency (RVO)); European Union(European Union (EU)); European Maritime and Fisheries Fund (EMFF)</t>
  </si>
  <si>
    <t>We would like to thank the staff of the aquaculture research facility (in particular Wian Nusselder and Menno ter Veld) for their technical support in conducting the experiment and Ronald Booms, Samara Hutting and Tino Leffering for their support during the lab analysis. Furthermore, we would like to acknowledge BioMar Group (in particular Joost Blom, Marie Hillestad and Sandeep Sharma) for their support during feed preparation and supply of their commercial diet mixture. It must be notified that CD diet was produced on an experimental scale and not in a commercial facility. Without the extrusion technique and commercial quality control performed in the commercial facility, the nutritional, physical and performance characteristics can, therefore, differ from the actual commercial product. This work is part of the Healthy Happy Kingfish project applied for by Kingfish Zeeland B.V. under the subsidy scheme Innovation Projects Aquaculture 2019 and, granted by the RVO (Netherlands Enterprise Agency) under the application number 19111000012. This project is partly funded by The European Union with support of the European Maritime and Fisheries Fund (EMFF) .</t>
  </si>
  <si>
    <t>0377-8401</t>
  </si>
  <si>
    <t>1873-2216</t>
  </si>
  <si>
    <t>ANIM FEED SCI TECH</t>
  </si>
  <si>
    <t>Anim. Feed Sci. Technol.</t>
  </si>
  <si>
    <t>10.1016/j.anifeedsci.2023.115625</t>
  </si>
  <si>
    <t>C4QM3</t>
  </si>
  <si>
    <t>WOS:000961778200001</t>
  </si>
  <si>
    <t>Celi, JAE; Cahuana-Yánez, NG; Martillo-Bustamante, CE; González-Bonilla, M</t>
  </si>
  <si>
    <t>Celi, Jorge A. Espinoza; Cahuana-Yanez, Nestor G.; Martillo-Bustamante, Carlos E.; Gonzalez-Bonilla, Miguel</t>
  </si>
  <si>
    <t>Bransfield Strait and South Shetland Islands sedimentary basement and upper crustal structure: An analysis of gravity and magnetic data at the northwestern area of the Antarctic Peninsula</t>
  </si>
  <si>
    <t>TECTONOPHYSICS</t>
  </si>
  <si>
    <t>Antarctic Peninsula; South Shetland Islands; Bransfield Basin; Spectral Analysis; Magnetic and Gravity Data</t>
  </si>
  <si>
    <t>POTENTIAL-FIELD; DEPTH ESTIMATION; POWER SPECTRUM; BASIN; RIFT; EVOLUTION; MODELS; MARGIN; TRENCH; RIDGE</t>
  </si>
  <si>
    <t>The northwestern region of the Antarctic Peninsula is of main interest to the geosciences. Complex tectonic activity in this area is evidenced by the presence of the sinistral South Scotia ridge system and Shackleton plate contacts; As well as the opening of the Bransfield Strait leading to the formation of the Shetland Block, where the last remnant of the Phoenix convergent margin is located. Potential fields such as gravity and magnetism can be used to study crustal structure in these remote regions, where sedimentary basins are located. In this study, we utilized gravity data from the EIGEN-6C4 combined field model and magnetic data from the ADMAP2 magnetic anomaly model. We employed the Spectral decomposition of gravity anomalies to analyze sedimentary basement depth and directional derivatives of gravity and magnetic anomalies to derive structural features and magmatic activity. The gravimetric basement model was compared with previous interpretations of the acoustic basement and provides a new interpretation of basement morphology in regions that have not been studied previously in detail. The gravity/magnetic derivatives highlight evidence for ongoing magmatic activity in the Central Bransfield Basin which correlates with seismic catalogs, and crustal segmentation between King George and Gibbs Islands related to the unstable intersection of the South Scotia Ridge system and Shackleton Fracture Zone.</t>
  </si>
  <si>
    <t>[Celi, Jorge A. Espinoza; Martillo-Bustamante, Carlos E.; Gonzalez-Bonilla, Miguel] Escuela Super Politecn Litoral ESPOL, GEMAC FIMCM, CADS, POB 09015863, Guayaquil, Ecuador; [Cahuana-Yanez, Nestor G.] GEAS Geophys Serv, Guayaquil, Ecuador; [Gonzalez-Bonilla, Miguel] Inst Oceanog &amp; Antartico Armada Ecuador INOCAR, Guayaquil 090205, Ecuador</t>
  </si>
  <si>
    <t>Escuela Superior Politecnica del Litoral</t>
  </si>
  <si>
    <t>Celi, JAE (corresponding author), Escuela Super Politecn Litoral ESPOL, GEMAC FIMCM, CADS, POB 09015863, Guayaquil, Ecuador.</t>
  </si>
  <si>
    <t>joraespi@espol.edu.ec</t>
  </si>
  <si>
    <t>Martillo Bustamante, Carlos/0000-0002-6041-0648; Cahuana, Nestor/0000-0003-0498-1160</t>
  </si>
  <si>
    <t>Instituto Oceanografico y Antartico de la Armada del Ecuador (INOCAR); Research Deanship of the ESPOL</t>
  </si>
  <si>
    <t>We thank the support given by the Instituto Oceanografico y Antartico de la Armada del Ecuador (INOCAR) and to the Research Deanship of the ESPOL for funding the project Evidencias Geologicas sobre cambios climaticos y antropizacion en la isla Greenwich-Antartida, as well as for providing their technological resources (software and hardware) . The authors thank the support and assistance given by MSc. Miguel Alejandro Camacho Ascanio and P.h.D. Alejandro Gabriel Gonz?alez Esculpi who reviewed the manuscript and translation. Finally, we are grateful for the remarks of the two anonymous reviewers thatallowed us to greatly improve our manuscript.</t>
  </si>
  <si>
    <t>0040-1951</t>
  </si>
  <si>
    <t>1879-3266</t>
  </si>
  <si>
    <t>Tectonophysics</t>
  </si>
  <si>
    <t>10.1016/j.tecto.2023.229771</t>
  </si>
  <si>
    <t>A5ED4</t>
  </si>
  <si>
    <t>WOS:000955343700001</t>
  </si>
  <si>
    <t>Fuentes, SN; Andrade, MCD; Awruch, CA; Moya, AC; Arias, AH</t>
  </si>
  <si>
    <t>Fuentes, Sabrina N.; Andrade, M. Constanza Diaz; Awruch, Cynthia A.; Moya, Ana C.; Arias, Andres H.</t>
  </si>
  <si>
    <t>Impacts of water pollutants on chondrichthyans species from South America: A review</t>
  </si>
  <si>
    <t>Elasmobranchii; Holocephali; Persistent organic pollutants; Trace metals; Plastics debris</t>
  </si>
  <si>
    <t>SHARKS PRIONACE-GLAUCA; PERSISTENT ORGANIC POLLUTANTS; DOGFISH SQUALUS-ACANTHIAS; RHIZOPRIONODON-LALANDII; CHILENSIS GUICHENOT; ARTISANAL FISHERY; TROPHIC TRANSFER; RISK-ASSESSMENT; MERCURY LEVELS; BIOACCUMULATION</t>
  </si>
  <si>
    <t>This is the first research that extensively compiles all the available scientific literature on the presence of trace metals (TMs), persistent organic pollutants (POPs), and plastic debris in Chondrichthyan species inhabiting South America (including the Atlantic and Pacific Oceans), providing an insight into Chondrichthyans as bioindicators of pollutants as well as the impacts of pollutant exposure on the organisms. Seventy-three studies were published in South America between 1986 and 2022. While 68.5% focused on TMs, 17.8% on POPs, and 9.6% on plastic debris. Brazil and Argentina were at the top in terms of the number of publications; however, there is an absence of information regarding pollutants for Chondrichthyans in Venezuela, Guyana, and French Guiana. Of the 65 Chondrichthyan species reported, 98.5% belong to the Elasmobranch group, and 1.5% from the Holocephalans. Most studies focused on Chondrichthyans of economic importance, and the most analyzed organs were the muscle and liver. There is a lack of studies on Chondrichthyan species with low economic value and critical conservation status. Due to their ecological relevance, distribution, accessibility, high trophic position, capacity to accumulate high levels of pollutants, and the number of studies published, Prionace glauca and Mustelus schmitii seem to be adequate to serve as bioindicators. For TMs, POPs, and plastic debris there is a lack of studies focusing on the pollutant levels as well as their effect on Chondrichthyans. Future research reporting TMs, POPs, and plastic debris occurrences in Chondrichthyan species are required in order to increase the scarce databases about pollutants in this group, with a clear need for further research on the responses of chondrichthyans to pollutants, as well as making inferences about the potential risks to the ecosystems and human health.</t>
  </si>
  <si>
    <t>[Fuentes, Sabrina N.; Andrade, M. Constanza Diaz; Moya, Ana C.] UNS, INBIOSUR CONICET, Inst Ciencias Biolog &amp; Biome Sur, San Juan 671, RA-8000 Bahia Blanca, Argentina; [Andrade, M. Constanza Diaz; Moya, Ana C.] UNS, Dept Biol Bioquim &amp; Farm DBByF, San Juan 670, RA-8000 Bahia Blanca, Argentina; [Awruch, Cynthia A.] Ctr Estudio Sistemas Marinos CESIMAR CENPAT CONIC, Bv Almirante Brown 2915, RA-9120 Puerto Madryn, Argentina; [Awruch, Cynthia A.] Univ Tasmania, Coll Sci &amp; Engn, Sch Nat Sci, Sch Nat Sci, Hobart, Tas, Australia; [Awruch, Cynthia A.] Univ Tasmania, Inst Marine &amp; Antarctic Studies IMAS, Coll Sci &amp; Engn, Hobart, Tas, Australia; [Arias, Andres H.] Univ Nacl Sur, Dept Quim, Area3, Ave Alem 1253, RA-8000 Bahia Blanca, Argentina; [Arias, Andres H.] UNS, IADO CONICET, Inst Argentino Oceanog, Camino Carrindanga Km 7-5, RA-8000 Bahia Blanca, Argentina</t>
  </si>
  <si>
    <t>National University of the South; National University of the South; University of Tasmania; University of Tasmania; National University of the South; Consejo Nacional de Investigaciones Cientificas y Tecnicas (CONICET); National University of the South</t>
  </si>
  <si>
    <t>Fuentes, SN (corresponding author), UNS, INBIOSUR CONICET, Inst Ciencias Biolog &amp; Biome Sur, San Juan 671, RA-8000 Bahia Blanca, Argentina.;Awruch, CA (corresponding author), Ctr Estudio Sistemas Marinos CESIMAR CENPAT CONIC, Bv Almirante Brown 2915, RA-9120 Puerto Madryn, Argentina.</t>
  </si>
  <si>
    <t>sfuentes@inbiosur-conicet.gob.ar; awcynthia@cenpat-conicet.gob.ar</t>
  </si>
  <si>
    <t>[PGI 24/B286]</t>
  </si>
  <si>
    <t>Acknowledgments This work was supported by PGI 24/B286.</t>
  </si>
  <si>
    <t>10.1016/j.chemosphere.2023.138262</t>
  </si>
  <si>
    <t>9Z8NR</t>
  </si>
  <si>
    <t>WOS:000951392100001</t>
  </si>
  <si>
    <t>Alfaya, JEF; Lozada, M; Bigatti, G</t>
  </si>
  <si>
    <t>Alfaya, Jose E. F.; Lozada, Mariana; Bigatti, Gregorio</t>
  </si>
  <si>
    <t>DNA barcoding reveals hidden nemertean diversity from the marine protected area Namuncura-Burdwood Bank, Southwestern Atlantic</t>
  </si>
  <si>
    <t>Sub-Antarctic; Ribbon worms; COI; Biodiversity</t>
  </si>
  <si>
    <t>SPECIES DELIMITATION; PHYLUM NEMERTEA; TAXONOMY; GENUS; BIODIVERSITY; PHYLOGENY; SOUTH; CHECKLIST; ECOLOGY</t>
  </si>
  <si>
    <t>The implementation of molecular data for the analysis of nemertean diversity has unraveled the taxonomic status of several species and many higher taxa within the group. Nowadays, a large proportion of novel putative species are being discovered and it is necessary to add molecular data to the morphological description to obtain a correct identification. In this study, we used mitochondrial cytochrome oxidase I gene (COI) as molecular marker to investigate the diversity of nemerteans from a marine Sub-Antarctic environment. We used Automatic Barcode Gap Discovery (ABGD), Poisson Tree Processes (PTP) and Bayesian implementation of the PTP model (bPTP) as well as reciprocal monophyly on neighbor-joining (NJ) and maximum likelihood (ML) trees for species delimitation. ABGD showed a clear barcoding gap (6 to 10%) and the presence of 15 different putative nemertean species in the dataset of 54 COI sequences from the marine protected area Namuncura-Burdwood Bank (MPA-BB), expanding the known biodiversity for the Sub-Antarctic region. Ten monostiliferan and five heteronemertean species were found. Our results also confirm the presence of two Parborlasia corrugatus cryptic species in the Antarctic and Sub-Antarctic region. This work highlights the importance of the MPA-BB as a biodiversity hotspot and provide molecular data for the Phylum Nemertea in the Southwestern Atlantic Ocean.</t>
  </si>
  <si>
    <t>[Alfaya, Jose E. F.; Bigatti, Gregorio] Ctr Nacl Patagon CCT CONICET CENPAT, LARBIM IBIOMAR, Bvd Brown 2915,U9120ACV, Puerto Madryn, Chubut, Argentina; [Alfaya, Jose E. F.; Bigatti, Gregorio] Univ Nacl Patagonia San Juan Bosco UNPSJB, Fac Ciencias Nat, Bvd Brown 3100,U9120ACV, Puerto Madryn, Chubut, Argentina; [Lozada, Mariana] Ctr Nacl Patagon CCT CONICET CENPAT, IBIOMAR CONICET, Lab Microbiol Ambiental, Bvd Brown 2915,U9120ACV, Puerto Madryn, Chubut, Argentina; [Bigatti, Gregorio] Univ Espiritu Santo, Guayaquil, Ecuador</t>
  </si>
  <si>
    <t>Universidad Nacional de la Patagonia San Juan Bosco; Universidad de Especialidades Espiritu Santo</t>
  </si>
  <si>
    <t>Alfaya, JEF (corresponding author), Ctr Nacl Patagon CCT CONICET CENPAT, LARBIM IBIOMAR, Bvd Brown 2915,U9120ACV, Puerto Madryn, Chubut, Argentina.;Alfaya, JEF (corresponding author), Univ Nacl Patagonia San Juan Bosco UNPSJB, Fac Ciencias Nat, Bvd Brown 3100,U9120ACV, Puerto Madryn, Chubut, Argentina.</t>
  </si>
  <si>
    <t>joselias@cenpat-conicet.gob.ar</t>
  </si>
  <si>
    <t>National Government of Argentina, under the Law 26875 of the MPA Namuncura-Burdwood Bank; Agencia Nacional de Promocion Cientifica y Tecnologica [PICT 0833/15, PICT- 0903/18, PICT-0969/18]</t>
  </si>
  <si>
    <t>National Government of Argentina, under the Law 26875 of the MPA Namuncura-Burdwood Bank; Agencia Nacional de Promocion Cientifica y Tecnologica(ANPCyTSpanish Government)</t>
  </si>
  <si>
    <t>The research cruises was financed by the National Government of Argentina, under the Law 26875 of the MPA Namuncura-Burdwood Bank and material studied collected by Universidad Nacional de la Patagonia San Juan Bosco [UNPSJB: FCN No 1088, No 1284, No 1723] and Agencia Nacional de Promocion Cientifica y Tecnologica [PICT 0833/15; PICT- 0903/18 and PICT-0969/18].</t>
  </si>
  <si>
    <t>10.1007/s00300-023-03117-9</t>
  </si>
  <si>
    <t>WOS:000946972900002</t>
  </si>
  <si>
    <t>Eder, EB; Leonardi, MS; Soto, FA</t>
  </si>
  <si>
    <t>Eder, Elena Beatriz; Leonardi, Maria Soledad; Soto, Florencia Anabella</t>
  </si>
  <si>
    <t>What a sucking louse can tell us: the use of the seal lice (Lepidophthirus macrorhini) from the southern elephant seal (Mirounga leonina) in isotopic analysis of hosts</t>
  </si>
  <si>
    <t>Antarctic seals; Mirounga leonina; Lepidophthirus macrorhini; Trophic ecology; Peninsula Valdes</t>
  </si>
  <si>
    <t>STABLE-ISOTOPES; DISCRIMINATION; DELTA-N-15; NITROGEN; CARBON; DIET</t>
  </si>
  <si>
    <t>The southern elephant seal, Mirounga leonina, is one of the top predators inhabiting the Southern Ocean. Foraging at sea represents 80% of their annual cycle, during which they make extraordinary wide-ranging trips with long, deep, and continuous dives. Their feeding habits have been broadly studied using both traditional and advanced techniques, like stable isotope analysis. Here, we analyzed stable isotope ratios of C and N of host and sucking lice tissues to investigate the potential use of lice to infer the isotopic patterns of their host at a major scale while using a less invasive method. We collected samples of blood and lice, Lepidophthirus macrorhini, from 15 weaned pups in Peninsula Valdes (Chubut, Argentina). C and N isotopic signals of lice and pups were correlated. The delta C-13 values of the lice were not different from those of their hosts, while the delta N-15 signals were statistically significantly enriched with respect to those of the pups. The isotopic composition of the lice would predictably mirror that of their hosts. However, the values of Delta C-13 and Delta N-15 (difference between lice and pup signals) differed from the literature-based reference values for hematophagous ectoparasites, indicating that lice could have changed the host recently or that the residence time in the pups has not been enough. Given that mothers and weaned pups differ isotopically due to lactation, the isotopic composition of lice could therefore be more representative of signals from females, implying a useful and a safe tool for identifying and measuring the magnitude of trophic interactions in this species.</t>
  </si>
  <si>
    <t>[Eder, Elena Beatriz] CCT CONICET CENPAT, Ctr Estudio Ecosistemas Marinos, Bvd Brown, RA-2915 Puerto Madryn, Argentina; [Leonardi, Maria Soledad; Soto, Florencia Anabella] CCT CONICET CENPAT, Inst Biol Organismos Marinos, Bvd Brown, RA-2915 Puerto Madryn, Argentina</t>
  </si>
  <si>
    <t>Centro Nacional Patagonico (CENPAT); Centro Nacional Patagonico (CENPAT)</t>
  </si>
  <si>
    <t>Eder, EB (corresponding author), CCT CONICET CENPAT, Ctr Estudio Ecosistemas Marinos, Bvd Brown, RA-2915 Puerto Madryn, Argentina.</t>
  </si>
  <si>
    <t>eder@cenpat-conicet.gob.ar</t>
  </si>
  <si>
    <t>Leonardi, Maria Soledad/0000-0002-1736-7031; Soto, Florencia/0000-0003-0139-9327</t>
  </si>
  <si>
    <t>10.1007/s00300-023-03121-z</t>
  </si>
  <si>
    <t>WOS:000946972900003</t>
  </si>
  <si>
    <t>Wang, YF; Zhou, M; Zhang, ZR; Dinniman, MS</t>
  </si>
  <si>
    <t>Wang, Yufei; Zhou, Meng; Zhang, Zhaoru; Dinniman, Michael S.</t>
  </si>
  <si>
    <t>Seasonal variations in Circumpolar Deep Water intrusions into the Ross Sea continental shelf</t>
  </si>
  <si>
    <t>Ross Sea; Circumpolar Deep Water; wind stress; Ekman pumping; Sverdrup transport</t>
  </si>
  <si>
    <t>VARIABILITY; CIRCULATION; TRANSPORT; EXCHANGE; SURFACE; DRIVEN; REGION; HEAT; DRAG</t>
  </si>
  <si>
    <t>Intrusions of the warm and nutrient-rich Circumpolar Deep Water (CDW) across the Ross Sea shelf break play an important role in providing heat for ice shelf basal melting and setting the physical environment for biochemical processes. Several mechanisms driving CDW intrusions into the Ross Sea were proposed such as mesoscale eddies, tidal rectification, and interactions between the Antarctic Slope Current (ASC) and topographic features. The seasonal variations in the poleward transport of CDW are investigated using ERA-Interim wind data and a Ross Sea circulation model based on the Regional Ocean Modeling System (ROMS) between September 1999 and September 2014. The analyses focus on the currents along the shelf break and deep troughs on the Ross Sea shelf and discuss the wind-driven Ekman pumping in both shelf and adjacent open ocean regions. The results reveal that the poleward intrusions generally move up onto the continental shelf along the eastern flanks of deep troughs. Seasonal variations of the ocean surface stress torque exerted by wind and sea ice in the off-shelf area are correlated with CDW intrusions. The maxima of CDW intrusions usually occur in austral summer. There is a significant temporal correlation on the seasonal time scale between the on-shelf intrusions in deep troughs in the western Ross Sea shelf and poleward Sverdrup transports in the adjacent off-shelf open ocean driven by the Ekman pumping. The analysis of ocean surface stress fields also indicates that the vorticity fluxes through the Ekman pumping are in favor of southward and northward transports in the eastern and western parts of the Ross Sea, respectively. The relationships between currents, CDW intrusions, and ocean surface stress fields imply the importance of air-sea interactions and potential climate change to the environment in the Ross Sea.</t>
  </si>
  <si>
    <t>[Wang, Yufei; Zhou, Meng; Zhang, Zhaoru] Shanghai Jiao Tong Univ, Sch Oceanog, Shanghai, Peoples R China; [Zhou, Meng; Zhang, Zhaoru] Minist Nat Resources, Polar Res Inst China, Shanghai, Peoples R China; [Dinniman, Michael S.] Old Dominion Univ, Ctr Coastal Phys Oceanog, Norfolk, VA USA</t>
  </si>
  <si>
    <t>Shanghai Jiao Tong University; Ministry of Natural Resources of the People's Republic of China; Polar Research Institute of China; Old Dominion University</t>
  </si>
  <si>
    <t>Zhou, M (corresponding author), Shanghai Jiao Tong Univ, Sch Oceanog, Shanghai, Peoples R China.;Zhou, M (corresponding author), Minist Nat Resources, Polar Res Inst China, Shanghai, Peoples R China.</t>
  </si>
  <si>
    <t>meng.zhou@sjtu.edu.cn</t>
  </si>
  <si>
    <t>LIU, JIALIN/JXN-8034-2024</t>
  </si>
  <si>
    <t>National Natural Science Foundation of China [41941008]; Impact and Response of Antarctic Seas to Climate Change [583, IRASCC 1-02-01B]; Shanghai Key Laboratory of Polar Life and Environment Sciences [21DZ2260100]; Shanghai Frontiers Science Center of Polar Science</t>
  </si>
  <si>
    <t>National Natural Science Foundation of China(National Natural Science Foundation of China (NSFC)); Impact and Response of Antarctic Seas to Climate Change; Shanghai Key Laboratory of Polar Life and Environment Sciences; Shanghai Frontiers Science Center of Polar Science</t>
  </si>
  <si>
    <t>This research was supported by the National Natural Science Foundation of China under contract No. 41941008, the Impact and Response of Antarctic Seas to Climate Change (Grant 583) under contract No. IRASCC 1-02-01B, the Shanghai Key Laboratory of Polar Life and Environment Sciences under contract No. 21DZ2260100, and the Shanghai Frontiers Science Center of Polar Science.</t>
  </si>
  <si>
    <t>MAR 10</t>
  </si>
  <si>
    <t>10.3389/fmars.2023.1020791</t>
  </si>
  <si>
    <t>A5RM1</t>
  </si>
  <si>
    <t>WOS:000955690800001</t>
  </si>
  <si>
    <t>Gurumoorthi, K; Luis, AJ</t>
  </si>
  <si>
    <t>Gurumoorthi, K.; Luis, Alvarinho J.</t>
  </si>
  <si>
    <t>Recent trends on microplastics abundance and risk assessment in coastal Antarctica: Regional meta-analysis</t>
  </si>
  <si>
    <t>Microplastics; Environmental hazard; Antarctic; Pollution load index; Potential ecological risk index</t>
  </si>
  <si>
    <t>MARINE DEBRIS; PLASTIC DEBRIS; SURFACE WATERS; FUR SEALS; ROSS SEA; ACCUMULATION; ENVIRONMENT; POLLUTION; SEDIMENTS; PARTICLES</t>
  </si>
  <si>
    <t>We investigated sources, abundance and risk of microplastics (MPs) in water, sediments and biota around Antarctica. The concentration of MPs in Southern Ocean (SO) ranged from 0 to 0.56 items/m3 (mean = 0.01 items/m3) and 0-1.96 items/m3 (mean = 0.13 items/m3) in surface and sub-surface water. The distribution of fibers in water was 50%, sediments were 61%, and biota had 43%, which were followed by fragments in the water (42%), sediments (26%), and biota (28%). Shapes of film had lowest concentrations in water (2%), sed-iments 13%), and biota (3%). Ship traffic, drift of MPs by currents, and untreated waste water discharge contributed to the variety of MPs. The degree of pollution in all matrices was evaluated using the pollution load index (PLI), polymer hazard index (PHI), and potential ecological risk index (PERI). PLI at about 90.3% of lo-cations were at category I followed by 5.9% at category II, 1.6% at category III, and 2.2% at category IV. Average PLI for water (3.14), sediments (6.6), and biota (2.72) had low pollution load (&lt;10). Mean PHI for water, sediments, and biota showed hazards level V with a higher percentage of 84.6% (&gt;1000) and 63.9% (PHI:0-1) in sediments and water, respectively. PERI for water showed 63.9% minor risk, and 36.1% extreme risk. Around 84.6% of sediments were at extreme risk, 7.7% faced minor risk, and 7.7% were at high risk. While 20% of marine organisms living in cold environments experienced minor risk, 20% were in high risk, and 60% were in extreme risk. Highest PERI was found in the water, sediments, and biota in Ross Sea, due to high hazardous polymer composition of polyvinylchloride (PVC) in the water and sediments due to human activity, particularly use of personnel care products and waste water discharge from research stations.</t>
  </si>
  <si>
    <t>[Gurumoorthi, K.; Luis, Alvarinho J.] Natl Ctr Polar &amp; Ocean Res, Minist Earth Sci, Vasco Da Gama 403804, Goa, India</t>
  </si>
  <si>
    <t>Ministry of Earth Sciences (MoES) - India; National Centre for Polar and Ocean Research (NCPOR)</t>
  </si>
  <si>
    <t>Luis, AJ (corresponding author), Natl Ctr Polar &amp; Ocean Res, Minist Earth Sci, Vasco Da Gama 403804, Goa, India.</t>
  </si>
  <si>
    <t>alvluis1@gmail.com</t>
  </si>
  <si>
    <t>K, Gurumoorthi/0000-0003-4688-9020</t>
  </si>
  <si>
    <t>[J-70/2022-23]</t>
  </si>
  <si>
    <t>Acknowledgement Bathymetry data was downloaded from https:// www.ncei.noaa.gov. We thank Director, NCPOR for encouragement. This is NCPOR publi-cation No. J-70/2022-23</t>
  </si>
  <si>
    <t>10.1016/j.envpol.2023.121385</t>
  </si>
  <si>
    <t>0A1TE</t>
  </si>
  <si>
    <t>WOS:000951611000001</t>
  </si>
  <si>
    <t>Johnson, BJ; Cullis, P; Booth, J; Petropavlovskikh, I; McConville, G; Hassler, B; Morris, GA; Sterling, C; Oltmans, S</t>
  </si>
  <si>
    <t>Johnson, Bryan J.; Cullis, Patrick; Booth, John; Petropavlovskikh, Irina; McConville, Glen; Hassler, Birgit; Morris, Gary A.; Sterling, Chance; Oltmans, Samuel</t>
  </si>
  <si>
    <t>South Pole Station ozonesondes: variability and trends in the springtimeAntarctic ozone hole 1986-2021</t>
  </si>
  <si>
    <t>ANTARCTIC OZONE; VOLCANIC AEROSOL; VORTEX; CHEMISTRY; DEPLETION; CHLORINE; STRATOSPHERE; DESTRUCTION; RECOVERY; IMPACT</t>
  </si>
  <si>
    <t>Balloon-borne ozonesondes launched weekly from South Pole Station (1986-2021) measure high-vertical-resolution profiles of ozone and temperature from the surface to 30-35 km altitude. The launch frequency is increased in late winter before the onset of rapid stratospheric ozone loss in September. Ozone hole metrics show that the yearly total column ozone and 14-21 km partial column ozone minimum values and September loss rate trends have been improving (less severe) since 2001. The 36-year record also shows interannual variability, especially in recent years (2019-2021). Here we show additional details of these 3 years by comparing annual minimum profiles observed on the date when the lowest integrated total column ozone occurs. We also compare the July-December time series of the 14-21 km partial column ozone values to the 36-year median with percentile intervals. The 2019 anomalous vortex breakdown showed stratospheric temperatures began warming in early September followed by reduced ozone loss. The minimum total column ozone of 180 Dobson units (DU) was observed on 24 September. This was followed by two stable and cold polar vortex years during 2020 and 2021 with total column ozone minimums at 104 DU (1 October) and 102 DU (7 October), respectively. These years also showed broad near-zero-ozone (loss saturation) regions within the 14-21 km layer by the end of September which persisted into October.Validation of the ozonesonde observations is conducted through the ongoing comparison of total column ozone measurements with the South Pole ground-based Dobson spectrophotometer. The ozonesondes show a more positive bias of 2 +/- 3 % (higher) than the Dobson following a thorough evaluation and homogenization of the long-term ozonesonde record completed in 2018.</t>
  </si>
  <si>
    <t>[Johnson, Bryan J.; Booth, John; Petropavlovskikh, Irina; McConville, Glen; Morris, Gary A.; Oltmans, Samuel] NOAA, Global Monitoring Lab Earth Syst Res Lab, Boulder, CO 80305 USA; [Cullis, Patrick; Petropavlovskikh, Irina; McConville, Glen; Sterling, Chance] Univ Colorado, Cooperat Inst Res Environm Sci, Boulder, CO 80309 USA; [Hassler, Birgit] Deutsch Zent Luft &amp; Raumfahrt DLR, Inst Phys Atmosphare, Oberpfaffenhofen, Germany; [Sterling, Chance] Trojan Battery Co, C&amp;D Technol, Horsham, PA 19044 USA</t>
  </si>
  <si>
    <t>National Oceanic Atmospheric Admin (NOAA) - USA; University of Colorado System; University of Colorado Boulder; Helmholtz Association; German Aerospace Centre (DLR)</t>
  </si>
  <si>
    <t>Johnson, BJ (corresponding author), NOAA, Global Monitoring Lab Earth Syst Res Lab, Boulder, CO 80305 USA.</t>
  </si>
  <si>
    <t>bryan.johnson@noaa.gov</t>
  </si>
  <si>
    <t>Morris, Gary A/HSG-4776-2023; Hassler, Birgit/E-8987-2010</t>
  </si>
  <si>
    <t>Morris, Gary A/0000-0002-2196-8454; Hassler, Birgit/0000-0003-2724-709X; PETROPAVLOVSKIKH, IRINA/0000-0001-5352-1369</t>
  </si>
  <si>
    <t>US National Oceanic and Atmospheric Administration</t>
  </si>
  <si>
    <t>US National Oceanic and Atmospheric Administration(National Oceanic Atmospheric Admin (NOAA) - USA)</t>
  </si>
  <si>
    <t>This research has been supported by the US National Oceanic and Atmospheric Administration base funding and observatory operations.</t>
  </si>
  <si>
    <t>10.5194/acp-23-3133-2023</t>
  </si>
  <si>
    <t>9S7SE</t>
  </si>
  <si>
    <t>gold, Green Submitted, Green Accepted</t>
  </si>
  <si>
    <t>WOS:000946536900001</t>
  </si>
  <si>
    <t>Friess, U; Kreher, K; Querel, R; Schmithnsen, H; Smale, D; Weller, R; Platt, U</t>
  </si>
  <si>
    <t>Friess, Udo; Kreher, Karin; Querel, Richard; Schmithuesen, Holger; Smale, Dan; Weller, Rolf; Platt, Ulrich</t>
  </si>
  <si>
    <t>Source mechanisms and transport patterns of tropospheric bromine monoxide: findings from long-term multi-axis differential optical absorption spectroscopy measurements at two Antarctic stations</t>
  </si>
  <si>
    <t>OZONE DEPLETION EVENTS; ATMOSPHERIC BOUNDARY-LAYER; AIR-SNOWPACK EXCHANGE; SEA-SALT AEROSOLS; 1-D MODEL PHANTAS; REACTIVE BROMINE; TEMPERATURE-DEPENDENCE; DUMONT DURVILLE; CROSS-SECTIONS; POLAR SUNRISE</t>
  </si>
  <si>
    <t>The presence of reactive bromine in polar regions is a widespread phenomenon that plays an important role in the photochemistry of the Arctic and Antarctic lower troposphere, including the destruction of ozone, the disturbance of radical cycles, and the oxidation of gaseous elemental mercury. The chemical mechanisms leading to the heterogeneous release of gaseous bromine compounds from saline surfaces are in principle well understood. There are, however, substantial uncertainties about the contribution of different potential sources to the release of reactive bromine, such as sea ice, brine, aerosols, and the snow surface, as well as about the seasonal and diurnal variation and the vertical distribution of reactive bromine. Here we use continuous long-term measurements of the vertical distribution of bromine monoxide (BrO) and aerosols at the two Antarctic sites Neumayer (NM) and Arrival Heights (AH), covering the periods of 2003-2021 and 2012-2021, respectively, to investigate how chemical and physical parameters affect the abundance of BrO. We find the strongest correlation between BrO and aerosol extinction (R=0.56 for NM and R=0.28 for AH during spring), suggesting that the heterogeneous release of Br-2 from saline airborne particles (blowing snow and aerosols) is a dominant source for reactive bromine. Positive correlations between BrO and contact time of air masses, both with sea ice and the Antarctic ice sheet, suggest that reactive bromine is not only emitted by the sea ice surface but by the snowpack on the ice shelf and in the coastal regions of Antarctica. In addition, the open ocean appears to represent a source for reactive bromine during late summer and autumn when the sea ice extent is at its minimum. A source-receptor analysis based on back trajectories and sea ice maps shows that main source regions for BrO at NM are the Weddell Sea and the Filchner-Ronne Ice Shelf, as well as coastal polynyas where sea ice is newly formed. A strong morning peak in BrO frequently occurring during summer and that is particularly strong during autumn suggests a night-time build-up of Br-2 by heterogeneous reaction of ozone on the saline snowpack in the vicinity of the measurement sites. We furthermore show that BrO can be sustained for at least 3 d while travelling across the Antarctic continent in the absence of any saline surfaces that could serve as a source for reactive bromine.</t>
  </si>
  <si>
    <t>[Friess, Udo; Platt, Ulrich] Heidelberg Univ, Inst Environm Phys, Heidelberg, Germany; [Kreher, Karin] BK Sci GmbH, Mainz, Germany; [Querel, Richard; Smale, Dan] Natl Inst Water &amp; Atmospher Res, Lauder, New Zealand; [Schmithuesen, Holger; Weller, Rolf] Alfred Wegener Inst Polar &amp; Marine Res, Bremerhaven, Germany</t>
  </si>
  <si>
    <t>Ruprecht Karls University Heidelberg; National Institute of Water &amp; Atmospheric Research (NIWA) - New Zealand; Helmholtz Association; Alfred Wegener Institute, Helmholtz Centre for Polar &amp; Marine Research</t>
  </si>
  <si>
    <t>Friess, U (corresponding author), Heidelberg Univ, Inst Environm Phys, Heidelberg, Germany.</t>
  </si>
  <si>
    <t>udo.friess@iup.uni-heidelberg.de</t>
  </si>
  <si>
    <t>Platt, Ulrich/HZM-2289-2023; Querel, Richard/D-3770-2015</t>
  </si>
  <si>
    <t>Querel, Richard/0000-0001-8792-2486; Rolf, Weller/0000-0003-4880-5572; Friess, Udo/0000-0001-7176-7936</t>
  </si>
  <si>
    <t>Automatic Weather Station Program; Antarctic Meteorological Research Center for the McMurdo radiosonde data [ARC-0713843, ANT-0944018, ANT-1141908]; Deutsche Forschungsgemeinschaft (DFG) [FR2497/2-1, FR2497/3-1, FR2497/3-2]</t>
  </si>
  <si>
    <t>Automatic Weather Station Program; Antarctic Meteorological Research Center for the McMurdo radiosonde data; Deutsche Forschungsgemeinschaft (DFG)(German Research Foundation (DFG))</t>
  </si>
  <si>
    <t>Our sincerest thanks go to the countless scientists and technicians at Neumayer Station and Scott Base, who have operated and maintained the MAX-DOAS instrument over so many years. Their immense support made sure that the instruments provided continuous measurements of high quality. We would also like to thank Paul Johnston, Alan Thomas, and Steven Wood from NIWA for their support of the operation of the AH MAX-DOAS instrument. We appreciate the support of the Automatic Weather Station Program and Antarctic Meteorological Research Center for the McMurdo radiosonde data (Matthew Lazzara, NSF grant nos. ARC-0713843, ANT-0944018, and ANT-1141908). We thank the National Oceanic and Atmospheric Administration (NOAA) for providing AH surface ozone data and for making the GDAS meteorological fields and the HYSPLIT trajectory model available. We would also like to express our gratitude to the EUMETSAT Data Centre (EDC) for providing OSI-SAF sea ice products. Many thanks are given to Alexei Rozanov for providing the SCIATRAN radiative transfer model, which serves as the forward model for the HEIPRO algorithm. Parts of this study were funded by the Deutsche Forschungsgemeinschaft (DFG) (grant nos. FR2497/2-1, FR2497/3-1, and FR2497/3-2).</t>
  </si>
  <si>
    <t>10.5194/acp-23-3207-2023</t>
  </si>
  <si>
    <t>9S8LB</t>
  </si>
  <si>
    <t>WOS:000946586900001</t>
  </si>
  <si>
    <t>Plum, C; Möller, FM; Smykala, M; Moorthi, S</t>
  </si>
  <si>
    <t>Plum, Christoph; Moeller, Fenja-Marie; Smykala, Mike; Moorthi, Stefanie</t>
  </si>
  <si>
    <t>Elemental composition and stoichiometry of krill and salps</t>
  </si>
  <si>
    <t>Southern Ocean; Antarctic Peninsula; zooplankton; Antarctic krill; Salpa thompsoni; tunicates; euphausiids; ecological stoichiometry</t>
  </si>
  <si>
    <t>SOUTHERN-OCEAN PHYTOPLANKTON; N-P STOICHIOMETRY; EUPHAUSIA-SUPERBA; ANTARCTIC KRILL; BIOCHEMICAL-COMPOSITION; THYSANOESSA-LONGIPES; THOMPSONI ECOLOGY; AUSTRAL SUMMER; GROWTH-RATES; ZOOPLANKTON</t>
  </si>
  <si>
    <t>Krill and salps play a pivotal role in marine food webs and ocean biogeochemistry, yet little is known about their stoichiometry, which is crucial for our understanding of the consequences of key grazer population shifts for ecosystem functioning. To assess differences in stoichiometric requirements, we compared the elemental composition of carbon (C), nitrogen (N) and phosphorus (P) in body tissue and gut content of Euphausia superba and Salpa thompsoni collected along the Northern Antarctic Peninsula and conducted a systematic literature review on the stoichiometry of 33 euphausiid and 19 salp species. Our data revealed significantly lower body C:P and N:P ratios but higher gut content N:P in S. thompsoni compared with E. superba, suggesting higher P uptake. In contrast, literature data showed higher C:N, C:P and N:P ratios in salps, potentially indicating lower nutrient demand compared with krill. However, literature data exhibited high intra- and interspecific variability potentially driven by organism size, seasonal or latitudinal variations, emphasizing that nutritional requirements are not only related to the target species, but also to its habitat. Our study provides valuable stoichiometric information for future experimental and modeling studies, fostering our ability to predict the future role of krill and salps for ocean biogeochemistry.</t>
  </si>
  <si>
    <t>[Plum, Christoph; Moeller, Fenja-Marie; Smykala, Mike; Moorthi, Stefanie] Carl von Ossietzky Univ Oldenburg, Inst Chem &amp; Biol Marine Environm ICBM, Schleusenstr 1, D-26382 Wilhelmshaven, Lower Saxony, Germany</t>
  </si>
  <si>
    <t>Carl von Ossietzky Universitat Oldenburg</t>
  </si>
  <si>
    <t>Plum, C (corresponding author), Carl von Ossietzky Univ Oldenburg, Inst Chem &amp; Biol Marine Environm ICBM, Schleusenstr 1, D-26382 Wilhelmshaven, Lower Saxony, Germany.</t>
  </si>
  <si>
    <t>c.plum@uni-oldenburg.de; fenja-marie.moeller1@uni-oldenburg.de; mike.jan.smykala@uni-oldenburg.de</t>
  </si>
  <si>
    <t>Smykala, Mike/IXD-6259-2023</t>
  </si>
  <si>
    <t>Ministry for Science and Culture of Lower Saxony (MWK); Deutsche Forschungsgemeinschaft (DFG, German Research Foundation) [PL 933/1-1]</t>
  </si>
  <si>
    <t>Ministry for Science and Culture of Lower Saxony (MWK); Deutsche Forschungsgemeinschaft (DFG, German Research Foundation)(German Research Foundation (DFG))</t>
  </si>
  <si>
    <t>Ministry for Science and Culture of Lower Saxony (MWK). The study was part of the project Population Shift and Ecosystem Response-Krill vs. Salps (POSER), headed by Bettina Meyer and Helmut Hille-brand. The work was additionally funded by the Deutsche Forschungsgemeinschaft (DFG, German Research Foundation)-PL 933/1-1.</t>
  </si>
  <si>
    <t>10.1093/plankt/fbad005</t>
  </si>
  <si>
    <t>C9AL7</t>
  </si>
  <si>
    <t>WOS:000948580200001</t>
  </si>
  <si>
    <t>Moreau, S; Hattermann, T; de Steur, L; Kauko, HM; Ahonen, H; Ardelan, M; Assmy, P; Chierici, M; Descamps, S; Dinter, T; Falkenhaug, T; Fransson, A; Gronningsæter, E; Hallfredsson, EH; Huhn, O; Lebrun, A; Lowther, A; Lübcker, N; Monteiro, P; Peeken, I; Roychoudhury, A; Rózanska, M; Ryan-Keogh, T; Sanchez, N; Singh, A; Simonsen, JH; Steiger, N; Thomalla, SJ; van Tonder, A; Wiktor, JM; Steen, H</t>
  </si>
  <si>
    <t>Moreau, Sebastien; Hattermann, Tore; de Steur, Laura; Kauko, Hanna M.; Ahonen, Heidi; Ardelan, Murat; Assmy, Philipp; Chierici, Melissa; Descamps, Sebastien; Dinter, Tilman; Falkenhaug, Tone; Fransson, Agneta; Gronningsaeter, Eirik; Hallfredsson, Elvar H.; Huhn, Oliver; Lebrun, Anais; Lowther, Andrew; Luebcker, Nico; Monteiro, Pedro; Peeken, Ilka; Roychoudhury, Alakendra; Rozanska, Magdalena; Ryan-Keogh, Thomas; Sanchez, Nicolas; Singh, Asmita; Simonsen, Jan Henrik; Steiger, Nadine; Thomalla, Sandy J.; van Tonder, Andre; Wiktor, Jozef M.; Steen, Harald</t>
  </si>
  <si>
    <t>Wind-driven upwelling of iron sustains dense blooms and food webs in the eastern Weddell Gyre</t>
  </si>
  <si>
    <t>SOUTHERN-OCEAN; DISSOLVED IRON; CARBON; EXPORT; WATER; SEA; CIRCULATION; MATTER; CYCLE</t>
  </si>
  <si>
    <t>The Southern Ocean is a major sink of anthropogenic CO2 and an important foraging area for top trophic level consumers. However, iron limitation sets an upper limit to primary productivity. Here we report on a considerably dense late summer phytoplankton bloom spanning 9000 km(2) in the open ocean of the eastern Weddell Gyre. Over its 2.5 months duration, the bloom accumulated up to 20 g C m(-2) of organic matter, which is unusually high for Southern Ocean open waters. We show that, over 1997-2019, this open ocean bloom was likely driven by anomalies in easterly winds that push sea ice southwards and favor the upwelling of Warm Deep Water enriched in hydrothermal iron and, possibly, other iron sources. This recurring open ocean bloom likely facilitates enhanced carbon export and sustains high standing stocks of Antarctic krill, supporting feeding hot spots for marine birds and baleen whales. This study reports a dense, late summer phytoplankton bloom in the Southern Ocean that accumulated unusually high levels of organic matter and supported feeding hot spots for birds and whales. The authors show that this recurring open ocean bloom is driven by anomalies in easterly winds that push sea ice southwards and favour the upwelling of deep waters enriched in hydrothermal iron.</t>
  </si>
  <si>
    <t>[Moreau, Sebastien; Hattermann, Tore; de Steur, Laura; Kauko, Hanna M.; Ahonen, Heidi; Assmy, Philipp; Descamps, Sebastien; Fransson, Agneta; Gronningsaeter, Eirik; Lowther, Andrew; Steen, Harald] Norwegian Polar Res Inst, Tromso, Norway; [Ardelan, Murat; Sanchez, Nicolas] Trondheim Univ, NTNU, Trondheim, Norway; [Chierici, Melissa; Hallfredsson, Elvar H.] Inst Marine Res, Tromso, Norway; [Dinter, Tilman; Peeken, Ilka] Alfred Wegener Inst, Bremerhaven, Germany; [Falkenhaug, Tone; Simonsen, Jan Henrik] Inst Marine Res, Flodevigen, Norway; [Huhn, Oliver] Univ Bremen, Inst Environm Phys, Bremen, Germany; [Lebrun, Anais] Sorbonne Univ, CNRS, Lab Oceanog Villefranche, Villefranche Sur Mer, France; [Luebcker, Nico] Univ New Mexico, Dept Biol, MSC03-2020, Albuquerque, NM USA; [Monteiro, Pedro; Ryan-Keogh, Thomas; Singh, Asmita; Thomalla, Sandy J.] CSIR, Southern Ocean Carbon &amp; Climate Observ, Cape Town, South Africa; [Roychoudhury, Alakendra; Singh, Asmita] Stellenbosch Univ, Dept Earth Sci, Stellenbosch, South Africa; [Rozanska, Magdalena] Inst Oceanol PAN, Sopot, Poland; [Steiger, Nadine] Univ Bergen, Geophys Inst, Bergen, Norway; [Steiger, Nadine] Bjerknes Ctr Climate Res, Bergen, Norway; [Steiger, Nadine] Sorbonne Univ, CNRS, MNHN, IRD,LOCEAN,IPSL, Paris, France; [Thomalla, Sandy J.] Univ Cape Town, Marine Res Inst, Cape Town, South Africa; [van Tonder, Andre] Univ Pretoria, Mammal Res Inst, Dept Zool &amp; Entomol, Private Bag X20, Hatfield, South Africa</t>
  </si>
  <si>
    <t>Norwegian Polar Institute; Institute of Marine Research - Norway; Helmholtz Association; Alfred Wegener Institute, Helmholtz Centre for Polar &amp; Marine Research; Institute of Marine Research - Norway; University of Bremen; Centre National de la Recherche Scientifique (CNRS); Sorbonne Universite; University of New Mexico; Council for Scientific &amp; Industrial Research (CSIR) - South Africa; Stellenbosch University; Polish Academy of Sciences; Institute of Oceanology of the Polish Academy of Sciences; University of Bergen; Bjerknes Centre for Climate Research; Institut de Recherche pour le Developpement (IRD); Centre National de la Recherche Scientifique (CNRS); Museum National d'Histoire Naturelle (MNHN); Sorbonne Universite; University of Cape Town; University of Pretoria</t>
  </si>
  <si>
    <t>Moreau, S (corresponding author), Norwegian Polar Res Inst, Tromso, Norway.</t>
  </si>
  <si>
    <t>sebastien.moreau@npolar.no</t>
  </si>
  <si>
    <t>Ardelan, Murat V./J-6492-2013; de Steur, Laura/B-4882-2016</t>
  </si>
  <si>
    <t>Singh, Asmita/0000-0002-5165-2602; Peeken, Ilka/0000-0003-1531-1664; Moreau, Sebastien/0000-0001-9446-812X; Falkenhaug, Tone/0000-0003-3617-7724; Lowther, Andrew/0000-0003-4294-3157; de Steur, Laura/0000-0002-6043-7920; Steiger, Nadine/0000-0002-7533-6583</t>
  </si>
  <si>
    <t>Norwegian Polar Institute; Research Council of Norway (RCN) [288370]; National Research Foundation, South Africa [UID 118715]; Research Council of Norway (RCN) funded project I-CRYME: Impact of CRYosphere Melting on Southern Ocean Ecosystems and biogeochemical cycles [335512]; Norwegian Centre of Excellence iC3: Center for ice, Cryosphere, Carbon and Climate [332635]; Polish Ministry of Science and Higher Education [W37/Svalbard/2020]; NSF's Southern Ocean Carbon and Climate Observations and Modeling (SOCCOM) Project under the NSF [PLR-1425989, OPP-1936222]; NOAA; NASA; U.S. National Science Foundation through the U.S. Antarctic Program; Norwegian Ministry of Foreign Affairs</t>
  </si>
  <si>
    <t>Norwegian Polar Institute; Research Council of Norway (RCN)(Research Council of Norway); National Research Foundation, South Africa(National Research Foundation - South AfricaSouth African Medical Research Council); Research Council of Norway (RCN) funded project I-CRYME: Impact of CRYosphere Melting on Southern Ocean Ecosystems and biogeochemical cycles(Research Council of Norway); Norwegian Centre of Excellence iC3: Center for ice, Cryosphere, Carbon and Climate; Polish Ministry of Science and Higher Education(Ministry of Science and Higher Education, Poland); NSF's Southern Ocean Carbon and Climate Observations and Modeling (SOCCOM) Project under the NSF; NOAA(National Oceanic Atmospheric Admin (NOAA) - USA); NASA(National Aeronautics &amp; Space Administration (NASA)); U.S. National Science Foundation through the U.S. Antarctic Program(National Science Foundation (NSF)); Norwegian Ministry of Foreign Affairs</t>
  </si>
  <si>
    <t>The research cruise to the eastern Weddell Gyre onboard the RV Kronprins Haakon was funded by the Norwegian Polar Institute, with additional support from the Norwegian Ministry of Foreign Affairs. This study was also funded by the Research Council of Norway (RCN) (grant number 288370) and the National Research Foundation, South Africa (Grant UID 118715) through the Norway-South Africa collaborative project Southern Ocean phytoplankton community characteristics, primary production, CO2 flux and the effects of climate change (SOPHY-CO2) within the SANOCEAN framework (A.F., S.J.T., S.M., T.R.-K., L.d.S., M.C., P.M., M.A.). This study was also inspired by the Research Council of Norway (RCN) funded project I-CRYME: Impact of CRYosphere Melting on Southern Ocean Ecosystems and biogeochemical cycles (grant number 335512, S.M., T.H., P.A., M.A., A.F., M.C.) and the Norwegian Centre of Excellence iC3: Center for ice, Cryosphere, Carbon and Climate (grand number 332635, PA, SM, TH). The taxonomic analyses were supported by the Polish Ministry of Science and Higher Education (W37/Svalbard/2020, J.W., M.R.). Through the use of SOCCOM data, this work was also sponsored by NSF's Southern Ocean Carbon and Climate Observations and Modeling (SOCCOM) Project under the NSF Awards PLR-1425989 and OPP-1936222, with additional support from NOAA and NASA. Logistical support for this project in the Antarctic was provided by the U.S. National Science Foundation through the U.S. Antarctic Program. The Argo float data used for the mixed layer depths calculation were collected and made freely available by the Coriolis project (http://www.coriolis.eu.org), the International Argo Project (http://www.argo.net), and the national programs that contribute to them. We thank Isabelle Giddy for helping with the analysis of mixed layer depths in the area of the bloom.</t>
  </si>
  <si>
    <t>MAR 9</t>
  </si>
  <si>
    <t>10.1038/s41467-023-36992-1</t>
  </si>
  <si>
    <t>I3FY7</t>
  </si>
  <si>
    <t>WOS:001001683700012</t>
  </si>
  <si>
    <t>Beal, M; Catry, P; Phillips, RA; Oppel, S; Arnould, JPY; Bogdanova, MI; Bolton, M; Carneiro, APB; Clatterbuck, C; Conners, M; Daunt, F; Delord, K; Elliott, K; Fromant, A; Granadeiro, JP; Green, JA; Halsey, L; Hamer, KC; Ito, M; Jeavons, R; Kim, JH; Kokubun, N; Koyama, S; Lane, JV; Lee, WY; Matsumoto, S; Orben, RA; Owen, E; Paiva, VH; Patterson, A; Pollock, CJ; Ramos, JA; Sagar, P; Sato, K; Shaffer, SA; Soanes, L; Takahashi, A; Thompson, DR; Thorne, L; Torres, L; Watanuki, Y; Waugh, SM; Weimerskirch, H; Whelan, S; Yoda, K; Xavier, JC; Dias, MP</t>
  </si>
  <si>
    <t>Beal, Martin; Catry, Paulo; Phillips, Richard A.; Oppel, Steffen; Arnould, John P. Y.; Bogdanova, Maria I.; Bolton, Mark; Carneiro, Ana P. B.; Clatterbuck, Corey; Conners, Melinda; Daunt, Francis; Delord, Karine; Elliott, Kyle; Fromant, Aymeric; Granadeiro, Jose Pedro; Green, Jonathan A.; Halsey, Lewis; Hamer, Keith C.; Ito, Motohiro; Jeavons, Ruth; Kim, Jeong-Hoon; Kokubun, Nobuo; Koyama, Shiho; V. Lane, Jude; Lee, Won Young; Matsumoto, Sakiko; Orben, Rachael A.; Owen, Ellie; Paiva, Vitor H.; Patterson, Allison; Pollock, Christopher; Ramos, Jaime A.; Sagar, Paul; Sato, Katsufumi; Shaffer, Scott A.; Soanes, Louise; Takahashi, Akinori; Thompson, David R.; Thorne, Lesley; Torres, Leigh; Watanuki, Yutaka; Waugh, Susan M.; Weimerskirch, Henri; Whelan, Shannon; Yoda, Ken; Xavier, Jose C.; Dias, Maria P.</t>
  </si>
  <si>
    <t>Quantifying annual spatial consistency in chick-rearing seabirds to inform important site identification</t>
  </si>
  <si>
    <t>Biotelemetry; Animal tracking; Area-based conservation; Protected areas; Marine spatial planning; Key biodiversity areas; Sampling effort; Spatial consistency</t>
  </si>
  <si>
    <t>MARINE IMPORTANT BIRD; IMPORTANT AREAS; FORAGING AREAS; RANGE; MANAGEMENT; BIODIVERSITY; ALBATROSS; ANGUILLA; SIZE</t>
  </si>
  <si>
    <t>Animal tracking has afforded insights into patterns of space use in numerous species and thereby informed area -based conservation planning. A crucial consideration when estimating spatial distributions from tracking data is whether the sample of tracked animals is representative of the wider population. However, it may also be important to track animals in multiple years to capture changes in distribution in response to varying envi-ronmental conditions. Using GPS-tracking data from 23 seabird species, we assessed the importance of multi-year sampling for identifying important sites for conservation during the chick-rearing period, when seabirds are most spatially constrained. We found a high degree of spatial overlap among distributions from different years in most species. Multi-year sampling often captured a significantly higher portion of reference distributions (based on all data for a population) than sampling in a single year. However, we estimated that data from a single year would on average miss only 5 % less of the full distribution of a population compared to equal-sized samples collected across three years (min:-0.3 %, max: 17.7 %, n = 23). Our results suggest a key consideration for identifying important sites from tracking data is whether enough individuals were tracked to provide a representative es-timate of the population distribution during the sampling period, rather than that tracking necessarily take place in multiple years. By providing an unprecedented multi-species perspective on annual spatial consistency, this work has relevance for the application of tracking data to informing the conservation of seabirds.</t>
  </si>
  <si>
    <t>[Beal, Martin; Catry, Paulo] Inst Univ Ciencias Psicol, Marine &amp; Environm Sci Ctr, ARNET, Lisbon, Portugal; [Phillips, Richard A.] NERC, British Antarct Survey, Madingley Rd, Cambridge CB2 3QZ, England; [Oppel, Steffen] Royal Soc Protect Birds, RSPB Ctr Conservat Sci, David Attenborough Bldg,Pembroke St, Cambridge CB2 3QZ, England; [Arnould, John P. Y.; Fromant, Aymeric] Deakin Univ, Sch Life &amp; Environm Sci, 221 Burwood Highway, Burwood, Vic 3125, Australia; [Bogdanova, Maria I.; Daunt, Francis] UK Ctr Ecol &amp; Hydrol, Penicuik EH26 0QB, Scotland; [Bolton, Mark] RSPB Ctr Conservat Sci, 10,Albyn Terrace, Aberdeen AB10 1YP, Scotland; [Clatterbuck, Corey] San Jose State Univ, Biol Sci, 1 Washington Sq, San Jose, CA 95192 USA; [Clatterbuck, Corey] Calif State Water Resources Control Board Off Inf, 1001 St,19th Floor, Sacramento, CA 95814 USA; [Conners, Melinda] Univ Calif Santa Cruz, Long Marine Lab, 100 Shaffer Rd, Santa Cruz, CA 95060 USA; [Conners, Melinda; Weimerskirch, Henri] CNRS La Rochelle Univ prime, Ctr Etudes Biol Chiz, F-79360 Villiers En Bois, France; [Elliott, Kyle; Whelan, Shannon] McGill Univ, Dept Nat Resource Sci, 21111 Lakeshore Rd, Ste Anne De Bellevue, PQ H9X 3V9, Canada; [Granadeiro, Jose Pedro] Univ Lisbon, Fac Ciencias, CESAM, Dept Biol Anim, Rua Ernesto Vasconcelos, P-1749016 Lisbon, Portugal; [Green, Jonathan A.] Univ Liverpool, Sch Environm Sci, Liverpool L69 3GP, England; [Halsey, Lewis] Univ Roehampton, Holybourne Ave, London SW15 4JD, England; [Hamer, Keith C.] Univ Leeds, Sch Biol, Manton Bldg, Leeds LS2 9JT, England; [Ito, Motohiro] Toyo Univ, Fac Life Sci, I-1-1 Izumino, Itakura Machi, Japan; [Jeavons, Ruth; V. Lane, Jude; Pollock, Christopher] Univ Leeds, Sch Biol, Irene Manton Bldg, Leeds LS2 9JT, England; [Kim, Jeong-Hoon] Korea Polar Res Inst KOPRI, 26 Yeonsu Gu, Incheon 21990, South Korea; [Kokubun, Nobuo] Natl Inst Polar Res, Tachikawa, Tokyo 1908518, Japan; [Koyama, Shiho; Matsumoto, Sakiko] Nagoya Univ, Grad Sch Environm Studies, Furo Cho,Chikusa Ku, Nagoya 4648601, Japan; [V. Lane, Jude] RSPB Ctr Conservat Sci, 7-3-1 Cameron House, White Cross Estate LA1 4XF, Lancs, England; [Orben, Rachael A.] Oregon State Univ, Hatfield Marine Sci Ctr, Dept Fisheries Wildlife &amp; Conservat Sci, 2030 Marine Sci Dr, Newport, OR USA; [Owen, Ellie] RSPB North Scotland Off, Royal Soc Protect Birds, RSPB Ctr Conservat Sci, Beechwood Pk, Inverness IV2 6AL, Scotland; [Paiva, Vitor H.] Univ Coimbra, Dept Life Sci, Calcada Martim Freitas, MARE, P-3000456 Coimbra, Portugal; [Sagar, Paul] Natl Inst Water &amp; Atmospher Res, POB 8602, Christchurch 8011, New Zealand; [Sato, Katsufumi] Univ Tokyo, Atmosphere &amp; Ocean Res Inst, 5-1-5 Kashiwanoha, Kashiwa, Chiba 2778564, Japan; [Soanes, Louise] Univ Roehampton, Life Sci, Whiteland Campus, London SW154JD, England; [Takahashi, Akinori] Natl Inst Polar Res, Tachikawa, Tokyo 1908518, Japan; [Thompson, David R.] Natl Inst Water &amp; Atmospher Res, 301 Evans Bay Parade, Wellington 6021, New Zealand; [Torres, Leigh] Oregon State Univ, Marine Mammal Inst, 2030 SE Marine Sci Dr, Newport, OR 97365 USA; [Watanuki, Yutaka] Hokkaido Univ, Fac Fisheries Sci, Minato Cho 3-1-1, Hakodate 0418611, Japan; [Waugh, Susan M.] Ligue Protect Oiseaux, Fonderies Roy, CS90263, F-17305 Rochefort, France</t>
  </si>
  <si>
    <t>UK Research &amp; Innovation (UKRI); Natural Environment Research Council (NERC); NERC British Antarctic Survey; Royal Society for Protection of Birds; Deakin University; UK Centre for Ecology &amp; Hydrology (UKCEH); Royal Society for Protection of Birds; California State University System; San Jose State University; University of California System; University of California Santa Cruz; McGill University; Universidade de Lisboa; University of Liverpool; Roehampton University; University of Leeds; Toyo University; University of Leeds; Korea Polar Research Institute (KOPRI); Research Organization of Information &amp; Systems (ROIS); National Institute of Polar Research (NIPR) - Japan; Nagoya University; Royal Society for Protection of Birds; Oregon State University; Royal Society for Protection of Birds; Universidade de Coimbra; National Institute of Water &amp; Atmospheric Research (NIWA) - New Zealand; University of Tokyo; Research Organization of Information &amp; Systems (ROIS); National Institute of Polar Research (NIPR) - Japan; National Institute of Water &amp; Atmospheric Research (NIWA) - New Zealand; Oregon State University; Hokkaido University</t>
  </si>
  <si>
    <t>Beal, M (corresponding author), Univ Lisbon, Global Change &amp; Sustainabil Inst, Dept Anim Biol, Fac Ciencias, Campo Grande, P-1749016 Lisbon, Portugal.</t>
  </si>
  <si>
    <t>Catry, Paulo/I-5408-2013; Orben, Rachael A./H-9460-2019; Weimerskirch, Henri/F-5562-2013; Xavier, José/KFB-6739-2024; Green, Jonathan A/B-8799-2011; Dias, Maria P./D-1331-2012; Oppel, Steffen/H-2771-2019; Granadeiro, José Pedro/E-8060-2011; Daunt, Francis/K-6688-2012; Ramos, Jaime A./B-6616-2018; Shaffer, Scott/D-5015-2009; Paiva, Vitor/J-1092-2019</t>
  </si>
  <si>
    <t>Orben, Rachael A./0000-0002-0802-407X; Green, Jonathan A/0000-0001-8692-0163; Dias, Maria P./0000-0002-7281-4391; Oppel, Steffen/0000-0002-8220-3789; Granadeiro, José Pedro/0000-0002-7207-3474; Ramos, Jaime A./0000-0002-9533-987X; Shaffer, Scott/0000-0002-7751-5059; Koyama, Shiho/0000-0003-0801-5963; /0000-0002-9621-6660; Beal, Martin/0000-0003-1654-1410; Paiva, Vitor/0000-0001-6368-9579</t>
  </si>
  <si>
    <t>European Union's Horizon 2020 research and innovation programme under the Marie Sklodowska-Curie grant; FCT-Portugal; Falklands Islands Government; Ecosystems component of the British Antarctic Survey Polar Science for Planet Earth Programme - Natural Environment Research Council (NERC); Sea World Research and Rescue Foundation Inc.; Holsworth Wildlife Research Endowment; Winifred Violet Scott Trust; USFWS; NOAA; BOEM; Papahanaumokuakea Marine National Monument; UK-SCaPE programme delivering National Capability - NERC; French Polar Institute; Reserve Naturelle Nationale des Terres Australes Francaises; Zones Atelier Antarctique (LTSER France, CNRS-INEE); GulfWatch Alaska; Natural Sciences and Engineering Research Council of Canada; Canada Research Chair in Arctic Ecology; BirdLife Australia, Deakin University [766417]; UK Darwin Plus [UIDB/04292/2020, UIDP/04292/2020, LA/P/0069/2020]; Leverhulme Early Career research grant (The curious case of asynchronous breeding in tropical seabirds'); UK Government Department for Business, Energy &amp; Industrial Strategy (BEIS) Offshore Energy Strategic Environmental Assessment research programme; Natural Environment Research Council; Japan Society for the Promotion of Science; Korea Polar Research Institute; Japanese Antarctic Program for Joint Research with Foreign Countries; European Regional Development Fund through its Atlantic Area Programme; Marine Scotland [M14AC00026]; NatureScot; Natural England [NE/R016429/1]; Joint Nature Conservation Committee [109]; Royal Society for the Protection of Birds; MAVA Foundation; LIFE + Berlenga; New Zealand Department of Conservation; New Zealand Ministry for Primary Industries; National Science Foundation; Museum of New Zealand [DPLUS0007]; Grants-in-Aid for Scientific Research [22K21355, 22KJ1560] Funding Source: KAKEN; NERC [NE/R016429/1] Funding Source: UKRI</t>
  </si>
  <si>
    <t>European Union's Horizon 2020 research and innovation programme under the Marie Sklodowska-Curie grant(Marie Curie Actions); FCT-Portugal(Fundacao para a Ciencia e a Tecnologia (FCT)); Falklands Islands Government; Ecosystems component of the British Antarctic Survey Polar Science for Planet Earth Programme - Natural Environment Research Council (NERC); Sea World Research and Rescue Foundation Inc.; Holsworth Wildlife Research Endowment; Winifred Violet Scott Trust; USFWS(US Fish &amp; Wildlife Service); NOAA(National Oceanic Atmospheric Admin (NOAA) - USA); BOEM; Papahanaumokuakea Marine National Monument; UK-SCaPE programme delivering National Capability - NERC; French Polar Institute; Reserve Naturelle Nationale des Terres Australes Francaises; Zones Atelier Antarctique (LTSER France, CNRS-INEE); GulfWatch Alaska; Natural Sciences and Engineering Research Council of Canada(Natural Sciences and Engineering Research Council of Canada (NSERC)CGIAR); Canada Research Chair in Arctic Ecology; BirdLife Australia, Deakin University; UK Darwin Plus; Leverhulme Early Career research grant (The curious case of asynchronous breeding in tropical seabirds')(Leverhulme Trust); UK Government Department for Business, Energy &amp; Industrial Strategy (BEIS) Offshore Energy Strategic Environmental Assessment research programme; Natural Environment Research Council(UK Research &amp; Innovation (UKRI)Natural Environment Research Council (NERC)); Japan Society for the Promotion of Science(Ministry of Education, Culture, Sports, Science and Technology, Japan (MEXT)Japan Society for the Promotion of Science); Korea Polar Research Institute(Korea Polar Research Institute of Marine Research Placement (KOPRI)); Japanese Antarctic Program for Joint Research with Foreign Countries; European Regional Development Fund through its Atlantic Area Programme; Marine Scotland; NatureScot; Natural England; Joint Nature Conservation Committee; Royal Society for the Protection of Birds; MAVA Foundation; LIFE + Berlenga; New Zealand Department of Conservation; New Zealand Ministry for Primary Industries; National Science Foundation(National Science Foundation (NSF)); Museum of New Zealand;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</si>
  <si>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thank all the fieldworkers involved in tracking data collection and collation. We recognize the many USFWS volunteers who contributed assistance in the field to monitor the North Pacific albatrosses, including but not limited to: Hoku Cody, Megan Dalton, Ann Humphrey, Hope Ronco, and Amanda Gladics. We thank Elizabeth Mackley, Chris Bell, Mara Nydegger, Alice MacMillan, Guy Anderson, David Aitken, Ruth Brown, AJ Bellamy, Katherine Snell, Emily Scragg and Tessa Coledale for data collection. Some of the fieldwork was undertaken with permission from the Government of Anguilla. We thank Sir Hew Hamilton-Dalrymple and the Scottish Seabird Centre, North Berwick for access to Bass Rock. This project has received funding from the European Union's Horizon 2020 research and innovation programme under the Marie Sklodowska-Curie grant agreement No 766417. This communication reflects only the authors' views, and the Research Executive Agency of the European Union is not responsible for any use that may be made of the information it contains. Funding and project support includes: FCT-Portugal through projects UIDB/04292/2020 and UIDP/04292/2020, granted to MARE and through the project LA/P/0069/2020 granted to the Associate Laboratory ARNET; Falklands Islands Government; the Ecosystems component of the British Antarctic Survey Polar Science for Planet Earth Programme, funded by the Natural Environment Research Council (NERC); Sea World Research and Rescue Foundation Inc.; Holsworth Wildlife Research Endowment; Winifred Violet Scott Trust; USFWS, NOAA, BOEM (M14AC00026), and Papahanaumokuakea Marine National Monument; UK-SCaPE programme delivering National Capability (NE/R016429/1) funded by NERC; French Polar Institute (IPEV no109, resp H Weimerskirch); Reserve Naturelle Nationale des Terres Australes Francaises and the Zones Atelier Antarctique (LTSER France, CNRS-INEE); GulfWatch Alaska; Natural Sciences and Engineering Research Council of Canada; Canada Research Chair in Arctic Ecology; BirdLife Australia, Deakin University; UK Darwin Plus (DPLUS0007); Leverhulme Early Career research grant (The curious case of asynchronous breeding in tropical seabirds'). Funding was also provided by the UK Government Department for Business, Energy &amp; Industrial Strategy (BEIS) Offshore Energy Strategic Environmental Assessment research programme and the Natural Environment Research Council; the Japan Society for the Promotion of Science (13J06234, 20310016, JP16H06541, JP16H01769, JP21H05294); Korea Polar Research Institute (PG21040); Japanese Antarctic Program for Joint Research with Foreign Countries; European Regional Development Fund through its Atlantic Area Programme; Marine Scotland; NatureScot; Natural England; Joint Nature Conservation Committee; Royal Society for the Protection of Birds; MAVA Foundation (MAVA17022), through the project Alcyon - Conservation of seabirds from Cabo Verde; LIFE + Berlenga (LIFE13 NAT/PT/000458); New Zealand Department of Conservation; New Zealand Ministry for Primary Industries; National Science Foundation (award number 79804); and Museum of New Zealand.</t>
  </si>
  <si>
    <t>10.1016/j.biocon.2023.109994</t>
  </si>
  <si>
    <t>G5GE3</t>
  </si>
  <si>
    <t>WOS:000989430200001</t>
  </si>
  <si>
    <t>Siegfried, MR; Venturelli, RA; Patterson, MO; Arnuk, W; Campbell, TD; Gustafson, CD; Michaud, AB; Galton-Fenzi, BK; Hausner, MB; Holzschuh, SN; Huber, B; Mankoff, KD; Schroeder, DM; Summers, PT; Tyler, S; Carter, SP; Fricker, HA; Harwood, DM; Leventer, A; Rosenheim, BE; Skidmore, ML; Priscu, JC; SALSA Sci Team</t>
  </si>
  <si>
    <t>Siegfried, M. R.; Venturelli, R. A.; Patterson, M. O.; Arnuk, W.; Campbell, T. D.; Gustafson, C. D.; Michaud, A. B.; Galton-Fenzi, B. K.; Hausner, M. B.; Holzschuh, S. N.; Huber, B.; Mankoff, K. D.; Schroeder, D. M.; Summers, P. T.; Tyler, S.; Carter, S. P.; Fricker, H. A.; Harwood, D. M.; Leventer, A.; Rosenheim, B. E.; Skidmore, M. L.; Priscu, J. C.; SALSA Sci Team</t>
  </si>
  <si>
    <t>The life and death of a subglacial lake in West Antarctica</t>
  </si>
  <si>
    <t>WHILLANS ICE STREAM; GROUNDING LINE; WATER-PIRACY; BENEATH; HYPOTHESIS; SYSTEM</t>
  </si>
  <si>
    <t>Over the past 50 years, the discovery and initial investigation of subglacial lakes in Antarctica have highlighted the paleoglaciological information that may be recorded in sediments at their beds. In December 2018, we accessed Mercer Subglacial Lake, West Antarctica, and recovered the first in situ subglacial lake-sediment record-120 mm of finely laminated mud. We combined geophysical observations, image analysis, and quantitative stratigraphy techniques to estimate long-term mean lake sedimentation rates (SRs) between 0.49 +/- 0.12 mm a-1 and 2.3 +/- 0.2 mm a-1, with a most likely SR of 0.68 +/- 0.08 mm a-1. These estimates suggest that this lake formed between 53 and 260 a before core recovery (BCR), with a most likely age of 180 +/- 20 a BCR-coincident with the stagnation of the nearby Kamb Ice Stream. Our work demonstrates that interconnected subglacial lake systems are fundamentally linked to larger-scale ice dynamics and highlights that subglacial sediment archives contain powerful, century-scale records of ice history and provide a modern process -based analogue for interpreting paleo-subglacial lake facies.</t>
  </si>
  <si>
    <t>[Siegfried, M. R.; Holzschuh, S. N.] Colorado Sch Mines, Dept Geophys, Hydrol Sci &amp; Engn Program, Golden, CO 80401 USA; [Venturelli, R. A.] Colorado Sch Mines, Dept Geol &amp; Geol Engn, Golden, CO 80401 USA; [Patterson, M. O.; Arnuk, W.] SUNY Binghamton, Dept Geol Sci &amp; Environm Studies, Binghamton, NY 13902 USA; [Campbell, T. D.; Skidmore, M. L.] Montana State Univ, Dept Earth Sci, Bozeman, MT 59717 USA; [Gustafson, C. D.; Fricker, H. A.] Univ Calif San Diego, Scripps Inst Oceanog, La Jolla, CA 92093 USA; [Michaud, A. B.] Bigelow Lab Ocean Sci, East Boothbay, ME 04544 USA; [Galton-Fenzi, B. K.] Australian Antarctic Div, Kingston, Tas 7050, Australia; [Galton-Fenzi, B. K.] Univ Tasmania, Inst Marine &amp; Antarctic Studies, Australian Antarctic Program Partnership, Hobart, Tas 7001, Australia; [Galton-Fenzi, B. K.] Univ Tasmania, Australian Ctr Excellence Antarctic Sci, Hobart, Tas 7001, Australia; [Hausner, M. B.] Desert Res Inst, Div Hydrol Sci, Reno, NV 89512 USA; [Huber, B.] Columbia Univ, Lamont Doherty Earth Observ, Palisades, NY 10964 USA; [Mankoff, K. D.] Geol Survey Denmark &amp; Greenland GEUS, DK-1350 Copenhagen, Denmark; [Mankoff, K. D.] Business Integra, New York, NY 10001 USA; [Mankoff, K. D.] NASA Goddard Inst Space Studies, New York, NY 10025 USA; [Schroeder, D. M.; Summers, P. T.] Stanford Univ, Dept Geophys, Stanford, CA 94305 USA; [Schroeder, D. M.] Stanford Univ, Dept Elect Engn, Stanford, CA 94305 USA; [Tyler, S.] Univ Nevada, Dept Geol Sci &amp; Engn, Reno, NV 89557 USA; [Carter, S. P.] San Diego City Coll, Phys Sci Dept, San Diego, CA 92101 USA; [Harwood, D. M.] Univ Nebraska, Dept Earth &amp; Atmospher Sci, Lincoln, NE 68588 USA; [Leventer, A.] Colgate Univ, Dept Geol, Hamilton, NY 13346 USA; [Rosenheim, B. E.] Univ S Florida, Coll Marine Sci, St Petersburg, FL 33701 USA; [Priscu, J. C.] Polar Oceans Res Grp, Sheridan, MT 59749 USA</t>
  </si>
  <si>
    <t>Colorado School of Mines; Colorado School of Mines; State University of New York (SUNY) System; State University of New York (SUNY) Binghamton; Montana State University System; Montana State University Bozeman; University of California System; University of California San Diego; Scripps Institution of Oceanography; Bigelow Laboratory for Ocean Sciences; Australian Antarctic Division; University of Tasmania; University of Tasmania; Nevada System of Higher Education (NSHE); Desert Research Institute NSHE; Columbia University; Geological Survey Of Denmark &amp; Greenland; National Aeronautics &amp; Space Administration (NASA); NASA Goddard Space Flight Center; Goddard Institute for Space Studies; Stanford University; Stanford University; Nevada System of Higher Education (NSHE); University of Nevada Reno; University of Nebraska System; University of Nebraska Lincoln; Colgate University; State University System of Florida; University of South Florida</t>
  </si>
  <si>
    <t>Siegfried, MR (corresponding author), Colorado Sch Mines, Dept Geophys, Hydrol Sci &amp; Engn Program, Golden, CO 80401 USA.;Venturelli, RA (corresponding author), Colorado Sch Mines, Dept Geol &amp; Geol Engn, Golden, CO 80401 USA.</t>
  </si>
  <si>
    <t>siegfried@mines.edu; venturelli@mines.edu</t>
  </si>
  <si>
    <t>Venturelli, Ryan A/ISV-3343-2023; Michaud, Alex/AAC-4890-2020</t>
  </si>
  <si>
    <t>Venturelli, Ryan A/0000-0001-9548-0382; Michaud, Alex/0000-0001-5714-8741; Arnuk, William/0000-0002-4133-8935; Leventer, Amy/0000-0001-9401-0987; Patterso, Molly/0000-0002-5058-9269</t>
  </si>
  <si>
    <t>U.S. National Science Foundation [0636970, 0838885, 1327315, 1543347, 1543405, 1543441, 1543537, 1832109, 1832170, 1836328]; NASA [80NSSC20K1734, 80NSSC21K0912]</t>
  </si>
  <si>
    <t>U.S. National Science Foundation(National Science Foundation (NSF)); NASA(National Aeronautics &amp; Space Administration (NASA))</t>
  </si>
  <si>
    <t>This work was supported by the U.S. National Science Foundation (grants 0636970, 0838885, 1327315, 1543347, 1543405, 1543441, 1543537, 1832109, 1832170, and 1836328) and NASA (grants 80NSSC20K1734 and 80NSSC21K0912) . We thank the United States Antarctic Program; Kenn Borek Air; the New York Air National Guard; UNAVCO; the Center for Transformative Environmental Monitoring Programs (jointly operated by Oregon State University and the University of Nevada, Reno) ; Sue Cook; the University of Nebraska-Lincoln hot-water drill team; the European Space Agency; the U.S. National Snow and Ice Data Center; the Oregon State University Marine and Geology Repository, and Val Stanley; pre- WISSARD (Whillans Ice Stream Subglacial Access Research Drilling project) , WISSARD, and SALSA (Subglacial Antarctic Lakes Scientific Access project) field crews; and two anonymous reviewers and the sci- entific editor for thoughtful comments that improved our manuscript.</t>
  </si>
  <si>
    <t>10.1130/G50995.1</t>
  </si>
  <si>
    <t>J1HX3</t>
  </si>
  <si>
    <t>WOS:000979454500001</t>
  </si>
  <si>
    <t>Pascual-Ahuir, EG; Wang, ZM</t>
  </si>
  <si>
    <t>Pascual-Ahuir, Estanislao Gavilan; Wang, Zhaomin</t>
  </si>
  <si>
    <t>Optimized sea ice simulation in MITgcm-ECCO2 forced by ERA5</t>
  </si>
  <si>
    <t>OCEAN MODELLING</t>
  </si>
  <si>
    <t>ECCO2; Reanalysis comparison; JRA25; ERA5; Sea ice optimization</t>
  </si>
  <si>
    <t>OCEAN MODEL; THICKNESS; VARIABILITY; ASSIMILATION; SALINITY; BALANCE; IMPACT; MOTION; EXTENT; LAYER</t>
  </si>
  <si>
    <t>Coupled ice-ocean models require an accurate performance of sea ice dynamics and thermodynamics to realistically simulate sea ice circulation in the polar regions. However, atmospheric surface variables from re-analysis products that force the models differ in spatial and temporal resolutions, and there are also substantial inconsistencies in the distributions and magnitudes of these variables between the products. Therefore, several key parameters in the models need to be adjusted for the models forced by different atmospheric reanalysis products. This study compares the sea ice properties simulated by the previously optimized MITgcm-ECCO2 model forced by JRA25 and forced by the recently released ERA5. The comparisons with high-resolution satellite sea ice data reveal that the simulations forced by these two datasets significantly overestimate the Arctic sea ice concentration in summer, whereas the simulation forced by ERA5 underestimates the winter Antarctic sea ice. It is likely that the downward longwave radiation and wind stress regime in ERA5 is responsible for the underestimated Antarctic sea ice cover. We then optimize MITgcm-ECCO2 model forced by ERA5 by using Green functions. We consider six key parameters: sea ice strength, ice-atmospheric drag coefficient, ice-ocean drag coefficient, ice and snow albedos, and sea ice salinity. The optimized simulation significantly improves the sea ice distribution in both regions using a more realistic set of sea ice parameters. The most significant improvement is in the Antarctic, where winter sea ice extent misfit decreases by 48%. The optimized simulation reveals that ERA5 reproduces a closer representation of the Arctic sea ice extent and thickness than JRA25. In the southern hemisphere, ERA5 simulates the sea ice drift better, whereas the JRA25 have the closest match to the sea ice extent. Despite the improvements, further work is necessary for the Antarctic, where the lack of reliable observational data and limitations of the ocean model hinders the optimization.</t>
  </si>
  <si>
    <t>[Pascual-Ahuir, Estanislao Gavilan] Peking Univ, Sch Phys, Dept Atmospher &amp; Ocean Sci, Beijing, Peoples R China; [Wang, Zhaomin] Southern Marine Sci &amp; Engn Guangdong Lab Zhuhai, Zhuhai, Guangdong, Peoples R China</t>
  </si>
  <si>
    <t>Peking University; Southern Marine Science &amp; Engineering Guangdong Laboratory; Southern Marine Science &amp; Engineering Guangdong Laboratory (Zhuhai)</t>
  </si>
  <si>
    <t>Wang, ZM (corresponding author), Southern Marine Sci &amp; Engn Guangdong Lab Zhuhai, Zhuhai, Guangdong, Peoples R China.</t>
  </si>
  <si>
    <t>wangzhaomin@sml-zhuhai.cn</t>
  </si>
  <si>
    <t>National Natural Science Foun-dation of China [41941007, 41876220]; Priority Academic Program Development of JiangSu Higher Education Insti-tutions; Innovative Platform Program of Chinese Arctic and Antarctic Administration [CXPT2020009]; Hohai University Research Postdoc Fellowship</t>
  </si>
  <si>
    <t>National Natural Science Foun-dation of China(National Natural Science Foundation of China (NSFC)); Priority Academic Program Development of JiangSu Higher Education Insti-tutions; Innovative Platform Program of Chinese Arctic and Antarctic Administration; Hohai University Research Postdoc Fellowship</t>
  </si>
  <si>
    <t>Acknowledgments This study was supported by the National Natural Science Foun-dation of China Grant 41941007 and 41876220, and the Priority Academic Program Development of JiangSu Higher Education Insti-tutions. This study was also supported by the Innovative Platform Program of Chinese Arctic and Antarctic Administration under contract No. CXPT2020009. E. Gavilan gratefully acknowledges the support from Hohai University Research Postdoc Fellowship. E. Gavilan thanks Dr An T. Nguyen for their help and time on explaining the Green func-tion approach that we employed in this manuscript. Also, we thanks Prof Andrew Willmott for their suggestions that improved the quality of this manuscript. In addition, the authors thank two anonymous referee for their insightful comments which have greatly improve the study.</t>
  </si>
  <si>
    <t>1463-5003</t>
  </si>
  <si>
    <t>1463-5011</t>
  </si>
  <si>
    <t>OCEAN MODEL</t>
  </si>
  <si>
    <t>Ocean Model.</t>
  </si>
  <si>
    <t>10.1016/j.ocemod.2023.102183</t>
  </si>
  <si>
    <t>D8YD4</t>
  </si>
  <si>
    <t>WOS:000971520300001</t>
  </si>
  <si>
    <t>Wang, XX; Qu, CF; Miao, JK; Liu, XF; Yu, Y; Leng, KL; Miao, JL</t>
  </si>
  <si>
    <t>Wang, Xixi; Qu, Changfeng; Miao, Junkui; Liu, Xiaofang; Yu, Yuan; Leng, Kailiang; Miao, Jinlai</t>
  </si>
  <si>
    <t>Transcriptome response of Antarctic Phaeodactylum tricornutum ICE-H producing dimethylsulphoniopropionate to hypersaline stress</t>
  </si>
  <si>
    <t>Antarctic P; tricornutum ICE -H; Dimethylsulfoniopropionate; Hypersaline stress; Transcriptome profiling</t>
  </si>
  <si>
    <t>MICROBIAL FOOD-WEB; SEA-ICE; DIMETHYLSULFONIOPROPIONATE DMSP; DIMETHYL SULFIDE; BIOSYNTHESIS; OCEAN; IDENTIFICATION; SULFUR; GENE; CATABOLISM</t>
  </si>
  <si>
    <t>Dimethylsulfoniopropionate (DMSP) is one of the most abundant organosulfur-containing molecules on earth. The DMSP synthesis by microalgae is of great significance for understanding the large-scale feedback between marine phytoplankton and the atmospheric chemistry and physical environment. In this study, temperature 4 degrees C and salinity 32 parts per thousand were more suitable for the growth and biomass accumulation of Phaeodactylum tricornutum ICEH. Additionally, the DMSP synthesized by P. tricornutum ICE-H mainly exists in the form of particles, and the high salt environment is beneficial to DMSP biosynthesis. RNA-seq analysis revealed that the response of P. tricornutum ICE-H to hypersaline stress is a systematic work at global transcriptomic level, which may involve enhancements of photosynthesis, carbon fixation and ion transport processes, accelerated protein turnover, as well as fatty acid metabolism, glycolysis/gluconeogenesis. Meanwhile, several candidate DMSP synthesis genes were found that belong to the enzyme classes of the proposed algal assimilatory sulfur reduction pathway and transamination pathway. In conclusion, all the changes in these biological processes will help to recognize the new balance of P. tricornutum ICE-H adapting to hypersaline environment, and further understand the mechanism of the polar microalgae adapting to extreme environment and its unique phylogenetic status in polar habitats.</t>
  </si>
  <si>
    <t>[Wang, Xixi; Miao, Junkui; Liu, Xiaofang; Yu, Yuan; Leng, Kailiang] Chinese Acad Fishery Sci, Yellow Sea Fisheries Res Inst, Div Food Engn &amp; Nutr, Qingdao 266071, Peoples R China; [Qu, Changfeng; Miao, Jinlai] Minist Nat Resource, Inst Oceanog 1, Key Lab Marine Ecoenvironm Sci &amp; Technol, Qingdao 266061, Peoples R China; [Qu, Changfeng; Miao, Junkui; Liu, Xiaofang; Yu, Yuan; Leng, Kailiang; Miao, Jinlai] Qingdao Natl Lab Marine Sci &amp; Technol, Lab Marine Drugs &amp; Bioprod, Qingdao 266237, Peoples R China; [Leng, Kailiang] Chinese Acad Fishery Sci, Yellow Sea Fisheries Res Inst, Qingdao 266071, Peoples R China; [Miao, Jinlai] Minist Nat Resource, Inst Oceanog 1, Xianxialing Rd, Qingdao 266061, Peoples R China</t>
  </si>
  <si>
    <t>Chinese Academy of Fishery Sciences; Yellow Sea Fisheries Research Institute, CAFS; Laoshan Laboratory; Chinese Academy of Fishery Sciences; Yellow Sea Fisheries Research Institute, CAFS</t>
  </si>
  <si>
    <t>Leng, KL (corresponding author), Chinese Acad Fishery Sci, Yellow Sea Fisheries Res Inst, Qingdao 266071, Peoples R China.;Miao, JL (corresponding author), Minist Nat Resource, Inst Oceanog 1, Xianxialing Rd, Qingdao 266061, Peoples R China.</t>
  </si>
  <si>
    <t>lengkl@ysfri.ac.cn; miaojinlai@fio.org.cn</t>
  </si>
  <si>
    <t>Natural Science Foundation of China [32000074, 42176130, 32001770]; Science and Technology Planning Project of Guangxi [AA21196002]; Qingdao Postdoctoral Science Foundation [QDBSH20220201053]; Basic Scienti-fic Fund for National Public Research Institutes of China [2022Q10, 2020Q02]; Natural Science Foundation of Shandong [ZR2021MD044, 20SWAQX04]; Shandong Program of Qingdao Pilot National Laboratory for Marine Science and Technology [2022QNLM030003-1]; Tai Mountain Industry Leading Talent of Shandong [2019TSCYCX-06]; Key Research and Development Program of Shandong [2021TZXD008]; Qingdao Key Technology Research and Industrialization Demonstration [23-1-4-xxgg-20-nsh, 23-1-3hysf-1-hy]; Colleges? [202228041]; Qingdao West Coast New Area Major Scientific and Technological Innovation Project [ZDKC-2022-02]; National Key Research and Development Program of China [2022YFC2807500]</t>
  </si>
  <si>
    <t>Natural Science Foundation of China(National Natural Science Foundation of China (NSFC)); Science and Technology Planning Project of Guangxi; Qingdao Postdoctoral Science Foundation; Basic Scienti-fic Fund for National Public Research Institutes of China; Natural Science Foundation of Shandong(Natural Science Foundation of Shandong Province); Shandong Program of Qingdao Pilot National Laboratory for Marine Science and Technology; Tai Mountain Industry Leading Talent of Shandong; Key Research and Development Program of Shandong; Qingdao Key Technology Research and Industrialization Demonstration; Colleges?; Qingdao West Coast New Area Major Scientific and Technological Innovation Project; National Key Research and Development Program of China</t>
  </si>
  <si>
    <t>This study was supported by the Natural Science Foundation of China (32000074, 42176130, 32001770) , Science and Technology Planning Project of Guangxi (AA21196002) , Project funded by Qingdao Postdoctoral Science Foundation (QDBSH20220201053) , Basic Scienti-fic Fund for National Public Research Institutes of China (2022Q10, 2020Q02) , Natural Science Foundation of Shandong (ZR2021MD044) , Biosafety Research Program (20SWAQX04) , Shandong Program of Qingdao Pilot National Laboratory for Marine Science and Technology (2022QNLM030003-1) , Tai Mountain Industry Leading Talent of Shandong (2019TSCYCX-06) , Key Research and Development Program of Shandong (2021TZXD008) , Qingdao Key Technology Research and Industrialization Demonstration (23-1-4-xxgg-20-nsh, 23-1-3hysf-1-hy, 23-1-4-xxgg-13-nsh) , Jinan ?20 new Universities and Colleges? Funded Projects (202228041) , Qingdao West Coast New Area Major Scientific and Technological Innovation Project (ZDKC-2022-02) and National Key Research and Development Program of China (2022YFC2807500) .</t>
  </si>
  <si>
    <t>10.1016/j.procbio.2023.03.004</t>
  </si>
  <si>
    <t>E0MM6</t>
  </si>
  <si>
    <t>WOS:000972579400001</t>
  </si>
  <si>
    <t>Muir, R; Eaves, S; Vargo, L; Anderson, B; Mackintosh, A; Sagredo, E; Soteres, R</t>
  </si>
  <si>
    <t>Muir, Ruby; Eaves, Shaun; Vargo, Lauren; Anderson, Brian; Mackintosh, Andrew; Sagredo, Esteban; Soteres, Rodrigo</t>
  </si>
  <si>
    <t>Late glacial climate evolution in the Patagonian Andes (44-47° S) from alpine glacier modelling</t>
  </si>
  <si>
    <t>QUATERNARY SCIENCE REVIEWS</t>
  </si>
  <si>
    <t>Deglacial; Glaciology; Paleoclimatology; South America; Glacial modelling</t>
  </si>
  <si>
    <t>ANTARCTIC COLD REVERSAL; NEW-ZEALAND; NORTHWESTERN PATAGONIA; EASTERN FLANK; SOUTHERN ALPS; ICE; MAXIMUM; DEGLACIATION; TEMPERATURE; TERMINATION</t>
  </si>
  <si>
    <t>Numerical glacier models applied to moraine chronologies provide an opportunity to quantify past climate change. Here we apply a two-dimensional coupled mass balance -ice flow model to well-dated moraine sequences deposited by former alpine glaciers at two central Patagonian sites: Cerro Rinon (43.97 degrees S, 71.64 degrees W) and Rio Tranquilo (47.50 degrees S, 72.38 degrees W), to reconstruct the local temperatures during both the Antarctic Cold Reversal (14.7-13 ka) and the Younger Dryas (12.9-11 ka). Modelled tempera-ture anomalies during the Antarctic Cold Reversal are-2.6 +/- 0.4 degrees C at 44 degrees S, and-2.9 +/- 0.6 degrees C at 47 degrees S. At both locations this cold event is followed by temperature increases of +0.6-0.7 degrees C or precipitation re-ductions of c. 20% to drive glacier retreat to moraines deposited during Younger Dryas time. The consistent climatic anomalies between these two latitudes suggest this region of Patagonia was responding to a common climatic event. Further, the late-glacial temperature anomalies found here compare well to those determined by similar glacier modelling techniques in New Zealand, at 43-44 degrees S. These results support a trans-Pacific response throughout the southern mid to high latitudes (43-47 degrees S) during the ACR that is best explained by a northward expansion of the south westerly winds.(c) 2023 The Authors. Published by Elsevier Ltd. This is an open access article under the CC BY license (http://creativecommons.org/licenses/by/4.0/).</t>
  </si>
  <si>
    <t>[Muir, Ruby; Eaves, Shaun; Vargo, Lauren; Anderson, Brian] Victoria Univ Wellington, Antarctic Res Ctr, POB 600, Wellington 6140, New Zealand; [Muir, Ruby; Eaves, Shaun] Victoria Univ Wellington, Sch Geog Environm &amp; Earth Sci, Wellington, New Zealand; [Mackintosh, Andrew] Monash Univ, Sch Earth Atmosphere &amp; Environm, Clayton, Vic, Australia; [Sagredo, Esteban] Pontificia Univ Catolica Chile, Inst Geog, Santiago, Chile; [Sagredo, Esteban] UC Pontificia Univ Catolica Chile, Estn Patagonia Invest Interdisciplinarias, Santiago, Chile; [Soteres, Rodrigo] Univ Magallanes, Ctr Invest GAIA Antart, Punta Arenas, Chile; [Soteres, Rodrigo] Univ Magallanes, Ctr Int Cabo Hornos, Puerto Williams, Chile</t>
  </si>
  <si>
    <t>Victoria University Wellington; Victoria University Wellington; Monash University; Pontificia Universidad Catolica de Chile; Universidad de Magallanes; Universidad de Magallanes</t>
  </si>
  <si>
    <t>Muir, R (corresponding author), Victoria Univ Wellington, Antarctic Res Ctr, POB 600, Wellington 6140, New Zealand.</t>
  </si>
  <si>
    <t>Ruby.Muir@vuw.ac.nz</t>
  </si>
  <si>
    <t>Soteres, Rodrigo/HKN-4746-2023; SAGREDO, ESTEBAN/B-7280-2016</t>
  </si>
  <si>
    <t>SAGREDO, ESTEBAN/0000-0002-4494-5423; Mackintosh, Andrew/0000-0002-6430-4711</t>
  </si>
  <si>
    <t>Victoria University of Wellington and Marsden Fund-Royal Society of New Zealand [VUW1701]</t>
  </si>
  <si>
    <t>Victoria University of Wellington and Marsden Fund-Royal Society of New Zealand</t>
  </si>
  <si>
    <t>This work was supported by Victoria University of Wellington and Marsden Fund-Royal Society of New Zealand (VUW1701) .</t>
  </si>
  <si>
    <t>0277-3791</t>
  </si>
  <si>
    <t>1873-457X</t>
  </si>
  <si>
    <t>QUATERNARY SCI REV</t>
  </si>
  <si>
    <t>Quat. Sci. Rev.</t>
  </si>
  <si>
    <t>10.1016/j.quascirev.2023.108035</t>
  </si>
  <si>
    <t>C5AQ2</t>
  </si>
  <si>
    <t>WOS:000962043600001</t>
  </si>
  <si>
    <t>Bruno, DO; Valencia-Carrascoco, C; Paci, MA; Leonarduzzi, E; Castro, L; Riccialdelli, L; Iachetti, CM; Cadaillon, A; Giesecke, R; Schloss, IR; Berghoff, CF; Martín, J; Diez, M; Cabreira, A; Presta, ML; Capitanio, FL; Boy, CC</t>
  </si>
  <si>
    <t>Bruno, Daniel O.; Valencia-Carrascoco, Constanza; Paci, Maria A.; Leonarduzzi, Ezequiel; Castro, Leonardo; Riccialdelli, Luciana; Iachetti, Clara M.; Cadaillon, Andreana; Giesecke, Ricardo; Schloss, Irene R.; Berghoff, Carla F.; Martin, Jacobo; Diez, Mariano; Cabreira, Ariel; Presta, Maria L.; Capitanio, Fabiana L.; Boy, Claudia C.</t>
  </si>
  <si>
    <t>Spring plankton energy content by size classes in two contrasting environments of a high latitude ecosystem: The Beagle Channel</t>
  </si>
  <si>
    <t>Microplankton; Microzooplankton; Mesozooplankton; Energy content; Sub -Antarctic environment; Beagle Channel</t>
  </si>
  <si>
    <t>BIOCHEMICAL-COMPOSITION; ELEMENTAL COMPOSITION; ELEVATED-TEMPERATURE; SEASONAL-VARIATION; MARINE ECOSYSTEMS; CALORIC CONTENT; COASTAL WATERS; BOTTOM-UP; TOP-DOWN; ZOOPLANKTON</t>
  </si>
  <si>
    <t>This study aimed to characterize the energy density (ED), using a micro-bomb calorimeter, of different plankton fractions: microplankton (23-67 mu m; including phytoplankton and small heterotrophs), microzooplankton (67-200 mu m), mesozooplankton (200-2000 mu m), and fish larvae, at two micro-basins separated by a sill (the Mackinlay Strait) and with different topography and hydrography in the Beagle Channel. For that purpose, two sampling sites (west (F1) and east (F2) of the Mackinlay Strait), two strata (surface and near-bottom layers) and diel variations (diurnal and nocturnal hours) were considered. Also, patterns among plankton fractions' ED and water properties (temperature, salinity, total alkalinity, pH, and dissolved inorganic carbon) were analysed by redundancy analysis. ED values of the plankton fractions differed among sites, strata and sampling time. Surface microplankton at F1 showed higher ED than at F2. A trend of higher ED values of microzooplankton was observed at the surface than at the near-bottom layer of F1, whereas similar values between both layers (surface and near-bottom) were observed at F2. Mesozooplankton was the plankton fraction that most contributed to the site-depth-time of sampling differences in ED. For instance, the ED of mesozooplankton was higher at the near -bottom than the surface layer during diurnal and nocturnal hours of F1, while the opposite was observed for nocturnal hours at F2. ED of microplankton was associated with conditions of lower values of total alkalinity and salinity but higher temperature, whereas microzooplankton was associated with the opposite conditions. The ED of mesozooplankton was associated with conditions of higher pH and diurnal hours. It is proposed that the energy flow patterns of the plankton community in the Beagle Channel differ in the two micro-basins formed by the MacKinlay Strait (east and west of it), with lower and more homogeneous ED values between fractions and layers east of the Strait characterised by depleted-in-nutrients waters.</t>
  </si>
  <si>
    <t>[Bruno, Daniel O.; Paci, Maria A.; Riccialdelli, Luciana; Iachetti, Clara M.; Cadaillon, Andreana; Schloss, Irene R.; Martin, Jacobo; Diez, Mariano; Boy, Claudia C.] Ctr Austral Invest Cient CADIC CONICET, Bernardo Houssay 200,V9410BFD, Ushuaia, Tierra Del Fueg, Argentina; [Bruno, Daniel O.; Schloss, Irene R.] Univ Nacl Tierra Fuego ICPA UNTDF, Inst Ciencias Polares Ambiente &amp; Recursos Nat, Fuegia Basket 251,V9410BFD, Ushuaia, Tierra Del Fueg, Argentina; [Valencia-Carrascoco, Constanza; Presta, Maria L.; Capitanio, Fabiana L.] Univ Buenos Aires, Consejo Nacl Invest Cient &amp; Tecn DBBE IBBEA UBA C, Dept Biodivers &amp; Biol Expt, Inst Biodiversidad &amp; Biol Expt &amp; Aplicada, Intendente Guiraldes 2160,Ciudad Univ,C1428EGA, Buenos Aires, Argentina; [Leonarduzzi, Ezequiel; Berghoff, Carla F.; Cabreira, Ariel] Inst Nacl Invest &amp; Desarrollo Pesquero INIDEP, Paseo Victoria Ocampo 1,CC 175,B7602HSA, Mar Del Plata, Argentina; [Castro, Leonardo] Univ Concepcion, Dept Oceanog, Concepcion, Chile; [Castro, Leonardo] Univ Concepcion, Ctr Invest Oceanog COPAS Coastal, Concepcion, Chile; [Castro, Leonardo; Giesecke, Ricardo] Ctr FONDAP Invest Dinam Ecosistemas Marinos Altas, Valdivia 5PVXG8, Chile; [Giesecke, Ricardo] Univ Austral Chile, Inst Ciencias Marinas &amp; Limnol, Independencia 631, Valdivia 5PVXG8, Chile; [Schloss, Irene R.] Inst Antartico Argentino, Ave 25 Mayo 1147,B7300FXH, San Martin, Buenos Aires, Argentina; [Martin, Jacobo] Univ Barcelona, Dept Dinam Terra &amp; Ocea, GRC Geociencies Marines, Barcelona 08028, Spain</t>
  </si>
  <si>
    <t>Consejo Nacional de Investigaciones Cientificas y Tecnicas (CONICET); University of Buenos Aires; National Fisheries Research &amp; Development Institute (INIDEP); Consejo Nacional de Investigaciones Cientificas y Tecnicas (CONICET); Universidad de Concepcion; Universidad de Concepcion; Universidad Austral de Chile; Instituto Antartico Argentino; University of Barcelona</t>
  </si>
  <si>
    <t>Bruno, DO (corresponding author), Ctr Austral Invest Cient CADIC CONICET, Bernardo Houssay 200,V9410BFD, Ushuaia, Tierra Del Fueg, Argentina.</t>
  </si>
  <si>
    <t>dobruno.ush@gmail.com</t>
  </si>
  <si>
    <t>Martin, Jacobo/0000-0001-8933-7731; Giesecke, Ricardo/0000-0002-8805-6089</t>
  </si>
  <si>
    <t>Consejo Nacional de Investigaciones Cientificas y Tecnicas; Ministerio de Ciencia, Tecnologia e Innovacion (MINCyT) Programa [FB210021]; Prince Albert II Foundation [RES-2019-2020-APN-DIR CONICET]; Centro FONDAP-IDEAL [PIP 440-2015]; Centro COPAS Sur Austral [ ANID PIA APOYO CCTE and Centro COPAS COASTAL] [PIP 2934-2021]; [C4]; [2863]; [15150003]; [AFB170006]; [P-UE-2016]</t>
  </si>
  <si>
    <t>Consejo Nacional de Investigaciones Cientificas y Tecnicas(Consejo Nacional de Investigaciones Cientificas y Tecnicas (CONICET)); Ministerio de Ciencia, Tecnologia e Innovacion (MINCyT) Programa; Prince Albert II Foundation; Centro FONDAP-IDEAL; Centro COPAS Sur Austral [ ANID PIA APOYO CCTE and Centro COPAS COASTAL]; ; ; ; ;</t>
  </si>
  <si>
    <t>We express our gratitude to G.A. Ferreyra and H.E. Gonzalez for the coordination of the interdisciplinary binational (Argentina -Chile) study program of the Beagle Channel; to Iniciativa Pampa Azul, Ministerio de Ciencia, Tecnologia e Innovacion and to Consejo Nacional de Investigaciones Cientificas y Tecnicas (grant RES-2019-2020-APN-DIR#CONICET) for sampling support and permission. We also acknowledge Instituto Nacional de Investigaci on y Desarrollo Pesquero (INIDEP) for supporting with the R/V Victor Angelescu and all the crew for helping during the research cruise. Special thanks to C. Fraysse and A. Perez for identification of Echinodermata larvae, and to the Editor-in-Chief, the Guest Editors (G.A Ferreyra and H.E. Gonzalez) and two anonymous reviewers for useful comments and suggestions on an early draft. This work was supported by the Consejo Nacional de Investigaciones Cientificas y Tecnicas (CONICET) [grants PIP 440-2015; P-UE-2016; PIP 2934-2021], by the Ministerio de Ciencia, Tecnologia e Innovacion (MINCyT) Programa Investigacion, Desarrollo e Innovacion en Ciencias del Mar [grant C4], and by Prince Albert II Foundation [grant No 2863] . LC was partially funded by Centro FONDAP-IDEAL [grant No 15150003], Centro COPAS Sur Austral [grant ANID PIA APOYO CCTE No AFB170006] and Centro COPAS COASTAL (grant No FB210021) .</t>
  </si>
  <si>
    <t>10.1016/j.jmarsys.2023.103876</t>
  </si>
  <si>
    <t>A5BF1</t>
  </si>
  <si>
    <t>WOS:000955267400001</t>
  </si>
  <si>
    <t>Siqueira, RG; Moquedace, CM; Francelino, MR; Schaefer, CEGR; Fernandes, EI</t>
  </si>
  <si>
    <t>Siqueira, Rafael G.; Moquedace, Cassio M.; Francelino, Marcio R.; Schaefer, Carlos E. G. R.; Fernandes-Filho, Elpidio I.</t>
  </si>
  <si>
    <t>Machine learning applied for Antarctic soil mapping: Spatial prediction of soil texture for Maritime Antarctica and Northern Antarctic Peninsula</t>
  </si>
  <si>
    <t>GEODERMA</t>
  </si>
  <si>
    <t>Antarctica; Digital soil mapping; Random Forest; Scorpan factors; Soil texture; Spatial modelling</t>
  </si>
  <si>
    <t>SOUTH-SHETLAND ISLANDS; JAMES-ROSS-ISLAND; KING GEORGE ISLAND; PARTICLE-SIZE FRACTIONS; ORGANIC-CARBON STOCKS; LIVINGSTON ISLAND; REGRESSION-TREE; BYERS PENINSULA; RANDOM FOREST; QUANTILE REGRESSION</t>
  </si>
  <si>
    <t>Soil texture is one of the most important soil properties as it drives several physical, chemical, biological, hy-drological, and mechanical properties, and processes. In Antarctica the soil texture controls different important ecological processes, such as carbon stocks, nutrient leaching, and toxic metals retention. Thus, there is a pressing need for accurate soil data for the Antarctic ice-free areas, especially under the pressures imposed by climate changes and human disturbances on the continent. In this work, we predicted the distribution of sand, silt, and clay of the main ice-free areas of Maritime Antarctica and Northern Antarctic Peninsula, allowing novel soil texture maps to be produced for Antarctica. We used legacy soil texture data and tested different machine learning models, of which Random Forest presented the best performance to prediction. The best predictors were associated with climate, topography, and soil development degree, representing the scorpan model factors. The highest accuracy was obtained for clay prediction, mainly in the topsoil (LCCC of 0.49 and R2 of 0.31). In the mapping, the sand contents presented higher values, with a predominance of sandy loam texture, although clay contents are higher in some spots where chemical weathering is stronger. The final maps presented good spatial consistency, with soil texture distributed according to factors such as geomorphology, parent material and pedogenetic development. With our results, we aim to subsidize decision-making about soils in Antarctica, be-sides providing pioneer data that can be incorporated in global environmental models.</t>
  </si>
  <si>
    <t>[Siqueira, Rafael G.; Francelino, Marcio R.; Schaefer, Carlos E. G. R.; Fernandes-Filho, Elpidio I.] Univ Fed Vicosa, Dept Solos, Ave PH Rolfs s-n, BR-36570900 Vicosa, MG, Brazil</t>
  </si>
  <si>
    <t>Universidade Federal de Vicosa</t>
  </si>
  <si>
    <t>Siqueira, RG (corresponding author), Univ Fed Vicosa, Dept Solos, Ave PH Rolfs s-n, BR-36570900 Vicosa, MG, Brazil.</t>
  </si>
  <si>
    <t>rafael.g.siqueira@ufv.br</t>
  </si>
  <si>
    <t>Francelino, Marcio Rocha/AAS-4224-2020; dos Santos, Cássio Marques Moquedace/AAW-3406-2020</t>
  </si>
  <si>
    <t>Francelino, Marcio Rocha/0000-0001-8837-1372; dos Santos, Cássio Marques Moquedace/0000-0002-7673-4524; Siqueira, Rafael Gomes/0000-0003-2779-136X; Fernandes-Filho, Elpidio/0000-0002-9484-1411</t>
  </si>
  <si>
    <t>Coordenacao de Aperfeicoamento de Pessoal de Nivel Superior - Brasil (CAPES) [001]; 'Programa de Pos-Graduacao em Solos e Nutricao de Plantas - PPGSNP' of the Soil Department of the Federal University of Vicosa (UFV), Brazil; Programa Brasileiro Antartico (PROANTAR)</t>
  </si>
  <si>
    <t>Coordenacao de Aperfeicoamento de Pessoal de Nivel Superior - Brasil (CAPES)(Coordenacao de Aperfeicoamento de Pessoal de Nivel Superior (CAPES)); 'Programa de Pos-Graduacao em Solos e Nutricao de Plantas - PPGSNP' of the Soil Department of the Federal University of Vicosa (UFV), Brazil; Programa Brasileiro Antartico (PROANTAR)</t>
  </si>
  <si>
    <t>This study was financed in part by the Coordenacao de Aperfeicoamento de Pessoal de Nivel Superior - Brasil (CAPES) - Finance Code 001. We thank the 'Programa de Pos-Graduacao em Solos e Nutricao de Plantas - PPGSNP' of the Soil Department of the Federal University of Vicosa (UFV), Brazil and Programa Brasileiro Antartico (PROANTAR) for the financial and material support. We also thank all authors who were willing to provide their data, or even publish it in a reproducible form, for use by third parties. This work is a contribution of Institute of Science and Technology of the Cryosphere - TERRANTAR Group and was developed with support of the Cluster - UFV.</t>
  </si>
  <si>
    <t>0016-7061</t>
  </si>
  <si>
    <t>1872-6259</t>
  </si>
  <si>
    <t>Geoderma</t>
  </si>
  <si>
    <t>10.1016/j.geoderma.2023.116405</t>
  </si>
  <si>
    <t>A4ZU4</t>
  </si>
  <si>
    <t>WOS:000955230700001</t>
  </si>
  <si>
    <t>McQueen, JP; Gattoni, K; Gendron, EMS; Schmidt, SK; Sommers, P; Porazinska, DL</t>
  </si>
  <si>
    <t>McQueen, J. Parr; Gattoni, K.; Gendron, E. M. S.; Schmidt, S. K.; Sommers, P.; Porazinska, D. L.</t>
  </si>
  <si>
    <t>External and internal microbiomes of Antarctic nematodes are distinct, but more similar to each other than the surrounding environment</t>
  </si>
  <si>
    <t>JOURNAL OF NEMATOLOGY</t>
  </si>
  <si>
    <t>Antarctica; bacteria; community assembly; ecology; Eudorylaimus antarcticus; metabarcoding; Plectus murrayi</t>
  </si>
  <si>
    <t>CAENORHABDITIS-ELEGANS; SOIL NEMATODE; TAYLOR VALLEY; DRY VALLEYS; SKIN; DISPERSAL; INVERTEBRATES; DIVERSITY; CYANOBACTERIA; PHYLOGENY</t>
  </si>
  <si>
    <t>Host-associated microbiomes have primarily been examined in the context of their internal microbial communities, but many animal species also contain microorganisms on external host surfaces that are important to host physiology. For nematodes, single strains of bacteria are known to adhere to the cuticle (e.g., Pasteuria penetrans), but the structure of a full external microbial community is uncertain. In prior research, we showed that internal gut microbiomes of nematodes (Plectus murrayi, Eudorylaimus antarcticus) and tardigrades from Antarctica's McMurdo Dry Valleys were distinct from the surrounding environment and primarily driven by host identity. Building on this work, we extracted an additional set of individuals containing intact external microbiomes and amplified them for 16S and 18S rRNA metabarcoding. Our results showed that external bacterial microbiomes were more diverse than internal microbiomes, but less diverse than the surrounding environment. Host-specific bacterial compositional patterns were observed, and external microbiomes were most similar to their respective internal microbiomes. However, external microbiomes were more influenced by the environment than the internal microbiomes were. Non-host eukaryotic communities were similar in diversity to internal eukaryotic communities, but exhibited more stochastic patterns of assembly compared to bacterial communities, suggesting the lack of a structured external eukaryotic microbiome. Altogether, we provide evidence that nematode and tardigrade cuticles are inhabited by robust bacterial communities that are substantially influenced by the host, albeit less so than internal microbiomes are.</t>
  </si>
  <si>
    <t>[McQueen, J. Parr; Gattoni, K.; Gendron, E. M. S.; Porazinska, D. L.] Univ Florida, Dept Entomol &amp; Nematol, Gainesville, FL 32611 USA; [Schmidt, S. K.; Sommers, P.] Univ Colorado, Dept Ecol &amp; Evolutionary Biol, Boulder, CO 80309 USA</t>
  </si>
  <si>
    <t>State University System of Florida; University of Florida; University of Colorado System; University of Colorado Boulder</t>
  </si>
  <si>
    <t>McQueen, JP (corresponding author), Univ Florida, Dept Entomol &amp; Nematol, Gainesville, FL 32611 USA.</t>
  </si>
  <si>
    <t>dorotalp@ufl.edu</t>
  </si>
  <si>
    <t>Schmidt, Steven K/G-2771-2010</t>
  </si>
  <si>
    <t>McQueen, J. Parr/0000-0002-7873-0850</t>
  </si>
  <si>
    <t>NSF Office of Polar Programs [1443578, 1443373]; University of Florida; Office of Polar Programs (OPP); Directorate For Geosciences [1443578] Funding Source: National Science Foundation; Office of Polar Programs (OPP); Directorate For Geosciences [1443373] Funding Source: National Science Foundation</t>
  </si>
  <si>
    <t>NSF Office of Polar Programs(National Science Foundation (NSF)); University of Florida(University of Florida); Office of Polar Programs (OPP); Directorate For Geosciences(National Science Foundation (NSF)NSF - Directorate for Geosciences (GEO)); Office of Polar Programs (OPP); Directorate For Geosciences(National Science Foundation (NSF)NSF - Directorate for Geosciences (GEO))</t>
  </si>
  <si>
    <t>The authors would like to thank the NSF Office of Polar Programs (Award #1443578, #1443373) and the University of Florida for funding this project. We thank the McMurdo Dry Valleys LTER and Josh Darling for sample collection. We would also like to thank Karen Kelley at the UF Interdisciplinary Center for Biotechnology Research for SEM sample processing and imaging.</t>
  </si>
  <si>
    <t>SOC NEMATOLOGISTS</t>
  </si>
  <si>
    <t>MARCELINE</t>
  </si>
  <si>
    <t>PO BOX 311, MARCELINE, MO 64658 USA</t>
  </si>
  <si>
    <t>0022-300X</t>
  </si>
  <si>
    <t>2640-396X</t>
  </si>
  <si>
    <t>J NEMATOL</t>
  </si>
  <si>
    <t>J. Nematol.</t>
  </si>
  <si>
    <t>10.2478/jofnem-2023-0004</t>
  </si>
  <si>
    <t>9S5XG</t>
  </si>
  <si>
    <t>WOS:000946411800001</t>
  </si>
  <si>
    <t>Pan, TT; Su, FZ; Yan, FQ; Lyne, V; Wang, ZH; Xu, L</t>
  </si>
  <si>
    <t>Pan, Tingting; Su, Fenzhen; Yan, Fengqin; Lyne, Vincent; Wang, Zhihua; Xu, Liang</t>
  </si>
  <si>
    <t>Optimization of multi-objective multi-functional landuse zoning using a vector-based genetic algorithm</t>
  </si>
  <si>
    <t>CITIES</t>
  </si>
  <si>
    <t>Multi -functional landuse zones; Ecosystem services value; Urban planning; Functional zoning optimization; BGG; NSGA-II</t>
  </si>
  <si>
    <t>USE ALLOCATION; NSGA-II</t>
  </si>
  <si>
    <t>Contemporary urban planners optimize economic and ecological tradeoffs from different landuses using raster models and homogeneous functional zones. However, ecosystem services depend on the diversity and connec-tivity of non-homogeneous ecological functions operating within functional zones. To account for these de-pendencies, we developed a multi-objective functional zoning optimization (MOFZO) model that considers the heterogeneity of internal ecological and economic functions within zones. Vector is used as optimization units, and blue-green-gray (BGG) composition mixture of water/vegetation/urban, within functional zones was used to describe the internal heterogeneity from mixed landuse in functional zones. Results from an extended NSGA-II model for Shenzhen in China, using three conflicting objectives (maximum GDP, maximum ESV, maximum Connectedness), showed patches around ports and coastal areas only changed BGG, which is consistent with the scarcity of coastal land resources and the need to internally optimize land use. Compared to the conventional NSGA-II case, ESV conservation performance was optimized in 41 % of the total changed patches through BGG changes only. These finding provide a practical functional zoning model for planners with deeper insights on implications of constraints and internal changes in functional zones, that materially improves overall ecosystem services within the limited land resources of coastal regions.</t>
  </si>
  <si>
    <t>[Pan, Tingting; Su, Fenzhen; Yan, Fengqin; Wang, Zhihua] Chinese Acad Sci, Inst Geog Sci &amp; Nat Resources Res, State Key Lab Resources &amp; Environm Informat Syst, Beijing 100101, Peoples R China; [Pan, Tingting; Su, Fenzhen; Yan, Fengqin; Wang, Zhihua] Univ Chinese Acad Sci, Coll Resources &amp; Environm, Beijing 100049, Peoples R China; [Pan, Tingting; Su, Fenzhen] Nanjing Univ, Collaborat Innovat Ctr South China Sea Studies, Nanjing 210093, Peoples R China; [Lyne, Vincent] Univ Tasmania, Inst Marine &amp; Antarctic Studies, Hobart, Tas 7004, Australia; [Xu, Liang] Chinese Acad Sci, Inst Geog Sci &amp; Nat Resources Res, Key Lab Reg Sustainable Dev Modeling, Beijing 100101, Peoples R China</t>
  </si>
  <si>
    <t>Chinese Academy of Sciences; Institute of Geographic Sciences &amp; Natural Resources Research, CAS; Chinese Academy of Sciences; University of Chinese Academy of Sciences, CAS; Nanjing University; University of Tasmania; Chinese Academy of Sciences; Institute of Geographic Sciences &amp; Natural Resources Research, CAS</t>
  </si>
  <si>
    <t>Su, FZ (corresponding author), Chinese Acad Sci, Inst Geog Sci &amp; Nat Resources Res, State Key Lab Resources &amp; Environm Informat Syst, Beijing 100101, Peoples R China.</t>
  </si>
  <si>
    <t>pantt@lreis.ac.cn; sufz@lreis.ac.cn; yanfq@lreis.ac.cn; vincent.lyne@utas.edu.au; zhwang@lreis.ac.cn; xuliang1517@igsnrr.ac.cn</t>
  </si>
  <si>
    <t>XU, Liang/0000-0003-1592-6175; Pan, Tingting/0000-0002-8538-4212</t>
  </si>
  <si>
    <t>National Natural Science Foundation of China [41890854]; Key Project of Innovation LREIS [KPI001]; National key R D plan [2022YFB3903604]</t>
  </si>
  <si>
    <t>National Natural Science Foundation of China(National Natural Science Foundation of China (NSFC)); Key Project of Innovation LREIS; National key R D plan</t>
  </si>
  <si>
    <t>Funding This work was supported by the National Natural Science Foundation of China (Grant No. 41890854) , Key Project of Innovation LREIS (Grant No. KPI001) , National key R &amp; D plan (Grant No. 2022YFB3903604) .</t>
  </si>
  <si>
    <t>0264-2751</t>
  </si>
  <si>
    <t>1873-6084</t>
  </si>
  <si>
    <t>Cities</t>
  </si>
  <si>
    <t>10.1016/j.cities.2023.104256</t>
  </si>
  <si>
    <t>Urban Studies</t>
  </si>
  <si>
    <t>0A1VR</t>
  </si>
  <si>
    <t>WOS:000951617500001</t>
  </si>
  <si>
    <t>Lee, SM; Baek, MO; Khaliq, SA; Parveen, A; Kim, SY; Kim, JH; Kim, I; Yoon, MS</t>
  </si>
  <si>
    <t>Lee, Seongmin; Baek, Mi-Ock; Khaliq, Sana Abdul; Parveen, Amna; Kim, Sun Yeou; Kim, Jin-Hyoung; Kim, Il-Chan; Yoon, Mee-Sup</t>
  </si>
  <si>
    <t>Antarctic krill extracts enhance muscle regeneration and muscle function via mammalian target of rapamycin regulation</t>
  </si>
  <si>
    <t>JOURNAL OF FUNCTIONAL FOODS</t>
  </si>
  <si>
    <t>Antarctic krill extracts; mTOR; Sarcopenia; N-eicosapentanoyl phenylalanine</t>
  </si>
  <si>
    <t>MTOR; OIL; MYOGENESIS; MEMBRANE; ACIDS</t>
  </si>
  <si>
    <t>Sarcopenia is a degenerative disease involving decreases in muscle mass and muscle strength. There is no effective therapeutic target or treatment for sarcopenia. Here, we isolated a new metabolite from Antarctic krill extracts (AKEs) and investigated whether AKEs promote muscle regeneration. The AKEs increased the muscle enhancer-reporter activity of insulin-like growth factor 2 as well as myogenic fusion during C2C12 myoblast differentiation in an mTOR-dependent manner but did not affect the cell cycle or apoptosis. When BaCl2-injured tibialis anterior muscles were injected with the extracts, the central surface area of centrally nucleated regenerating muscle fibers and the grip strength of regenerated muscles were enhanced. Finally, we identified Neicosapentanoyl phenylalanine as the bioactive compound in AKEs using mass spectrometry analysis. Our results suggest that AKEs augment muscle regeneration by increasing mTOR signaling. Thus, the extracts may be useful for developing treatments for sarcopenia.</t>
  </si>
  <si>
    <t>[Lee, Seongmin; Khaliq, Sana Abdul; Yoon, Mee-Sup] Gachon Univ, GAIHST, Dept Hlth Sci &amp; Technol, Incheon 21999, South Korea; [Baek, Mi-Ock; Yoon, Mee-Sup] Gachon Univ, Coll Med, Dept Mol Med, Incheon 21999, South Korea; [Baek, Mi-Ock; Yoon, Mee-Sup] Lee Gil Ya Canc &amp; Diabet Inst, Incheon 21999, South Korea; [Parveen, Amna; Kim, Sun Yeou] Gachon Univ, Coll Pharm, Incheon 21936, South Korea; [Kim, Jin-Hyoung; Kim, Il-Chan] Korea Polar Res Inst, Div Life Sci, Incheon 21990, South Korea</t>
  </si>
  <si>
    <t>Gachon University; Gachon University; Gachon University; Korea Polar Research Institute (KOPRI)</t>
  </si>
  <si>
    <t>Yoon, MS (corresponding author), Gachon Univ, GAIHST, Dept Hlth Sci &amp; Technol, Incheon 21999, South Korea.;Yoon, MS (corresponding author), Gachon Univ, Coll Med, Dept Mol Med, Incheon 21999, South Korea.;Yoon, MS (corresponding author), Lee Gil Ya Canc &amp; Diabet Inst, Incheon 21999, South Korea.</t>
  </si>
  <si>
    <t>msyoon@gachon.ac.kr</t>
  </si>
  <si>
    <t>Kim, Jin-Hyoung/0000-0001-6746-7447; Abdul Khaliq, Sana/0000-0002-0724-0336</t>
  </si>
  <si>
    <t>1756-4646</t>
  </si>
  <si>
    <t>2214-9414</t>
  </si>
  <si>
    <t>J FUNCT FOODS</t>
  </si>
  <si>
    <t>J. Funct. Food.</t>
  </si>
  <si>
    <t>10.1016/j.jff.2023.105483</t>
  </si>
  <si>
    <t>Food Science &amp; Technology; Nutrition &amp; Dietetics</t>
  </si>
  <si>
    <t>A0CG5</t>
  </si>
  <si>
    <t>WOS:000951885800001</t>
  </si>
  <si>
    <t>Blatt-Janmaat, K; Neumann, S; Schmidt, F; Ziegler, J; Qu, Y; Peters, K</t>
  </si>
  <si>
    <t>Blatt-Janmaat, Kaitlyn; Neumann, Steffen; Schmidt, Florian; Ziegler, Joerg; Qu, Yang; Peters, Kristian</t>
  </si>
  <si>
    <t>Impact of in vitro phytohormone treatments on the metabolome of the leafy liverwort Radula complanata (L.) Dumort</t>
  </si>
  <si>
    <t>METABOLOMICS</t>
  </si>
  <si>
    <t>Untargeted metabolomics; Liverworts; Phytohormones; LC-MS; Metabolite identification; Compound classification</t>
  </si>
  <si>
    <t>ENDOGENOUS GROWTH INHIBITOR; MARCHANTIA-POLYMORPHA; CHEMICAL-CONSTITUENTS; MASS-SPECTROMETRY; LUNULARIC ACID; ANTARCTIC MOSS; OIL BODIES; BRYOPHYTES; BIOSYNTHESIS; LOCALIZATION</t>
  </si>
  <si>
    <t>IntroductionLiverworts are a group of non-vascular plants that possess unique metabolism not found in other plants. Many liverwort metabolites have interesting structural and biochemical characteristics, however the fluctuations of these metabolites in response to stressors is largely unknown.ObjectivesTo investigate the metabolic stress-response of the leafy liverwort Radula complanata.MethodsFive phytohormones were applied exogenously to in vitro cultured R. complanata and an untargeted metabolomic analysis was conducted. Compound classification and identification was performed with CANOPUS and SIRIUS while statistical analyses including PCA, ANOVA, and variable selection using BORUTA were conducted to identify metabolic shifts.ResultsIt was found that R. complanata was predominantly composed of carboxylic acids and derivatives, followed by benzene and substituted derivatives, fatty acyls, organooxygen compounds, prenol lipids, and flavonoids. The PCA revealed that samples grouped based on the type of hormone applied, and the variable selection using BORUTA (Random Forest) revealed 71 identified and/or classified features that fluctuated with phytohormone application. The stress-response treatments largely reduced the production of the selected primary metabolites while the growth treatments resulted in increased production of these compounds. 4-(3-Methyl-2-butenyl)-5-phenethylbenzene-1,3-diol was identified as a biomarker for the growth treatments while GDP-hexose was identified as a biomarker for the stress-response treatments.ConclusionExogenous phytohormone application caused clear metabolic shifts in Radula complanata that deviate from the responses of vascular plants. Further identification of the selected metabolite features can reveal metabolic biomarkers unique to liverworts and provide more insight into liverwort stress responses.</t>
  </si>
  <si>
    <t>[Blatt-Janmaat, Kaitlyn; Qu, Yang] Univ New Brunswick, Dept Chem, Fredericton, NB E3B 5A3, Canada; [Blatt-Janmaat, Kaitlyn; Neumann, Steffen; Schmidt, Florian; Peters, Kristian] Leibniz Inst Plant Biochem, Bioinformat &amp; Sci Data, Weinberg 3, D-06120 Halle An Der Saale, Germany; [Neumann, Steffen; Peters, Kristian] German Ctr Integrat Biodivers Res iDiv, Puschstr 4, D-04103 Leipzig, Germany; [Ziegler, Joerg] Leibniz Inst Plant Biochem, Mol Signal Proc, Weinberg 3, D-06120 Halle An Der Saale, Germany; [Peters, Kristian] Martin Luther Univ Halle Wittenberg, Inst Biol, Geobot &amp; Bot Garden, Kirchtor 1, D-06108 Halle An Der Saale, Germany</t>
  </si>
  <si>
    <t>University of New Brunswick; Leibniz Institut fur Pflanzenbiochemie; Leibniz Institut fur Pflanzenbiochemie; Martin Luther University Halle Wittenberg</t>
  </si>
  <si>
    <t>Blatt-Janmaat, K (corresponding author), Univ New Brunswick, Dept Chem, Fredericton, NB E3B 5A3, Canada.;Blatt-Janmaat, K (corresponding author), Leibniz Inst Plant Biochem, Bioinformat &amp; Sci Data, Weinberg 3, D-06120 Halle An Der Saale, Germany.</t>
  </si>
  <si>
    <t>kaitlyn_blatt-janmaat@hotmail.ca</t>
  </si>
  <si>
    <t>Qu, Yang/JUF-6550-2023</t>
  </si>
  <si>
    <t>Qu, Yang/0000-0002-0847-7212; Blatt-Janmaat, Kaitlyn/0000-0002-0426-0825</t>
  </si>
  <si>
    <t>NSERC [566822-2021]; Leibniz Foundation</t>
  </si>
  <si>
    <t>NSERC(Natural Sciences and Engineering Research Council of Canada (NSERC)); Leibniz Foundation</t>
  </si>
  <si>
    <t>AcknowledgementsThe authors would like to acknowledge NSERC for providing funding via the CGS-MSFSS (Application No. 566822-2021), and the Leibniz Foundation for supporting this study.</t>
  </si>
  <si>
    <t>1573-3882</t>
  </si>
  <si>
    <t>1573-3890</t>
  </si>
  <si>
    <t>Metabolomics</t>
  </si>
  <si>
    <t>10.1007/s11306-023-01979-y</t>
  </si>
  <si>
    <t>Endocrinology &amp; Metabolism</t>
  </si>
  <si>
    <t>9V5LN</t>
  </si>
  <si>
    <t>WOS:000948434000002</t>
  </si>
  <si>
    <t>Solomon, S; Stone, K; Yu, PF; Murphy, DM; Kinnison, D; Ravishankara, AR; Wang, PD</t>
  </si>
  <si>
    <t>Solomon, Susan; Stone, Kane; Yu, Pengfei; Murphy, D. M.; Kinnison, Doug; Ravishankara, A. R.; Wang, Peidong</t>
  </si>
  <si>
    <t>Chlorine activation and enhanced ozone depletion induced by wildfire aerosol</t>
  </si>
  <si>
    <t>ORGANIC AEROSOL; HYDROGEN-CHLORIDE; LIDAR RATIOS; SOLID-STATE; SMOKE; PARTICLES; SURFACE; MODEL; WATER; DEPOLARIZATION</t>
  </si>
  <si>
    <t>Remarkable perturbations in the stratospheric abundances of chlorine species and ozone were observed over Southern Hemisphere mid-latitudes following the 2020 Australian wildfires(1,2). These changes in atmospheric chemical composition suggest that wildfire aerosols affect stratospheric chlorine and ozone depletion chemistry. Here we propose that wildfire aerosol containing a mixture of oxidized organics and sulfate(3-7) increases hydrochloric acid solubility(8-11) and associated heterogeneous reaction rates, activating reactive chlorine species and enhancing ozone loss rates at relatively warm stratospheric temperatures. We test our hypothesis by comparing atmospheric observations to model simulations that include the proposed mechanism. Modelled changes in 2020 hydrochloric acid, chlorine nitrate and hypochlorous acid abundances are in good agreement with observations(1,2). Our results indicate that wildfire aerosol chemistry, although not accounting for the record duration of the 2020 Antarctic ozone hole, does yield an increase in its area and a 3-5% depletion of southern mid-latitude total column ozone. These findings increase concern(2,12,13) that more frequent and intense wildfires could delay ozone recovery in a warming world.</t>
  </si>
  <si>
    <t>[Solomon, Susan; Stone, Kane; Wang, Peidong] MIT, Dept Earth Atmospher &amp; Planetary Sci, Cambridge, MA 02139 USA; [Yu, Pengfei] Jinan Univ, Inst Environm &amp; Climate Res, Guangzhou, Peoples R China; [Murphy, D. M.] NOAA, Chem Sci Lab, Boulder, CO USA; [Kinnison, Doug] Natl Ctr Atmospher Res, Atmospher Chem Observat &amp; Modeling Lab, Boulder, CO USA; [Ravishankara, A. R.] Colorado State Univ, Dept Chem, Ft Collins, CO USA; [Ravishankara, A. R.] Colorado State Univ, Dept Atmospher Sci, Ft Collins, CO USA</t>
  </si>
  <si>
    <t>Massachusetts Institute of Technology (MIT); Jinan University; National Oceanic Atmospheric Admin (NOAA) - USA; National Center Atmospheric Research (NCAR) - USA; Colorado State University; Colorado State University</t>
  </si>
  <si>
    <t>Solomon, S; Stone, K (corresponding author), MIT, Dept Earth Atmospher &amp; Planetary Sci, Cambridge, MA 02139 USA.</t>
  </si>
  <si>
    <t>solos@mit.edu; stonek@mit.edu</t>
  </si>
  <si>
    <t>Murphy, Daniel/J-4357-2012</t>
  </si>
  <si>
    <t>Murphy, Daniel/0000-0002-8091-7235</t>
  </si>
  <si>
    <t>NSF [1848863]; NASA [80NSSC19K0952]; National Natural Science Foundation of China [42175089, 42121004]; NOAA; National Science Foundation; Office of Science (BER) of the U.S. Department of Energy; Div Atmospheric &amp; Geospace Sciences; Directorate For Geosciences [1848863] Funding Source: National Science Foundation</t>
  </si>
  <si>
    <t>NSF(National Science Foundation (NSF)); NASA(National Aeronautics &amp; Space Administration (NASA)); National Natural Science Foundation of China(National Natural Science Foundation of China (NSFC)); NOAA(National Oceanic Atmospheric Admin (NOAA) - USA); National Science Foundation(National Science Foundation (NSF)); Office of Science (BER) of the U.S. Department of Energy(United States Department of Energy (DOE)); Div Atmospheric &amp; Geospace Sciences; Directorate For Geosciences(National Science Foundation (NSF)NSF - Directorate for Geosciences (GEO))</t>
  </si>
  <si>
    <t>S.S. and K.S. are partly supported by NSF 1848863. D.K. was financed in part by NASA grant 80NSSC19K0952. P.Y. is supported by the National Natural Science Foundation of China (42175089, 42121004). D.M.M. is supported by NOAA base and climate funding. The CESM project is supported by the National Science Foundation and the Office of Science (BER) of the U.S. Department of Energy. We gratefully acknowledge high-performance computing support from Cheyenne (https://doi.org/10.5065/D6RX99HX) provided by NCAR's Computational and Information Systems Laboratory, sponsored by the National Science Foundation.</t>
  </si>
  <si>
    <t>10.1038/s41586-022-05683-0</t>
  </si>
  <si>
    <t>9W1IS</t>
  </si>
  <si>
    <t>WOS:000948834900002</t>
  </si>
  <si>
    <t>de Vos, M; Vichi, M; Rautenbach, C</t>
  </si>
  <si>
    <t>de Vos, Marc; Vichi, Marcello; Rautenbach, Christo</t>
  </si>
  <si>
    <t>A wave-driven surface circulation feature in Table Bay</t>
  </si>
  <si>
    <t>JOURNAL OF SOUTHERN HEMISPHERE EARTH SYSTEMS SCIENCE</t>
  </si>
  <si>
    <t>Cape Peninsula; circulation; coastal currents; South Africa; Table Bay; wave-current interactions; wave dynamics; wave sheltering</t>
  </si>
  <si>
    <t>COASTAL REGIONS; MODEL; DISSIPATION; VALIDATION; SAFETY; SWAN; DEEP</t>
  </si>
  <si>
    <t>Table Bay, located in the Cape Peninsula region of South Africa, supports a variety of human and ecological interests. Notably it hosts a major port, with significant shipping and smaller maritime activity in and near the bay. Despite this, knowledge of its circulation dynamics remains cursory. In this study, surface gravity waves, particularly those with longer periods and higher wave heights such as swells, are shown to be important in driving near surface currents and establishing circulation patterns within Table Bay. A surface circulation feature, linked to large wave conditions and established by strong wave-driven flows near Robben Island, is identified and described by means of two coastal ocean model simulations. One simulation is dynamically coupled to a wave model and includes current forcing due to waves, whereas the other neglects waves. The influence of these wave-driven currents is relevant at the event scale, but also affects the monthly means of the simulation periods. Finally, the importance of including accurate surface gravity wave forcing in simulations of coastal currents, for applications of coastal models, is elucidated. This is achieved by analysing differences in the drift of a series of drogues deployed in the coupled and uncoupled simulations. Trajectories, drift speeds and drogue fates differed materially between the two configurations, underscoring the implications of wave-driven currents for common use cases.</t>
  </si>
  <si>
    <t>[de Vos, Marc] South African Weather Serv, Marine Res Unit, Cape Town, Western Cape, South Africa; [de Vos, Marc; Vichi, Marcello; Rautenbach, Christo] Univ Cape Town, Dept Oceanog, Cape Town, Western Cape, South Africa; [Vichi, Marcello] Univ Cape Town, Marine &amp; Antarctic Res Ctr Innovat &amp; Sustainabil M, Cape Town, Western Cape, South Africa; [Rautenbach, Christo] Natl Inst Water &amp; Atmospher Res, Coastal &amp; Estuarine Proc, Hamilton, Waikato, New Zealand; [Rautenbach, Christo] Nelson Mandela Univ, Inst Coastal &amp; Marine Res, Port Elizabeth, Eastern Cape, South Africa</t>
  </si>
  <si>
    <t>South African Weather Service (SAWS); University of Cape Town; University of Cape Town; National Institute of Water &amp; Atmospheric Research (NIWA) - New Zealand; Nelson Mandela University</t>
  </si>
  <si>
    <t>de Vos, M (corresponding author), South African Weather Serv, Marine Res Unit, Cape Town, Western Cape, South Africa.</t>
  </si>
  <si>
    <t>marc.devos@weathersa.co.za</t>
  </si>
  <si>
    <t>Vichi, Marcello/GLR-9823-2022</t>
  </si>
  <si>
    <t>Vichi, Marcello/0000-0002-0686-9634; Rautenbach, Christo/0000-0001-6703-8386; De Vos, Marc/0000-0001-8996-5500</t>
  </si>
  <si>
    <t>National Research Foundation of South Africa from the South Africa-Norway cooperation on ocean research including blue economy, climate change, the environment and sustainable energy (SANOCEAN) project [118754]</t>
  </si>
  <si>
    <t>National Research Foundation of South Africa from the South Africa-Norway cooperation on ocean research including blue economy, climate change, the environment and sustainable energy (SANOCEAN) project</t>
  </si>
  <si>
    <t>This work was partially supported by the National Research Foundation of South Africa (grant number 118754) from the South Africa-Norway cooperation on ocean research including blue economy, climate change, the environment and sustainable energy (SANOCEAN) project.</t>
  </si>
  <si>
    <t>CSIRO PUBLISHING</t>
  </si>
  <si>
    <t>CLAYTON</t>
  </si>
  <si>
    <t>UNIPARK, BLDG 1, LEVEL 1, 195 WELLINGTON RD, LOCKED BAG 10, CLAYTON, VIC 3168, AUSTRALIA</t>
  </si>
  <si>
    <t>2206-5865</t>
  </si>
  <si>
    <t>J SO HEMISPH EARTH</t>
  </si>
  <si>
    <t>J. South Hemisph. Earth Syst. Sci.</t>
  </si>
  <si>
    <t>10.1071/ES22002</t>
  </si>
  <si>
    <t>C9QG3</t>
  </si>
  <si>
    <t>WOS:000946187800001</t>
  </si>
  <si>
    <t>Cook, S; Nicholls, KW; Vanková, I; Thompson, SS; Galton-Fenzi, BK</t>
  </si>
  <si>
    <t>Cook, Sue; Nicholls, Keith W.; Vankova, Irena; Thompson, Sarah S.; Galton-Fenzi, Benjamin K.</t>
  </si>
  <si>
    <t>Data initiatives for ocean-driven melt of Antarctic ice shelves</t>
  </si>
  <si>
    <t>Glaciological instruments and methods; ice; ocean interactions; ice shelves; melt-basal</t>
  </si>
  <si>
    <t>BASAL MELT; RATES; SHEET; GLACIER; RADAR; ROSS</t>
  </si>
  <si>
    <t>Ocean-driven melt of Antarctic ice shelves is an important control on mass loss from the ice sheet, but is complex to study due to significant variability in melt rates both spatially and temporally. Here we assess the strengths and weakness of satellite and field-based observations as tools for testing models of ice-shelf melt. We discuss how the complementary use of field, satellite and model data can be a powerful but underutilised tool for studying melt processes. Finally, we identify some community initiatives working to collate and publish coordinated melt rate datasets, which can be used in future for validating satellite-derived maps of melt and evaluating processes in numerical simulations.</t>
  </si>
  <si>
    <t>[Cook, Sue; Thompson, Sarah S.; Galton-Fenzi, Benjamin K.] Univ Tasmania, Inst Marine &amp; Antarctic Studies, Australian Antarctic Program Partnership, Hobart, Tas, Australia; [Nicholls, Keith W.] NERC, British Antarctic Survey, Cambridge CB3 0ET, England; [Vankova, Irena] Los Alamos Natl Lab, Los Alamos, NM 87544 USA; [Galton-Fenzi, Benjamin K.] Australian Antarctic Div, Channel Highway, Kingston, Tas 7050, Australia; [Galton-Fenzi, Benjamin K.] Univ Tasmania, Australian Ctr Excellence Antarctic Sci, Hobart, Tas, Australia</t>
  </si>
  <si>
    <t>University of Tasmania; UK Research &amp; Innovation (UKRI); Natural Environment Research Council (NERC); NERC British Antarctic Survey; United States Department of Energy (DOE); Los Alamos National Laboratory; Australian Antarctic Division; University of Tasmania</t>
  </si>
  <si>
    <t>Cook, S (corresponding author), Univ Tasmania, Inst Marine &amp; Antarctic Studies, Australian Antarctic Program Partnership, Hobart, Tas, Australia.</t>
  </si>
  <si>
    <t>sue.cook@utas.edu.au</t>
  </si>
  <si>
    <t>; Cook, Sue/E-8390-2018</t>
  </si>
  <si>
    <t>Thompson, Sarah S/0000-0001-9112-6933; Cook, Sue/0000-0001-9878-4218</t>
  </si>
  <si>
    <t>PII S026030552300006X</t>
  </si>
  <si>
    <t>10.1017/aog.2023.6</t>
  </si>
  <si>
    <t>Green Accepted, Green Submitted, Green Published, gold</t>
  </si>
  <si>
    <t>WOS:000945702500001</t>
  </si>
  <si>
    <t>Cavanagh, RD</t>
  </si>
  <si>
    <t>Cavanagh, Rachel D.</t>
  </si>
  <si>
    <t>Ecosystem-based fisheries management - Progress, importance and impacts in the United States</t>
  </si>
  <si>
    <t>FISH AND FISHERIES</t>
  </si>
  <si>
    <t>ecosystem-based fisheries management; fishery management; marine ecosystems; marine living resources</t>
  </si>
  <si>
    <t>[Cavanagh, Rachel D.] British Antarctic Survey, Cambridge, England</t>
  </si>
  <si>
    <t>Cavanagh, RD (corresponding author), British Antarctic Survey, Cambridge, England.</t>
  </si>
  <si>
    <t>Cavanagh, Rachel/0000-0002-2474-9716</t>
  </si>
  <si>
    <t>1467-2960</t>
  </si>
  <si>
    <t>1467-2979</t>
  </si>
  <si>
    <t>FISH FISH</t>
  </si>
  <si>
    <t>Fish. Fish.</t>
  </si>
  <si>
    <t>10.1111/faf.12739</t>
  </si>
  <si>
    <t>FO9J7</t>
  </si>
  <si>
    <t>WOS:000946242800001</t>
  </si>
  <si>
    <t>Soto-Rogel, P; Aravena, JC; Villalba, R; Meier, WJH; Griessinger, J</t>
  </si>
  <si>
    <t>Soto-Rogel, Pamela; Aravena, Juan Carlos; Villalba, Ricardo; Meier, Wolfgang Jens-Henrik; Griessinger, Jussi</t>
  </si>
  <si>
    <t>Tree-ring d 18Ocellulose variations in two Nothofagus species record large-scaleclimatic signals in the South American sector of the Southern Ocean</t>
  </si>
  <si>
    <t>Nothofagus betuloides; Nothofagus pumilio; Antarctic Oscillation (AAO); Amundsen Sea Low (ASL); Southernmost South America (SSA); Tree-ring &amp; delta; 18O</t>
  </si>
  <si>
    <t>OXYGEN ISOTOPES; ANNULAR MODE; TEMPERATURE RECONSTRUCTION; GROWTH-PATTERNS; SUMMER DROUGHTS; CLIMATE; CELLULOSE; 20TH-CENTURY; DELTA-O-18; TRENDS</t>
  </si>
  <si>
    <t>In recent decades, southernmost South America (50-56(?) S) has experienced marked climate change (regional warming, decreased precipitation, reduced snow cover, and increased frequency of heat waves) related to variations in atmospheric circulation over varied timescales. In this paper, we develop oxygen isotopes from tree ring cellulose (d(18)OTRC) as a proxy for climate and atmospheric circulation in order to extend the regional meteorological record to deeper time intervals. Our work focuses on Nothofagus forests in two areas: (i) deciduous N. pumilio forest in the steppe transition zone near Punta Arenas and (ii) humid evergreen N. betuloides forest in the Navarino Island region. To investigate the potential for reconstructing palaeoclimate, d(8)OTRC variations were correlated with local climate parameters as well as regional (Amundsen Sea Low, ASL) and hemispheric (Antarctic Oscillation, AAO) atmospheric circulation modes for the last 60 years. N. betuloides d(18)OTRC variations show an overall positive trend, indicating isotopic enrichment over the study period, whereas no trend is recorded for the N. pumilio record. The strongest relationships with climate, together with the widest spatial representativeness, occur in the N. betuloides chronology during the growing season (spring to austral summer) and extend spatially from mid to high latitudes. In contrast, the sensitivity of the records is limited to summer months, and spatial correlations are much more limited. In addition, the N. betuloides record shows greater potential for reconstructing local climate features such as soil water (r = 0.76), wind speed (r = 0.69), and precipitation (r = 0.66), as well as regional (ASL, r = 0.80) and hemispheric (AAO, r = 0.77) patterns of extratropical atmospheric circulation. Overall, we conclude that the N. betuloides record represents the most valuable tree-ring climate proxy for southernmost South America over past centuries.</t>
  </si>
  <si>
    <t>[Soto-Rogel, Pamela; Meier, Wolfgang Jens-Henrik; Griessinger, Jussi] Friedrich Alexander Univ Erlangen Nurnberg, Inst Geog, D-91058 Erlangen, Germany; [Soto-Rogel, Pamela; Aravena, Juan Carlos] Univ Magallanes UMAG, Ctr Invest GAIA Antart, Punta Arenas 6200000, Chile; [Soto-Rogel, Pamela; Aravena, Juan Carlos; Villalba, Ricardo] Cape Horn Int Ctr CHIC, Puerto Williams 6350000, Chile; [Villalba, Ricardo] Inst Argentino Nivol Glaciol &amp; Ciencias Ambientale, RA-5500 Mendoza, Argentina</t>
  </si>
  <si>
    <t>University of Erlangen Nuremberg</t>
  </si>
  <si>
    <t>Soto-Rogel, P (corresponding author), Friedrich Alexander Univ Erlangen Nurnberg, Inst Geog, D-91058 Erlangen, Germany.</t>
  </si>
  <si>
    <t>pamela.soto.rogel@fau.de; juan.aravenadonaire@gmail.com; ricardo@mendoza-conicet.gob.ar; wolfgang.jh.meier@fau.de; jussi.griessinger@fau.de</t>
  </si>
  <si>
    <t>Grießinger, Jussi/JAO-0179-2023; Aravena, Juan-Carlos/D-5687-2013; Griessinger, Jussi/D-6318-2013</t>
  </si>
  <si>
    <t>Meier, Wolfgang/0000-0002-3167-7570; Griessinger, Jussi/0000-0001-6103-2071</t>
  </si>
  <si>
    <t>ANID-BMBF project AVOID [72190234]; ANID-Chilean scholarship [72190234]; ANID-BMBF project AVOID [180005, FKZ 01DN19036]; Fondecyt [1180717]; ANID/BASAL [FB210018]</t>
  </si>
  <si>
    <t>ANID-BMBF project AVOID; ANID-Chilean scholarship; ANID-BMBF project AVOID; Fondecyt(Comision Nacional de Investigacion Cientifica y Tecnologica (CONICYT)CONICYT FONDECYT); ANID/BASAL</t>
  </si>
  <si>
    <t>This work was supported by the ANID-Chilean scholarship (grant 72190234) and by the ANID-BMBF project AVOID (grant no. 180005 and FKZ 01DN19036) . J.C.A. acknowledges Fondecyt (grant 1180717) and ANID/BASAL FB210018.</t>
  </si>
  <si>
    <t>10.1016/j.palaeo.2023.111474</t>
  </si>
  <si>
    <t>M6OI2</t>
  </si>
  <si>
    <t>WOS:001031385700001</t>
  </si>
  <si>
    <t>Tides regulate the flow and density of Antarctic Bottom Water from the western Ross Sea</t>
  </si>
  <si>
    <t>VARIABILITY; OCEAN; OVERFLOW; CYCLE</t>
  </si>
  <si>
    <t>Antarctic Bottom Water (AABW) stores heat and gases over decades to centuries after contact with the atmosphere during formation on the Antarctic shelf and subsequent flow into the global deep ocean. Dense water from the western Ross Sea, a primary source of AABW, shows changes in water properties and volume over the last few decades. Here we show, using multiple years of moored observations, that the density and speed of the outflow are consistent with a release from the Drygalski Trough controlled by the density in Terra Nova Bay (the accelerator) and the tidal mixing (the brake). We suggest tides create two peaks in density and flow each year at the equinoxes and could cause changes of similar to 30% in the flow and density over the 18.6-year lunar nodal tide. Based on our dynamic model, we find tides can explain much of the decadal variability in the outflow with longer-term changes likely driven by the density in Terra Nova Bay.</t>
  </si>
  <si>
    <t>[Bowen, Melissa M.] Univ Auckland, Sch Environm, Auckland, New Zealand; [Fernandez, Denise] NIWA, Wellington, New Zealand; [Gordon, Arnold L.; Huber, Bruce] Columbia Univ, Lamont Doherty Earth Observ, New York, NY USA; [Castagno, Pasquale] Univ Messina, Messina, Italy; [Falco, Pierpaolo] Univ Politecn Marche, Ancona, Italy; [Budillon, Giorgio] Univ Parthenope, Naples, Italy; [Gunn, Kathryn L.] CSIRO Oceans &amp; Atmosphere, Hobart, Tas, Australia; [Forcen-Vazquez, Aitana] LifeWatchERIC, Seville, Spain</t>
  </si>
  <si>
    <t>University of Auckland; National Institute of Water &amp; Atmospheric Research (NIWA) - New Zealand; Columbia University; University of Messina; Marche Polytechnic University; Parthenope University Naples; Commonwealth Scientific &amp; Industrial Research Organisation (CSIRO)</t>
  </si>
  <si>
    <t>Bowen, MM (corresponding author), Univ Auckland, Sch Environm, Auckland, New Zealand.</t>
  </si>
  <si>
    <t>MAR 8</t>
  </si>
  <si>
    <t>10.1038/s41598-023-31008-w</t>
  </si>
  <si>
    <t>F8YW2</t>
  </si>
  <si>
    <t>WOS:000985158100052</t>
  </si>
  <si>
    <t>Jin, SC; Cao, SK; Li, RJ; Gao, H; Na, GS</t>
  </si>
  <si>
    <t>Jin, Shuaichen; Cao, Shengkai; Li, Ruijing; Gao, Hui; Na, Guangshui</t>
  </si>
  <si>
    <t>Trophic transfer of polycyclic aromatic hydrocarbons through the food web of the Fildes Peninsula, Antarctica</t>
  </si>
  <si>
    <t>ENVIRONMENTAL SCIENCE AND POLLUTION RESEARCH</t>
  </si>
  <si>
    <t>Polycyclic aromatic hydrocarbons; Food web magnification factor; Biodilution; Trophic transfer</t>
  </si>
  <si>
    <t>POLYBROMINATED DIPHENYL ETHERS; PERSISTENT ORGANIC POLLUTANTS; KING GEORGE ISLAND; ORGANOCHLORINE PESTICIDES; POTTER COVE; TAIHU LAKE; PAHS; BIOACCUMULATION; WATER; BIOMAGNIFICATION</t>
  </si>
  <si>
    <t>The Antarctic ecosystem is characterized by few consumer species and simple trophic levels (TLs), rendering it an ideal setting to investigate the environmental behavior of contaminants. The paper aims to assess the presence, sources and biomagnification behavior of polycyclic aromatic hydrocarbons (PAHs) of the Antarctic food web and is the first study of biomagnifications of PAHs in the Fildes Peninsula in Antarctica. Nine representative species from the Fildes Peninsula in Antarctica were sampled and evaluated for PAH presence. PAH concentrations ranged from 477.41 to 1237.54 ng/g lipid weight (lw) in the sampled Antarctic biota, with low molecular weight PAHs (naphthalene, acenaphthylene, acenaphthene, and fluorene) comprising the majority of the PAHs. PAHs concentrations were negatively correlated with TLs. Further, the food web magnification factor (FWMF) of n-ary sumation PAHs was 0.63, suggesting biodilution of PAHs along the TLs. Source analyses revealed that the PAHs mainly originated from petroleum contamination and the combustion of fossil fuels.</t>
  </si>
  <si>
    <t>[Jin, Shuaichen; Li, Ruijing; Gao, Hui] Natl Marine Environm Monitoring Ctr, Key Lab Ecol Environm Coastal Areas SOA, Dalian 116023, Peoples R China; [Cao, Shengkai] Shanghai Ocean Univ, Sch Marine Sci, Shanghai 201306, Peoples R China; [Na, Guangshui] Hainan Trop Ocean Univ, Lab Coastal Marine Ecoenvironm Proc &amp; Carbon, Sink Hainan Prov Yazhou Bay Innovat Inst, Coll Ecol &amp; Environm, Sanya 572022, Peoples R China</t>
  </si>
  <si>
    <t>National Marine Environmental Monitoring Center; Shanghai Ocean University; Hainan Tropical Ocean University</t>
  </si>
  <si>
    <t>Na, GS (corresponding author), Hainan Trop Ocean Univ, Lab Coastal Marine Ecoenvironm Proc &amp; Carbon, Sink Hainan Prov Yazhou Bay Innovat Inst, Coll Ecol &amp; Environm, Sanya 572022, Peoples R China.</t>
  </si>
  <si>
    <t>nags@hntou.edu.cn</t>
  </si>
  <si>
    <t>Hainan Provincial Joint Project of Sanya Yazhou Bay Science and Technology City [2021CXLH0009]; Scientific Research Foundation of Hainan Tropical Ocean University [RHDRC202201]; Science and Technology Project of Yazhou Bay Innovation Institute of Hainan Tropical Ocean University [2022CXYZD002]; National Natural Science Foundation of China [41976222, 42006195]</t>
  </si>
  <si>
    <t>Hainan Provincial Joint Project of Sanya Yazhou Bay Science and Technology City; Scientific Research Foundation of Hainan Tropical Ocean University; Science and Technology Project of Yazhou Bay Innovation Institute of Hainan Tropical Ocean University; National Natural Science Foundation of China(National Natural Science Foundation of China (NSFC))</t>
  </si>
  <si>
    <t>AcknowledgementsThe research was supported by the Hainan Provincial Joint Project of Sanya Yazhou Bay Science and Technology City (2021CXLH0009), Scientific Research Foundation of Hainan Tropical Ocean University (RHDRC202201), Science and Technology Project of Yazhou Bay Innovation Institute of Hainan Tropical Ocean University (2022CXYZD002), and National Natural Science Foundation of China (41976222, 42006195).</t>
  </si>
  <si>
    <t>0944-1344</t>
  </si>
  <si>
    <t>1614-7499</t>
  </si>
  <si>
    <t>ENVIRON SCI POLLUT R</t>
  </si>
  <si>
    <t>Environ. Sci. Pollut. Res.</t>
  </si>
  <si>
    <t>10.1007/s11356-023-26049-7</t>
  </si>
  <si>
    <t>T8GO6</t>
  </si>
  <si>
    <t>WOS:000946226900002</t>
  </si>
  <si>
    <t>Lacour, L; Llort, J; Briggs, N; Strutton, PG; Boyd, PW</t>
  </si>
  <si>
    <t>Lacour, Leo; Llort, Joan; Briggs, Nathan; Strutton, Peter G. G.; Boyd, Philip W. W.</t>
  </si>
  <si>
    <t>Seasonality of downward carbon export in the Pacific Southern Ocean revealed by multi-year robotic observations</t>
  </si>
  <si>
    <t>HIGH-RESOLUTION OBSERVATIONS; EDDY-DRIVEN SUBDUCTION; MIXED-LAYER; PHYTOPLANKTON BLOOMS; IRON LIMITATION; FLUX; SEQUESTRATION; PUMP; FLUORESCENCE; ANTARCTICA</t>
  </si>
  <si>
    <t>At high latitudes, the biological carbon pump, which exports organic matter from the surface ocean to the interior, has been attributed to the gravitational sinking of particulate organic carbon. Conspicuous deficits in ocean carbon budgets challenge this as a sole particle export pathway. Recent model estimates revealed that particle injection pumps have a comparable downward flux of particulate organic carbon to the biological gravitational pump, but with different seasonality. To date, logistical constraints have prevented concomitant and extensive observations of these mechanisms. Here, using year-round robotic observations and recent advances in bio-optical signal analysis, we concurrently investigated the functioning of two particle injection pumps, the mixed layer and eddy subduction pumps, and the gravitational pump in Southern Ocean waters. By comparing three annual cycles in contrasting physical and biogeochemical environments, we show how physical forcing, phytoplankton phenology and particle characteristics influence the magnitude and seasonality of these export pathways, with implications for carbon sequestration efficiency over the annual cycle. Distinct seasonality of export pathways from the different pumps in the Pacific Southern Ocean are revealed using year-round robotic profiler observations, contributing to understanding of particle export into the oceans' interior.</t>
  </si>
  <si>
    <t>[Lacour, Leo; Strutton, Peter G. G.; Boyd, Philip W. W.] Univ Tasmania, Inst Marine &amp; Antarctic Studies, Hobart, Australia; [Lacour, Leo] Sorbonne Univ, CNRS, Lab Oceanog Villefranche, LOV, Villefranche Sur Mer, France; [Llort, Joan] Barcelona Supercomp Ctr, Earth Sci Dept, Barcelona, Spain; [Briggs, Nathan] Natl Oceanog Ctr, Southampton, England; [Strutton, Peter G. G.] Univ Tasmania, Australian Res Council Ctr Excellence Climate Extr, Hobart, Australia</t>
  </si>
  <si>
    <t>University of Tasmania; Sorbonne Universite; Centre National de la Recherche Scientifique (CNRS); Universitat Politecnica de Catalunya; Barcelona Supercomputer Center (BSC-CNS); NERC National Oceanography Centre; University of Tasmania</t>
  </si>
  <si>
    <t>Lacour, L (corresponding author), Univ Tasmania, Inst Marine &amp; Antarctic Studies, Hobart, Australia.;Lacour, L (corresponding author), Sorbonne Univ, CNRS, Lab Oceanog Villefranche, LOV, Villefranche Sur Mer, France.</t>
  </si>
  <si>
    <t>leo.lacour@imev-mer.fr</t>
  </si>
  <si>
    <t>Lacour, Leo/HTQ-9798-2023; Boyd, Philip/J-7624-2014; Llort, Joan/O-2162-2017; Strutton, Peter/C-4466-2011</t>
  </si>
  <si>
    <t>Boyd, Philip/0000-0001-7850-1911; Llort, Joan/0000-0003-1490-4521; Strutton, Peter/0000-0002-2395-9471; Lacour, Leo/0000-0003-1792-5969</t>
  </si>
  <si>
    <t>European Union [754433]; Australian Research Council Special Research Initiative for Antarctic Gateway Partnership [SR140300001]; Australian Research Council Centre of Excellence for Climate System Science [B0018492]; UTas visiting scholar program; European Research Council Consolidator Grant (GOCART) [724416]; Australian Research Council Centre of Excellence for Climate Extremes [CE170100023]; Australian Research Council by Laureate Fellowship [FL160100131]; ARC SRI [SR140300001]; Marie Curie Actions (MSCA) [754433] Funding Source: Marie Curie Actions (MSCA); European Research Council (ERC) [724416] Funding Source: European Research Council (ERC)</t>
  </si>
  <si>
    <t>European Union(European Union (EU)); Australian Research Council Special Research Initiative for Antarctic Gateway Partnership(Australian Research Council); Australian Research Council Centre of Excellence for Climate System Science(Australian Research Council); UTas visiting scholar program; European Research Council Consolidator Grant (GOCART)(European Research Council (ERC)); Australian Research Council Centre of Excellence for Climate Extremes(Australian Research Council); Australian Research Council by Laureate Fellowship(Australian Research Council); ARC SRI; Marie Curie Actions (MSCA)(Marie Curie Actions); European Research Council (ERC)(European Research Council (ERC)Spanish Government)</t>
  </si>
  <si>
    <t>L.L. was supported by a European Union's Horizon 2020 Marie Sklodowska-Curie grant (no. 892653). Visits by L.L. to IMAS/UTas were supported by the Australian Research Council Special Research Initiative for Antarctic Gateway Partnership (Project ID SR140300001), the Australian Research Council Centre of Excellence for Climate System Science (Project ID B0018492), and the UTas visiting scholar program. J.L. was supported by the European Union's Horizon 2020 research and innovation programme under the Marie Sklodowska-Curie grant agreement No. 754433. N.B. was supported by a European Research Council Consolidator Grant (GOCART, agreement number 724416). P.S. was supported by the Australian Research Council Centre of Excellence for Climate Extremes (Project ID CE170100023). P.W.B. was funded by the Australian Research Council by Laureate Fellowship FL160100131. We thank the Argo Data Management team (ADMT) and the BGC-Argo Data Management team (BGC ADMT). The specific float used in this study was funded by the ARC SRI for Antarctic Gateway Partnership (Project ID SR140300001). We thank the captain and crew of RV Investigator voyage IN2016_V03 and chief scientists Bernadette Sloyan and Susan Wijffels for deploying the float.</t>
  </si>
  <si>
    <t>10.1038/s41467-023-36954-7</t>
  </si>
  <si>
    <t>9S2JB</t>
  </si>
  <si>
    <t>WOS:000946171000007</t>
  </si>
  <si>
    <t>Pookkandy, B; Graven, H; Martin, A</t>
  </si>
  <si>
    <t>Pookkandy, Byju; Graven, Heather; Martin, Adrian</t>
  </si>
  <si>
    <t>Contemporary oceanic radiocarbon response to ocean circulation changes</t>
  </si>
  <si>
    <t>Ocean modelling; Radiocarbon tracer; Circulation changes; AMOC; Decadal variability</t>
  </si>
  <si>
    <t>MIXED-LAYER DEPTH; BOMB RADIOCARBON; RECENT INCREASE; SUBDUCTION; MODEL; SIMULATIONS; TEMPERATURE; IMPACTS; CO2</t>
  </si>
  <si>
    <t>Radiocarbon (C-14) is a valuable tracer of ocean circulation, owing to its natural decay over thousands of years and to its perturbation by nuclear weapons testing in the 1950s and 1960s. Previous studies have used C-14 to evaluate models or to investigate past climate change. However, the relationship between ocean C-14 and ocean circulation changes over the past few decades has not been explored. Here we use an Ocean-Sea-ice model (NEMO) forced with transient or fixed atmospheric reanalysis (JRA-55-do) and atmospheric C-14 and CO2 boundary conditions to investigate the effect of ocean circulation trends and variability on C-14. We find that C-14/C ( increment C-14) variability is generally anti-correlated with potential density variability. The areas where the largest variability occurs varies by depth: in upwelling regions at the surface, at the edges of the subtropical gyres at 300 m depth, and in Antarctic Intermediate Water and North Atlantic Deep Water at 1000 m depth. We find that trends in the Atlantic Meridional Overturning Circulation may influence trends in increment C-14 in the North Atlantic. In the high-variability regions the simulated variations are larger than typical ocean increment C-14 measurement uncertainty of 2-5 parts per thousand suggesting that increment C-14 data could provide a useful tracer of circulation changes.</t>
  </si>
  <si>
    <t>[Pookkandy, Byju; Graven, Heather] Imperial Coll London, London, England; [Martin, Adrian] Natl Oceanog Ctr, Southampton, England</t>
  </si>
  <si>
    <t>Imperial College London; NERC National Oceanography Centre</t>
  </si>
  <si>
    <t>Pookkandy, B (corresponding author), Imperial Coll London, London, England.</t>
  </si>
  <si>
    <t>byjupbhaskar@gmail.com</t>
  </si>
  <si>
    <t>Natural Environment Research Council (NERC) [NE/P019242/1]; NERC [NE/P019242/1] Funding Source: UKRI</t>
  </si>
  <si>
    <t>Natural Environment Research Council (NERC)(UK Research &amp; Innovation (UKRI)Natural Environment Research Council (NERC)); NERC(UK Research &amp; Innovation (UKRI)Natural Environment Research Council (NERC))</t>
  </si>
  <si>
    <t>The funding is from the Natural Environment Research Council (NERC) under grant NE/P019242/1 for the Transient tracer-based Investigation of Circulation and Thermal Ocean Change (TICTOC) project.</t>
  </si>
  <si>
    <t>2023 MAR 8</t>
  </si>
  <si>
    <t>10.1007/s00382-023-06737-3</t>
  </si>
  <si>
    <t>9R6RP</t>
  </si>
  <si>
    <t>Green Published, Green Submitted, Green Accepted, hybrid</t>
  </si>
  <si>
    <t>WOS:000945778100001</t>
  </si>
  <si>
    <t>Wang, CC; Kong, JY; Xue, CH; Zhang, TT; Wang, YM</t>
  </si>
  <si>
    <t>Wang, Cheng-Cheng; Kong, Jing-Ya; Xue, Chang-Hu; Zhang, Tian-Tian; Wang, Yu-Ming</t>
  </si>
  <si>
    <t>Antarctic Krill Oil Exhibited Synergistic Effects with Nobiletin and Theanine on Regulating Ligand-Specific Receptor-Mediated Transcytosis in Blood-Brain Barrier by Inhibiting Alkaline Phosphatase in SAMP8 Mice</t>
  </si>
  <si>
    <t>MOLECULAR NUTRITION &amp; FOOD RESEARCH</t>
  </si>
  <si>
    <t>aging; alkaline phosphatase; blood-brain barrier; ligand-specific receptor-mediated transcytosis; sea-land combination</t>
  </si>
  <si>
    <t>ALZHEIMERS-DISEASE; PATHWAYS; TARGETS</t>
  </si>
  <si>
    <t>Blood-brain barrier (BBB) impairment is related to the development of Alzheimer's disease (AD), which is dependent not only on tight junction but also on transcytosis of brain endothelial cells (BECs) in the BBB. Aging induces the decrease of ligand-specific receptor-mediated transcytosis (RMT) and the increase of non-specific caveolar transcytosis in BECs, which lead to the entry into parenchyma of neurotoxic proteins and the smaller therapeutic index in central nervous system drug delivery, further provoking neurodegenerative disease. A previous study suggests that sea-derived Antarctic krill oil (AKO) exhibits synergistic effects with land-derived nobiletin (NOB) and theanine (THE) on ameliorating memory and cognitive deficiency in SAMP8 mice. However, it is still unclear whether BBB change is involved. Hence, the effects of AKO combined with NOB and THE on aging-induced BBB impairment, including tight junction between BECs, ligand-specific RMT, and non-specific caveolar transcytosis in BECs, are investigated. The results suggest that AKO exhibits synergistic effects with NOB and THE on regulating ligand-specific RMT in BBB by inhibiting alkaline phosphatase (ALPL). The study provides a potential strategy candidate or targeted dietary patterns to prevent and treat AD by improving the BBB function.</t>
  </si>
  <si>
    <t>[Wang, Cheng-Cheng; Kong, Jing-Ya; Xue, Chang-Hu; Zhang, Tian-Tian; Wang, Yu-Ming] Ocean Univ China, Coll Food Sci &amp; Engn, Qingdao 266404, Shandong, Peoples R China; [Xue, Chang-Hu; Wang, Yu-Ming] Lab Marine Drugs &amp; Bioprod, Pilot Natl Lab Marine Sci &amp; Technol Qingdao, Qingdao 266237, Shandong, Peoples R China</t>
  </si>
  <si>
    <t>Ocean University of China; Laoshan Laboratory</t>
  </si>
  <si>
    <t>Zhang, TT; Wang, YM (corresponding author), Ocean Univ China, Coll Food Sci &amp; Engn, Qingdao 266404, Shandong, Peoples R China.;Wang, YM (corresponding author), Lab Marine Drugs &amp; Bioprod, Pilot Natl Lab Marine Sci &amp; Technol Qingdao, Qingdao 266237, Shandong, Peoples R China.</t>
  </si>
  <si>
    <t>zhangtiantian@ouc.edu.cn; wangyuming@ouc.edu.cn</t>
  </si>
  <si>
    <t>yuming, wang/K-8179-2012</t>
  </si>
  <si>
    <t>Wang, Yuming/0000-0003-2310-1456</t>
  </si>
  <si>
    <t>National Natural Science Foundation of China [32072145]</t>
  </si>
  <si>
    <t>Acknowledgements This work was funded by National Natural Science Foundation of China (32072145).</t>
  </si>
  <si>
    <t>1613-4125</t>
  </si>
  <si>
    <t>1613-4133</t>
  </si>
  <si>
    <t>MOL NUTR FOOD RES</t>
  </si>
  <si>
    <t>Mol. Nutr. Food Res.</t>
  </si>
  <si>
    <t>10.1002/mnfr.202200825</t>
  </si>
  <si>
    <t>E1OL5</t>
  </si>
  <si>
    <t>WOS:000945568500001</t>
  </si>
  <si>
    <t>Déerville, S; Tòrres, LG; Newsòme, SD; Somes, CJ; Valenzuela, LO; Zanden, HBV; Baker, CS; Bérubé, M; Busquets-Vass, G; Carlyon, K; Childerhouse, SJ; Constantine, R; Dunshea, G; Flores, PAC; Goldsworthy, SD; Graham, B; Groch, K; Groecke, DR; Harcourt, R; Hindell, MA; Hulva, P; Jackson, JA; Kennedy, AS; Lundquist, D; Mackay, AI; Neveceralova, P; Oliveira, L; Ott, PH; Palsboll, PJ; Patenaude, NJ; Rowntree, V; Sironi, M; Vermeuelen, E; Watson, M; Zerbini, AN; Carroll, EL</t>
  </si>
  <si>
    <t>Derville, Solene; Torres, Leigh G.; Newsome, Seth D.; Somes., Christopher J.; Valenzuela., Luciano O.; Zanden, Hannah B. Vander.; Baker, C. Scott; Berube, Martine; Busquets-Vass, Geraldine; Carlyon, Kris; Childerhouse, Simon J.; Constantine, Rochelle; Dunshea, Glenn; Flores, Paulo A. C.; Goldsworthy, Simon D.; Graham, Brittany; Groch, Karina; Groecke, Darren R.; Harcourt, Robert; Hindell, Mark A.; Hulva, Pavel; Jackson, Jennifer A.; Kennedy, Amy S.; Lundquist, David; Mackay, Alice I.; Neveceralova, Petra; Oliveira, Larissa; Ott, Paulo H.; Palsboll, Per J.; Patenaude, Nathalie J.; Rowntree, Victoria; Sironi, Mariano; Vermeuelen, Els; Watson, Mandy; Zerbini, Alexandre N.; Carroll, Emma L.</t>
  </si>
  <si>
    <t>Long-term stability in the circumpolar foraging range of a Southern Ocean predator between the eras of whaling and rapid climate change</t>
  </si>
  <si>
    <t>isotope ecology; isoscape; environmental change; Eubalaena australis; southern right whale</t>
  </si>
  <si>
    <t>KRILL EUPHAUSIA-SUPERBA; EAST ANTARCTICA 80-150-DEGREES-E; WHALES EUBALAENA-AUSTRALIS; STABLE-ISOTOPES; DELTA-N-15; DISCRIMINATION; COMMUNITIES; MANAGEMENT; DELTA-C-13; MOVEMENTS</t>
  </si>
  <si>
    <t>Assessing environmental changes in Southern Ocean ecosystems is difficult due to its remoteness and data sparsity. Monitoring marine predators that respond rapidly to environmental variation may enable us to track anthropogenic effects on ecosystems. Yet, many long-term datasets of marine predators are incomplete because they are spatially constrained and/or track ecosystems already modified by industrial fishing and whaling in the latter half of the 20th century. Here, we assess the contemporary offshore distribution of a wide-ranging marine predator, the southern right whale (SRW, Eubalaena australis), that forages on copepods and krill from similar to 30 degrees S to the Antarctic ice edge (&gt;60 degrees S). We analyzed carbon and nitrogen isotope values of 1,002 skin samples from six genetically distinct SRW populations using a customized assignment approach that accounts for temporal and spatial variation in the Southern Ocean phytoplankton isoscape. Over the past three decades, SRWs increased their use of mid-latitude foraging grounds in the south Atlantic and southwest (SW) Indian oceans in the late austral summer and autumn and slightly increased their use of high-latitude (&gt;60 degrees S) foraging grounds in the SW Pacific, coincident with observed changes in prey distribution and abundance on a circumpolar scale. Comparing foraging assignments with whaling records since the 18th century showed remarkable stability in use of mid-latitude foraging areas. We attribute this consistency across four centuries to the physical stability of ocean fronts and resulting productivity in mid-latitude ecosystems of the Southern Ocean compared with polar regions that may be more influenced by recent climate change.</t>
  </si>
  <si>
    <t>s.derville@live.fr; e.carroll@auckland.ac.nz</t>
  </si>
  <si>
    <t>Vermeulen, Els/AAW-2716-2020; Jackson, Jennifer A/E-7997-2013; Palsbøll, Per J/L-3494-2013; Neveceralova, Petra/S-7837-2017</t>
  </si>
  <si>
    <t>Vermeulen, Els/0000-0002-3667-1290; Jackson, Jennifer/0000-0003-4158-1924; Derville, Solene/0000-0002-0380-7921; Neveceralova, Petra/0000-0003-0823-3311; Newsome, Seth/0000-0002-4534-1242; Berube, Martine/0000-0002-1831-2657; Somes, Christopher/0000-0003-2635-7617; Baker, C. Scott/0000-0003-2183-2036; Busquets-Vass, Geraldine/0000-0003-2867-7614; Vander Zanden, Hannah/0000-0003-3366-5116; Valenzuela, Luciano/0000-0002-5024-6581</t>
  </si>
  <si>
    <t>Charles University Grant Agency; Dyer Island Conservation Trust; Great White House; Kleinbaai; ExxonMobil; Total; Eni in South Africa; Department of Environment, Land, Water, and Planning, Victoria; Department of Natural Resources and Environment, Tasmania; Australian Marine Mammal Centre (AMMC), Australia; Whale and Dolphin Conservation Society; US Department of State (Program for Cooperative US/NZ Antarctic Research); Auckland University Research Council; NZ Marsden Fund; Winifred Violet Scott Estate Research Grant Fund; Australian Antarctic Division; Marine Conservation Action Fund; Blue Planet Marine NZ Ltd.; Holsworth Wildlife Research Endowment; New Zealand Ministry of Foreign Affairs; DOC; South Pacific Whale Research Consortium; National Geographic; Brian Skerry Photography; Royal Society Te Aparangi Rutherford Discovery Fellowship; Live Ocean, Lou and Iris Fisher Charitable Trust; University of Auckland; AMMC [1140217]; Royal Society of London; Marie Curie Fellowship; South Georgia Heritage Trust; Friends of South Georgia Island; World Wide Fund for Nature (WWF) UK; EU BEST 2.0 Medium Grant 1594; International Whaling Commission- Southern Ocean Research Partnership grant; Deutsche Forschungsgemeinschaft; Brazilian National Research Council (Conselho Nacional de Desenvolvimento Cientffico e Tecnologico-CNPq); World Wildlife Fund (WWF-Brazil); Brazilian National Council for Scientific and Technological Development, Conselho Nacional de Desenvolvimento Cientffico e Tecnologico (CNPq); [445549720]; [477611/2004-4]; [144064/98-7]; [303813/2011-3]; [308650/2014-0]; [310621/2017-8]; [315361/2021-2]</t>
  </si>
  <si>
    <t>Charles University Grant Agency; Dyer Island Conservation Trust; Great White House; Kleinbaai; ExxonMobil(Exxon Mobil Corporation); Total(Total SA); Eni in South Africa; Department of Environment, Land, Water, and Planning, Victoria; Department of Natural Resources and Environment, Tasmania; Australian Marine Mammal Centre (AMMC), Australia; Whale and Dolphin Conservation Society; US Department of State (Program for Cooperative US/NZ Antarctic Research); Auckland University Research Council; NZ Marsden Fund(Royal Society of New ZealandMarsden Fund (NZ)); Winifred Violet Scott Estate Research Grant Fund; Australian Antarctic Division; Marine Conservation Action Fund; Blue Planet Marine NZ Ltd.; Holsworth Wildlife Research Endowment; New Zealand Ministry of Foreign Affairs; DOC; South Pacific Whale Research Consortium; National Geographic(National Geographic Society); Brian Skerry Photography; Royal Society Te Aparangi Rutherford Discovery Fellowship(Royal Society of New Zealand); Live Ocean, Lou and Iris Fisher Charitable Trust; University of Auckland; AMMC; Royal Society of London(Royal Society); Marie Curie Fellowship(European Union (EU)); South Georgia Heritage Trust; Friends of South Georgia Island; World Wide Fund for Nature (WWF) UK; EU BEST 2.0 Medium Grant 1594; International Whaling Commission- Southern Ocean Research Partnership grant; Deutsche Forschungsgemeinschaft(German Research Foundation (DFG)); Brazilian National Research Council (Conselho Nacional de Desenvolvimento Cientffico e Tecnologico-CNPq)(Conselho Nacional de Desenvolvimento Cientifico e Tecnologico (CNPQ)Fundacao de Apoio a Pesquisa do Distrito Federal (FAPDF)); World Wildlife Fund (WWF-Brazil); Brazilian National Council for Scientific and Technological Development, Conselho Nacional de Desenvolvimento Cientffico e Tecnologico (CNPq)(Conselho Nacional de Desenvolvimento Cientifico e Tecnologico (CNPQ)Fundacao de Apoio a Pesquisa do Distrito Federal (FAPDF)); ; ; ; ; ; ;</t>
  </si>
  <si>
    <t>&amp; nbsp; Samples were collected in South Africa as follows: under the South African Department of Environmental Affairs research permit (RES2019/19), the CapeNature sample collection permit (CN44-28-5255), and ethical clearance from the University of Pretoria Faculty of Natural and Agricultural Sciences Ethics Committee (NAS271/2019) for the 2018 to 2019 samples; under permits issued to Peter Best in terms of the South African Sea Fishery Act (no.12 of 1988) issued 22 February 1995, 9 February 1996, and 9 July 1997 forthe 1995 to 1997 samples; and research permits RES2016/99 and RES2017/89 under the Charles University Ethical Committee approval for the 2015 to 2016 samples. Samples were collected in Australia under permits from the Department of Environment (Australia), Department of Environment and Heritage (South Africa), Department of Primary Industries, Parks, Water, and Environment (Tasmania), Department of Natural Resources and Environment (Victoria), Office of Environment and Heritage (New South Wales), Department of Environment and Heritage Protection (Queensland) sighting ID 49787, Department of Conservation and Land Management (Western Australia), and Macquarie University Animal Ethics Committee. New Zealand samples were collected under the New Zealand Department of Conservation-Te Papa Atawhai (DOC) Marine Mammal Research permit to CSB (no number) and permit 84845-MAR to E.L.C. and University of Auckland Animal Ethics Committee (AEC) approved protocols AEC/02/2005/R334 to C.S.B. and 002072 to E.L.C. Argentina samples were collected under permits from Direccion de Fauna y Flora Silvestres and Subsecretaria de Conservacion y Areas Protegidas from Chubut for Argentina and the University of Utah Institutional Animal Care &amp; Use Committee (IACUC) under assigned protocol number 05-01003 and in Brazil under permit Sisbio 16769 from the Brazilian Ministry of the Environment. Sample collection and analysis were funded by the Charles University Grant Agency (1140217), Dyer Island Conservation Trust, Great White House, Kleinbaai, ExxonMobil, Total, and Eni in South Africa; the Department of Environment, Land, Water, and Planning, Victoria; Department of Natural Resources and Environment, Tasmania; and the Australian Marine Mammal Centre (AMMC), Australia. Sample collection in New Zealand was funded by the following: 1995 to 1998 Auckland Islands field seasons-the Whale and Dolphin Conservation Society, the US Department of State (Program for Cooperative US/NZ Antarctic Research), the Auckland University Research Council, and the NZ Marsden Fund; 2006 to 2009 Auckland Islands field seasons-Winifred Violet Scott Estate Research Grant Fund, Australian Antarctic Division, Marine Conservation Action Fund, Blue Planet Marine NZ Ltd., Holsworth Wildlife Research Endowment, New Zealand Ministry of Foreign Affairs, DOC, South Pacific Whale Research Consortium, National Geographic, and Brian Skerry Photography; 2020 Auckland Islands field work-Royal Society Te Aparangi Rutherford Discovery Fellowship to E.L.C., Live Ocean, Lou and Iris Fisher Charitable Trust, and the University of Auckland-Waipapa Taumata Rau (2020 field season); and mainland samples-DOC. Analysis of New Zealand and Australian samples was funded by the AMMC, a Newton Fellowship from the Royal Society of London, Marie Curie Fellowship, and the University of Auckland. We thank the Instituto de Conservacion de Ballenas for samples from Argentina. Data from satellite tags deployed in Argentina were provided by the project Siguiendoballenas.org.; r Tag deployment was conducted under permits issued by Direccion de Fauna y Flora Silvestres and Subsecretarfa de Conservacion y Areas Protegidas, Province of Chubut, and by Secretaria de Ambiente y Desarrollo Sustentable, Province of Rio Negro. Funding for satellite tracking in Argentina was provided by Instituto Aqualie (Brazil), the National Oceanic and Atmospheric Administration (NOAA) of the United States, the International Whaling Commission (IWC), and Wildlife Conservation Society. Data from satellite tags deployed in South Georgia were provided by J.A.J. Tag deployment was conducted under permit RAP/2019/031 issued by the Government of South Georgia and the South Sandwich Islands (Islas Georgias del Sur y Islas Sandwich del Sur) following review and approval by the British Antarctic Survey (BAS) Animal Welfare and Ethics Review Board (review #1040). Satellite tracking in South Georgia was funded by the Darwin Plus initiative (DPLUS057), with additional funding support from the South Georgia Heritage Trust, Friends of South Georgia Island, World Wide Fund for Nature (WWF) UK, and EU BEST 2.0 Medium Grant 1594. The Brazilian samples were collected by Grupo de Estudos de Mamfferos Aquaticos do Rio Grande do Sul (GEMARS) in collaboration with the Projeto Baleia Franca. Isoscape analysis was funded by an International Whaling Commission- Southern Ocean Research Partnership grant. C.J.S. was supported by the Deutsche Forschungsgemeinschaft (project no. 445549720). P.H.O. was supported by the Brazilian National Research Council (Conselho Nacional de Desenvolvimento Cientffico e Tecnologico-CNPq numbers 477611/2004-4 and 144064/98-7) and World Wildlife Fund (WWF-Brazil). L.O. was supported bythe Brazilian National Council for Scientific and Technological Development, Conselho Nacional de Desenvolvimento Cientffico e Tecnologico (CNPq) that provided the research productivity grant nos. 303813/2011-3, 308650/2014-0, 310621/2017-8, and 315361/2021-2. Thanks to all of our colleagues who have worked on these research projects, to Devi Veytia for advice in manuscript preparation, and to Elanor Bell from the IWC-Southern Ocean Research Partnership (SORP) for supporting the work.</t>
  </si>
  <si>
    <t>MAR 7</t>
  </si>
  <si>
    <t>e2214035120</t>
  </si>
  <si>
    <t>10.1073/pnas.2214035120</t>
  </si>
  <si>
    <t>N4VB1</t>
  </si>
  <si>
    <t>Green Accepted, Green Published, hybrid, Green Submitted</t>
  </si>
  <si>
    <t>WOS:001036996200008</t>
  </si>
  <si>
    <t>Darelius, E; Daae, K; Dundas, V; Fer, I; Hellmer, HH; Janout, M; Nicholls, KW; Sallée, JB; Osterhus, S</t>
  </si>
  <si>
    <t>Darelius, Elin; Daae, Kjersti; Dundas, Var; Fer, Ilker; Hellmer, Hartmut H.; Janout, Markus; Nicholls, Keith W.; Sallee, Jean-Baptiste; Osterhus, Svein</t>
  </si>
  <si>
    <t>Observational evidence for on-shelf heat transport driven by dense water export in the Weddell Sea</t>
  </si>
  <si>
    <t>WARM WATER; CIRCULATION; INFLOW</t>
  </si>
  <si>
    <t>The transport of oceanic heat towards the Antarctic continental margin is central to the mass balance of the Antarctic Ice Sheet. Recent modeling efforts challenge our view on where and how the on-shelf heat flux occurs, suggesting that it is largest where dense shelf waters cascade down the continental slope. Here we provide observational evidence supporting this claim. Using records from moored instruments, we link the downslope flow of dense water from the Filchner overflow to upslope and on-shelf flow of warm water. Recent modeling challenges our view on where the on-shelf heat flux in Antarctica occurs, suggesting it to be large where dense waters descend the continental slope. The authors provide observational evidence from the Weddell Sea supporting this claim.</t>
  </si>
  <si>
    <t>[Darelius, Elin; Daae, Kjersti; Dundas, Var; Fer, Ilker] Univ Bergen, Geophys Inst, Alleg 70, Bergen, Norway; [Darelius, Elin; Daae, Kjersti; Dundas, Var; Fer, Ilker] Bjerknes Ctr Climate Res, Alleg 70, Bergen, Norway; [Hellmer, Hartmut H.; Janout, Markus] Alfred Wegener Inst, Helmholtz Ctr Polar &amp; Marine Res, Am Handelshafen 12, Bremerhaven, Germany; [Nicholls, Keith W.] British Antarctic Survey, High Cross, Madingley Rd, Cambridge, England; [Sallee, Jean-Baptiste] Sorbonne Univ, CNRS, LOCEAN, 4 Pl Jussieu, Paris, France; [Osterhus, Svein] NORCE Norwegian Res Ctr AS, Jahnebakken 5, Bergen, Norway; [Osterhus, Svein] Bjerknes Ctr Climate Res, Jahnebakken 5, Bergen, Norway</t>
  </si>
  <si>
    <t>University of Bergen; Bjerknes Centre for Climate Research; Helmholtz Association; Alfred Wegener Institute, Helmholtz Centre for Polar &amp; Marine Research; UK Research &amp; Innovation (UKRI); Natural Environment Research Council (NERC); NERC British Antarctic Survey; Centre National de la Recherche Scientifique (CNRS); Museum National d'Histoire Naturelle (MNHN); Sorbonne Universite; Norwegian Research Centre (NORCE); Bjerknes Centre for Climate Research</t>
  </si>
  <si>
    <t>Darelius, E (corresponding author), Univ Bergen, Geophys Inst, Alleg 70, Bergen, Norway.;Darelius, E (corresponding author), Bjerknes Ctr Climate Res, Alleg 70, Bergen, Norway.</t>
  </si>
  <si>
    <t>elin.darelius@uib.no</t>
  </si>
  <si>
    <t>Fer, Ilker/C-7820-2012; SALLEE, Jean baptiste/HDO-5355-2022; Darelius, Elin/O-4096-2015</t>
  </si>
  <si>
    <t>Fer, Ilker/0000-0002-2427-2532; Hellmer, Hartmut/0000-0002-9357-9853; Janout, Markus/0000-0003-4908-2855; Osterhus, Svein/0000-0001-9915-2685; Darelius, Elin/0000-0003-3060-0317</t>
  </si>
  <si>
    <t>University of Bergen</t>
  </si>
  <si>
    <t>Open access funding provided by University of Bergen.</t>
  </si>
  <si>
    <t>10.1038/s41467-023-36580-3</t>
  </si>
  <si>
    <t>A8MI0</t>
  </si>
  <si>
    <t>WOS:000957599200005</t>
  </si>
  <si>
    <t>Salgado, P; Pizarro, G; Frangopulos, M; Pinto-Torres, M; Toro, C; Torres, R; Alarcon, E; Guzman, L; Manriquez, K; Raimapo, R; Cascales, E</t>
  </si>
  <si>
    <t>Salgado, Pablo; Pizarro, Gemita; Frangopulos, Maximo; Pinto-Torres, Marco; Toro, Carolina; Torres, Rodrigo; Alarcon, Emilio; Guzman, Leonardo; Manriquez, Karen; Raimapo, Roberto; Cascales, Emma</t>
  </si>
  <si>
    <t>Distribution of dinoflagellate cyst assemblages in surface sediments of Magellan fjords and channels (Patagonia, Chile) with a focus on harmful species: An overview on environmental scenario</t>
  </si>
  <si>
    <t>Alexandrium catenella; Cyst assemblages; Environmental parameters; Harmful dinoflagellates; Magellan fjords and channels</t>
  </si>
  <si>
    <t>SOUTHERN CHILE; ALEXANDRIUM-CATENELLA; BLOOM DYNAMICS; RESTING CYSTS; FRESH-WATER; GYMNODINIUM-CATENATUM; SCRIPPSIELLA-HANGOEI; GENUS ALEXANDRIUM; ALGAL BLOOMS; SP-NOV</t>
  </si>
  <si>
    <t>Several dinoflagellate species form benthic resting cysts in their life cycle. In order to study the composition, abundance and distribution of cyst assemblages, with a focus on harmful species, thirty-one surface sediment samples from the Magellan fjords and channels system were analysed. In situ (temperature, salinity, inorganic nutrients, dissolved oxygen, organic matter, and chlorophyll-a) and five-year (salinity, temperature, dissolved oxygen, and chlorophyll-a) measurement data were analysed to obtain an overview on environmental scenario. A total of 56 cyst morphotypes were recorded, some of which were identified for the first time for the Chilean coast (Dactylodinium cf. arachnoides, Impagidinium cf. velorum, Archaeperidinium sp., Protoperidinium haizhouense, Pro-toperidinium sinuosum, Protoperidinium tricingulatum, and Dubridinium cf. ulsterum). In vitro germination of cysts allowed the vegetative form of the species of the order Suessiales to be determined. Total cyst concentrations were highly variable, ranging from 145 to 5453 cysts mL-1 of wet sediment (mean 1246 +/- 1061 cysts mL-1), with the lowest cyst values in the area adjacent to the Southern Patagonian Ice Field. Pentapharsodinium dalei and Protoperidinium conicoides generally dominated (%) the cyst assemblages. The harmful species Alexandrium cat-enella and Alexandrium ostenfeldii were not abundant and sparsely distributed, while Protoceratium reticulatum was widespread and highly abundant with Gonyaulax spinifera in Inutil Bay (Magellan Strait). Cluster and nMDS analyses performed with cyst concentrations of the 56 taxa in the 31 stations formed seven cyst assemblage clusters, reflecting high environmental variability. Canonical correspondence analyses performed with cyst concentrations and in situ and long-term environmental data showed different ecological signals, demonstrating that in situ parameters must be used carefully when studying cysts in surface sediments.</t>
  </si>
  <si>
    <t>[Salgado, Pablo; Pizarro, Gemita; Toro, Carolina; Raimapo, Roberto] Inst Fomento Pesquero IFOP, Ctr Estudios Algas Noc CREAN, Enrique Abello 0552, Punta Arenas, Chile; [Frangopulos, Maximo] Univ Magallanes, Ctr Invest GAIA Antartica CIGA, Av Bulnes 01855, Punta Arenas, Chile; [Frangopulos, Maximo] Univ Magallanes, Cape Horn Int Ctr CHIC, Puerto Williams, Chile; [Frangopulos, Maximo] Millennium Inst Biodivers Antarctic &amp; Subantarctic, Las Palmeras 3425, Santiago, Chile; [Pinto-Torres, Marco] Univ Austral Chile, Escuela Grad, Programa Doctorado Ciencias Acuicultura, Puerto Montt, Chile; [Pinto-Torres, Marco; Torres, Rodrigo] Ctr Invest Dinam Ecosistemas Marinos Altas Latitud, Punta Arenas, Chile; [Torres, Rodrigo; Alarcon, Emilio] Ctr Invest Ecosistemas Patagonia CIEP, Jose de Moraleda 16, Coyhaique, Chile; [Guzman, Leonardo; Cascales, Emma] Inst Fomento Pesquero IFOP, Ctr Estudios Algas Noc CREAN, Padre Harter 574, Puerto Montt, Chile; [Manriquez, Karen] Univ Andres Bello UNAB, Fac Ciencias Vida, Dept Ecol &amp; Biodivers, Republ 440, Santiago, Chile</t>
  </si>
  <si>
    <t>Instituto de Fomento Pesquero (Valparaiso); Universidad de Magallanes; Universidad de Magallanes; Universidad Austral de Chile; Instituto de Fomento Pesquero (Valparaiso); Universidad Andres Bello</t>
  </si>
  <si>
    <t>Salgado, P (corresponding author), Inst Fomento Pesquero IFOP, Ctr Estudios Algas Noc CREAN, Enrique Abello 0552, Punta Arenas, Chile.</t>
  </si>
  <si>
    <t>pablo.salgado@ifop.cl</t>
  </si>
  <si>
    <t>Pinto Torres, Marco Antonio/GNH-4287-2022</t>
  </si>
  <si>
    <t>Pinto Torres, Marco Antonio/0000-0002-5942-206X; frangopulos, maximo/0000-0002-6857-273X; Torres, Rodrigo/0000-0003-0416-4291; pizarro, gemita/0000-0003-2974-2609</t>
  </si>
  <si>
    <t>Comite Oceanografico Nacional [CONA-C25F, 21160047]; Concurso Nacional de Asignacion de Tiempo de Buque Oceanografico AGS-61 Cabo de Hornos 2019 - Associative Research Program PIA-CONICYT/ANID [CONA C25F 19-02]; Undersecretary of Economy and Smaller Companies and Undersecretary of Fisheries and Aquaculture; ANID - Millennium Science Initiative Program; ANID BASAL; Aquaculture Sciences at the Universidad Austral de Chile, Centro Fondap IDEAL; Doctorado Becas Chile; [PROFAN AUB 1900003]; [ICN2021_002]; [FB210018]; [15150003]</t>
  </si>
  <si>
    <t>Comite Oceanografico Nacional; Concurso Nacional de Asignacion de Tiempo de Buque Oceanografico AGS-61 Cabo de Hornos 2019 - Associative Research Program PIA-CONICYT/ANID; Undersecretary of Economy and Smaller Companies and Undersecretary of Fisheries and Aquaculture; ANID - Millennium Science Initiative Program; ANID BASAL; Aquaculture Sciences at the Universidad Austral de Chile, Centro Fondap IDEAL; Doctorado Becas Chile; ; ; ;</t>
  </si>
  <si>
    <t>This work was funded by Comite Oceanografico Nacional (CONA-C25F, 2019) by the projects CONA C25F 19-02 (G. Pizarro) and PROFAN AUB 1900003 of the Concurso Nacional de Asignacion de Tiempo de Buque Oceanografico AGS-61 Cabo de Hornos 2019 - Associative Research Program PIA-CONICYT/ANID. G. Pizarro and R. Raimapo participated in CIMAR-25 and P. Salgado and G. Pizarro in PROFAN supported by the Undersecretary of Economy and Smaller Companies and Undersecretary of Fisheries and Aquaculture, through the project Programa de manejo y monitoreo de las mareas rojas en el sistema de fiordos y canales de Chile, etapa XIII 2019-2020 carried out by IFOP. Authors acknowledge the commander and the crew of the AGS-61 Cabo de Hornos of the Chilean Navy for their support during the oceanographic campaigns. The work of the Servicio Hidrografico y Oceanografico of the Chilean Navy (SHOA) is also recognized. M. Fragopulos also thanks ANID - Millennium Science Initiative Program - ICN2021_002 and ANID BASAL FB210018. M. Pinto-Torres thanks the doctoral program in Aquaculture Sciences at the Universidad Austral de Chile, Centro Fondap IDEAL 15150003 and to Doctorado Becas Chile - 2016 -Folio No 21160047 for the logistical and instrumental support, shipment and processing of the samples used here. We thank the two anonymous reviewers who helped to improve the manuscript with their constructive comments, and to the native reviewer who grammatically corrected the text.</t>
  </si>
  <si>
    <t>10.1016/j.pocean.2023.103000</t>
  </si>
  <si>
    <t>A0PQ1</t>
  </si>
  <si>
    <t>WOS:000952239100001</t>
  </si>
  <si>
    <t>Solé, M; Kaifu, K; Mooney, TA; Nedelec, SL; Olivier, F; Radford, AN; Vazzana, M; Wale, MA; Semmens, JM; Simpson, SD; Buscaino, G; Hawkins, A; de Soto, NA; Akamatsu, T; Chauvaud, L; Day, RD; Fitzgibbon, Q; McCauley, RD; André, M</t>
  </si>
  <si>
    <t>Sole, Marta; Kaifu, Kenzo; Mooney, T. Aran; Nedelec, Sophie L.; Olivier, Frederic; Radford, Andrew N.; Vazzana, Mirella; Wale, Matthew A.; Semmens, Jayson M.; Simpson, Stephen D.; Buscaino, Giuseppa; Hawkins, Anthony; de Soto, Natacha Aguilar; Akamatsu, Tomoari; Chauvaud, Laurent; Day, Ryan D.; Fitzgibbon, Quinn; McCauley, Robert D.; Andre, Michel</t>
  </si>
  <si>
    <t>Marine invertebrates and noise</t>
  </si>
  <si>
    <t>marine invertebrates; marine noise pollution; sound production; sound detection; noise effects; statocyst; sound pressure; particle motion</t>
  </si>
  <si>
    <t>SHRIMP LITOPENAEUS-VANNAMEI; UNDERWATER SOUND DETECTION; EUROPEAN SPINY LOBSTER; ABDOMINAL SENSE ORGAN; LOW-FREQUENCY; ANTHROPOGENIC NOISE; HAIR-CELLS; BEHAVIORAL-RESPONSES; EVOKED-POTENTIALS; PARTICLE MOTION</t>
  </si>
  <si>
    <t>Within the set of risk factors that compromise the conservation of marine biodiversity, one of the least understood concerns is the noise produced by human operations at sea and from land. Many aspects of how noise and other forms of energy may impact the natural balance of the oceans are still unstudied. Substantial attention has been devoted in the last decades to determine the sensitivity to noise of marine mammals-especially cetaceans and pinnipeds-and fish because they are known to possess hearing organs. Recent studies have revealed that a wide diversity of invertebrates are also sensitive to sounds, especially via sensory organs whose original function is to allow maintaining equilibrium in the water column and to sense gravity. Marine invertebrates not only represent the largest proportion of marine biomass and are indicators of ocean health but many species also have important socio-economic values. This review presents the current scientific knowledge on invertebrate bioacoustics (sound production, reception, sensitivity), as well as on how marine invertebrates are affected by anthropogenic noises. It also critically revisits the literature to identify gaps that will frame future research investigating the tolerance to noise of marine ecosystems.</t>
  </si>
  <si>
    <t>[Sole, Marta; Andre, Michel] Tech Univ Catalonia, Lab Appl Bioacoust, BarcelonaTech, UPC, Barcelona, Spain; [Kaifu, Kenzo] Chuo Univ, Fac Law, Tokyo, Japan; [Kaifu, Kenzo] Zool Soc London, London, England; [Mooney, T. Aran] Woods Hole Oceanog Inst, Biol Dept, Sensory Ecol &amp; Bioacoust Lab, Woods Hole, MA USA; [Nedelec, Sophie L.] Univ Exeter, Biosci, Geoffrey Pope Bldg, Exeter, England; [Olivier, Frederic] BOREA, Biol Organismes &amp; Ecosyst Aquat, UMR 7208, MNH,SU,UNICAEN,UA,CNRS,IRD, Paris, France; [Olivier, Frederic] Technopole Brest Iroise, BeBEST, IUEM, Brest, France; [Radford, Andrew N.; Simpson, Stephen D.] Univ Bristol, Sch Biol Sci, Life Sci Bldg, Bristol, England; [Vazzana, Mirella] Univ Palermo, Dept Biol Chem &amp; Pharmaceut Sci &amp; Technol, Palermo, Italy; [Wale, Matthew A.] Edinburgh Napier Univ, Sch Appl Sci, Edinburgh, Scotland; [Wale, Matthew A.] Edinburgh Napier Univ, Ctr Conservat &amp; Restorat Sci, Edinburgh, Scotland; [Semmens, Jayson M.] Univ Tasmania, Inst Marine &amp; Antarctic Studies, Hobart, Tas, Australia; [Buscaino, Giuseppa] CNR, Inst Anthrop Impact &amp; Sustainabil Marine Environm, UOS Torretta Granitola, IAS,CNR,TP, Campobello Di Mazara, Trapani, Italy; [Hawkins, Anthony] Bioacoust, Aberdeen, Scotland; [de Soto, Natacha Aguilar] Univ La Laguna, Dept Anim Biol, San Cristobal la Laguna, Spain; [Akamatsu, Tomoari] Sasakawa Peace Fdn, Ocean Policy Res Inst, Tokyo, Japan; [Chauvaud, Laurent] Inst Univ Europeen Mer IUEM, UMR CNRS 6539 Lemar, Technopole Brest Iroise, Brest, France; [Day, Ryan D.] Univ Tasmania, Inst Marine &amp; Antarctic Studies, Fisheries &amp; Aquaculture Ctr, Hobart, Tas, Australia; [Fitzgibbon, Quinn] Univ Tasmania, IMAS Taroona, Hobart, Tas, Australia; [McCauley, Robert D.] Curtin, Ctr Marine Sci &amp; Technol, Perth, Australia</t>
  </si>
  <si>
    <t>Universitat Politecnica de Catalunya; Chuo University; Zoological Society of London; Woods Hole Oceanographic Institution; University of Exeter; Centre National de la Recherche Scientifique (CNRS); Institut de Recherche pour le Developpement (IRD); Museum National d'Histoire Naturelle (MNHN); Sorbonne Universite; CNRS - Institute of Ecology &amp; Environment (INEE); Universite de Caen Normandie; Universite de Bretagne Occidentale; Institut Universitaire Europeen de la Mer (IUEM); University of Bristol; University of Palermo; Edinburgh Napier University; Edinburgh Napier University; University of Tasmania; Consiglio Nazionale delle Ricerche (CNR); Istituto per lo Studio degli Impatti Antropici Sostenibilita in Ambiente Marino (IAS-CNR); Universidad de la Laguna; Universite de Bretagne Occidentale; Institut Universitaire Europeen de la Mer (IUEM); University of Tasmania; University of Tasmania</t>
  </si>
  <si>
    <t>Solé, M (corresponding author), Tech Univ Catalonia, Lab Appl Bioacoust, BarcelonaTech, UPC, Barcelona, Spain.</t>
  </si>
  <si>
    <t>marta.sole@upc.edu</t>
  </si>
  <si>
    <t>buscaino, giuseppa/O-8705-2015</t>
  </si>
  <si>
    <t>buscaino, giuseppa/0000-0002-4848-4185; Fitzgibbon, Quinn/0000-0002-1104-3052; AKAMATSU, Tomonari/0000-0003-2661-6199; Sole, Marta/0000-0002-7704-5157</t>
  </si>
  <si>
    <t>10.3389/fmars.2023.1129057</t>
  </si>
  <si>
    <t>9Z1UY</t>
  </si>
  <si>
    <t>WOS:000950934400001</t>
  </si>
  <si>
    <t>Lemke, LR; Simpfendorfer, CA</t>
  </si>
  <si>
    <t>Lemke, L. R.; Simpfendorfer, C. A.</t>
  </si>
  <si>
    <t>Gillnet size selectivity of shark and ray species from Queensland, Australia</t>
  </si>
  <si>
    <t>elasmobranch; fishery; fishing gear; gear selectivity; gillnet; management</t>
  </si>
  <si>
    <t>NET MESH SELECTIVITIES; FISHERY</t>
  </si>
  <si>
    <t>Gillnets are size-selective fishing gears commonly used by industrial and small-scale fishers, so understanding selectivity can aid fisheries management by identifying suitable mesh sizes to optimize catches of target species while reducing bycatch. Few size selectivity parameters have been estimated for sharks, with even fewer for rays. Size selection parameters were estimated for seven species of sharks and two species of rays from the Queensland East Coast Inshore Finfish Fishery (ECIFF). Size frequency data from a fishery observer program on ECIFF vessels was used to fit a standard size selection model. Mesh size independent parameters, theta(1) and theta(2), were estimated for each species to define selectivity curves for different mesh sizes for each species. Parameter values were compared with previous studies that used the same method. Estimates of theta(1) were similar among species within the same genus, such as Carcharhinus, Rhizoprionodon, and Sphyrna. Anoxypristis cuspidata had the largest theta(1) and theta(2) values, likely because of its toothed rostrum that affected catchability in gillnets. Our findings can be used for the ECIFF and other gillnet fisheries to aid in mesh size recommendations and risk mitigation.</t>
  </si>
  <si>
    <t>[Lemke, L. R.; Simpfendorfer, C. A.] James Cook Univ, Coll Sci &amp; Engn, Townsville, Qld, Australia; [Lemke, L. R.] Dauphin Isl Sea Lab, Dauphin Isl, AL USA; [Simpfendorfer, C. A.] Univ Tasmania, Inst Marine &amp; Antarctic Studies, Hobart, Tas, Australia</t>
  </si>
  <si>
    <t>James Cook University; Dauphin Island Sea Lab; University of Tasmania</t>
  </si>
  <si>
    <t>Lemke, LR (corresponding author), James Cook Univ, Coll Sci &amp; Engn, Townsville, Qld, Australia.</t>
  </si>
  <si>
    <t>lindsey.r.lemke@gmail.com</t>
  </si>
  <si>
    <t>Simpfendorfer, Colin A/G-9681-2011</t>
  </si>
  <si>
    <t>Lemke, Lindsey/0000-0002-2749-4691</t>
  </si>
  <si>
    <t>Australian Governments Marine and Tropical Science Research Facility [4.8.4]; Fishing and Fisheries Lab at James Cook University; Fisheries Research and Development Corporation [2010/006]</t>
  </si>
  <si>
    <t>Australian Governments Marine and Tropical Science Research Facility(Australian Government); Fishing and Fisheries Lab at James Cook University; Fisheries Research and Development Corporation</t>
  </si>
  <si>
    <t>The data used in this study were collected as part of the Australian Governments Marine and Tropical Science Research Facility grant 4.8.4 and Fisheries Research and Development Corporation project 2010/006. Samples were collected under GBRMPA permits G09/30737-1, G09/31573-1, G10/33227-1, Queensland Fisheries General Fisheries permit 90911, and JCU Animal Ethics permits A1214 and A1566. We thank the numerous fishers from the East Coast Inshore Finfish Fishery who participated in the project and allowed observers to collect data on their vessels. Thanks to the observers who worked tirelessly to collect the data, especially Al Harry, Jimmy White, and Jon Smart. Thanks also to the Fishing and Fisheries Lab at James Cook University for their support and advice. Open access publishing facilitated by James Cook University, as part of the Wiley - James Cook University agreement via the Council of Australian University Librarians.</t>
  </si>
  <si>
    <t>10.1111/fme.12620</t>
  </si>
  <si>
    <t>WOS:000945300400001</t>
  </si>
  <si>
    <t>Pinti, J; Jonasdottir, SH; Record, NR; Visser, AW</t>
  </si>
  <si>
    <t>Pinti, Jerome; Jonasdottir, Sigrun H.; Record, Nicholas R.; Visser, Andre W.</t>
  </si>
  <si>
    <t>The global contribution of seasonally migrating copepods to the biological carbon pump</t>
  </si>
  <si>
    <t>CALANOIDES-ACUTUS COPEPODA; CALANUS-FINMARCHICUS; LIFE-CYCLE; OCEAN CIRCULATION; NEOCALANUS-TONSUS; ANTARCTIC COPEPOD; GRAZING COPEPODS; NORTH-ATLANTIC; SCOTIA SEA; MESOZOOPLANKTON</t>
  </si>
  <si>
    <t>Every year, large numbers of zooplankton migrate from the surface ocean to depths of 500-2000 m to hibernate. Through this migration, they actively transport organic carbon to the deep ocean, where it is used to fuel metabolic needs. This active transport of carbon is thought to be highly efficient, as carbon metabolized by copepods is directly injected deep into the ocean's interior. The significance of this process in view of global carbon cycling remains an open question. Here, we focus on five representative, diapausing copepod species (Calanus finmarchicus, Calanus hyperboreus, Calanoides acutus, Calanoides natalis, and Neocalanus tonsus) distributed in the Arctic, Atlantic, Indian, and Southern Oceans. For each species, we compute both carbon injection (how much carbon is transported below the euphotic zone during zooplankton migration and left there as dissolved inorganic carbon) and carbon sequestration (the amount of carbon stored in the ocean's interior following diapausing zooplankton-mediated injection). In total, the five species considered here contribute 0.4-0.8% of total biological carbon export, and 0.8-3.3% of total carbon sequestration mediated by the biological pump (assuming a total carbon export of similar to 10 PgC yr(-1) and sequestration of similar to 1300 PgC). Including other species in this inventory would increase the contribution of diapausing copepods to the biological carbon pump, but requires more precise estimates of copepods' distribution, abundance, and metabolic requirements.</t>
  </si>
  <si>
    <t>[Pinti, Jerome] Univ Delaware, Coll Earth Ocean &amp; Environm, Lewes, DE 19716 USA; [Jonasdottir, Sigrun H.; Visser, Andre W.] Tech Univ Denmark, Sect Ocean &amp; Arctic, Kongens Lyngby, Denmark; [Record, Nicholas R.] Bigelow Lab Ocean Sci, East Boothbay, ME USA; [Visser, Andre W.] Tech Univ Denmark, VKR Ctr Ocean Life, Kongens Lyngby, Denmark</t>
  </si>
  <si>
    <t>University of Delaware; Technical University of Denmark; Bigelow Laboratory for Ocean Sciences; Technical University of Denmark</t>
  </si>
  <si>
    <t>Pinti, J (corresponding author), Univ Delaware, Coll Earth Ocean &amp; Environm, Lewes, DE 19716 USA.</t>
  </si>
  <si>
    <t>pintijerome@gmail.com</t>
  </si>
  <si>
    <t>; Visser, Andre/G-6317-2015</t>
  </si>
  <si>
    <t>Pinti, Jerome/0000-0002-0664-0936; Jonasdottir, Sigrun/0000-0003-4985-0447; Visser, Andre/0000-0002-1604-7263</t>
  </si>
  <si>
    <t>Centre for Ocean Life, a VKR Centre of Excellence - Villum Foundation; Gordon and Betty Moore Foundation [5479]; Horizon 2020 Project OCEAN-ICU [869383]; Horizon 2020 Project ECOTIP; [101083922]</t>
  </si>
  <si>
    <t>Centre for Ocean Life, a VKR Centre of Excellence - Villum Foundation; Gordon and Betty Moore Foundation(Gordon and Betty Moore Foundation); Horizon 2020 Project OCEAN-ICU; Horizon 2020 Project ECOTIP;</t>
  </si>
  <si>
    <t>This work was supported by the Centre for Ocean Life, a VKR Centre of Excellence funded by the Villum Foundation, by the Gordon and Betty Moore Foundation (grant #5479), the Horizon 2020 Projects ECOTIP (grant agreement #869383), and OCEAN-ICU (grant agreement #101083922). The authors thank Michael Heath and Kristina Kvile for providing us with abundance estimates for C. finmarchicus and C. hyperboreus, respectively, and Tim DeVries for providing us with OCIM, the model that was used to compute sequestration estimates based on computed carbon export. The authors appreciate the two anonymous reviewers whose insightful suggestions helped improve the manuscript.</t>
  </si>
  <si>
    <t>10.1002/lno.12335</t>
  </si>
  <si>
    <t>G6CX5</t>
  </si>
  <si>
    <t>WOS:000945224400001</t>
  </si>
  <si>
    <t>Ryan, C; Santangelo, M; Stephenson, B; Branch, TA; Wilson, EA; Savoca, MS</t>
  </si>
  <si>
    <t>Ryan, Conor; Santangelo, Maya; Stephenson, Brent; Branch, Trevor A.; Wilson, Earle A.; Savoca, Matthew S.</t>
  </si>
  <si>
    <t>Commercial krill fishing within a foraging supergroup of fin whales in the Southern Ocean</t>
  </si>
  <si>
    <t>ECOLOGY</t>
  </si>
  <si>
    <t>conservation; fisheries; human-wildlife conflict; marine productivity; nutrient cycling</t>
  </si>
  <si>
    <t>BALAENOPTERA-PHYSALUS</t>
  </si>
  <si>
    <t>[Ryan, Conor; Santangelo, Maya; Stephenson, Brent] Lindblad Expedit, Seattle, WA USA; [Santangelo, Maya] Inst Marine &amp; Antarctic Studies, Hobart, Tas, Australia; [Stephenson, Brent] Ecovista Photog &amp; Res, Napier, New Zealand; [Branch, Trevor A.] Univ Washington, Sch Aquat &amp; Fishery Sci, Seattle, WA USA; [Wilson, Earle A.] Stanford Univ, Dept Earth Syst Sci, Stanford, CA USA; [Savoca, Matthew S.] Stanford Univ, Hopkins Marine Stn, Pacific Grove, CA 93950 USA</t>
  </si>
  <si>
    <t>University of Tasmania; University of Washington; University of Washington Seattle; Stanford University; Stanford University</t>
  </si>
  <si>
    <t>Savoca, MS (corresponding author), Stanford Univ, Hopkins Marine Stn, Pacific Grove, CA 93950 USA.</t>
  </si>
  <si>
    <t>msavoca13@gmail.com</t>
  </si>
  <si>
    <t>Savoca, Matthew/K-3677-2019; Ryan, Conor/IUM-1438-2023</t>
  </si>
  <si>
    <t>Wilson, Earle/0000-0003-2329-5115; Santangelo, Maya/0000-0002-2662-2903; Ryan, Conor/0000-0002-3654-7345; Savoca, Matthew/0000-0002-7318-4977</t>
  </si>
  <si>
    <t>National Science Foundation, Division of Polar Programs [NSF PLR -1425989, OPP-1936222]; International Argo Program; MAC3 Impact Philanthropies; National Oceanic and Atmospheric Administration (NOAA) programs</t>
  </si>
  <si>
    <t>National Science Foundation, Division of Polar Programs(National Science Foundation (NSF)); International Argo Program; MAC3 Impact Philanthropies; National Oceanic and Atmospheric Administration (NOAA) programs</t>
  </si>
  <si>
    <t>Thanks go to Captain Aaron Wood amd the officers and crew of National Geographic Endurance. The assistance of our colleagues, videographer Eric Wehrmeister in particular, is greatly appreciated. Satellite and Argo profiling float data were collected and made freely available by the Southern Ocean Carbon and Climate Observations and Modeling (SOCCOM) project funded by the National Science Foundation, Division of Polar Programs (NSF PLR -1425989 and OPP-1936222), supplemented by NASA, and by the International Argo Program and the National Oceanic and Atmospheric Administration (NOAA) programs that contribute to it. The Argo Program is part of the Global Ocean Observing System. This work was supported by MAC3 Impact Philanthropies.</t>
  </si>
  <si>
    <t>0012-9658</t>
  </si>
  <si>
    <t>1939-9170</t>
  </si>
  <si>
    <t>10.1002/ecy.4002</t>
  </si>
  <si>
    <t>A9RI3</t>
  </si>
  <si>
    <t>WOS:000945981900001</t>
  </si>
  <si>
    <t>Xu, Y; Guo, J; Liu, YF; Guan, FC; Li, Z; Yao, Q; Bao, D</t>
  </si>
  <si>
    <t>Xu, Yi; Guo, Jing; Liu, Yuanfa; Guan, Fucheng; Li, Zheng; Yao, Qiang; Bao, Da</t>
  </si>
  <si>
    <t>Dual-stimuli responsive skin-core structural fibers with an in situ crosslinked alginate ester for hydrophobic drug delivery</t>
  </si>
  <si>
    <t>JOURNAL OF MATERIALS CHEMISTRY B</t>
  </si>
  <si>
    <t>SYSTEM; CURCUMIN; HYDROGEL; GELATIN</t>
  </si>
  <si>
    <t>To solve the problems of low bioavailability and low intestinal release efficiency of curcumin as a hydrophobic drug in the treatment of diabetes, a novel alginate ester/Antarctic krill protein/2-formylphenylboronic acid (AE/AKP/2-FPBA) skin-core structural fiber with pH and glucose stimulation responsiveness was prepared by an acid-catalyzed polyol in situ crosslinked phase separation method as a drug delivery system. The reaction mechanism and apparent morphology of the fiber were studied. The controlled release ability of the fiber in simulated liquids was evaluated. AE targeted the release of curcumin by pH stimulation; the release amount in the simulated colonic fluid reached 100%, while the release amount in the simulated digestive fluid was less than 12%. 2-FPBA controlled the release rate of curcumin by glucose stimulation, which increases with the increase of 2-FPBA content. Moreover, the cytotoxicity test confirmed that the skin-core structural fiber was non-toxic. These results suggest that skin-core structural fibers have great potential as curcumin delivery systems.</t>
  </si>
  <si>
    <t>[Xu, Yi; Guo, Jing; Liu, Yuanfa; Guan, Fucheng; Li, Zheng; Yao, Qiang; Bao, Da] Dalian Polytech Univ, Sch Text &amp; Mat Engn, Dalian 116034, Peoples R China; [Guo, Jing; Liu, Yuanfa; Guan, Fucheng] Dalian Polytech Univ, Liaoning Engn Technol Res Ctr Funct Fiber &amp; Its Co, Dalian 116034, Peoples R China</t>
  </si>
  <si>
    <t>Dalian Polytechnic University; Dalian Polytechnic University</t>
  </si>
  <si>
    <t>Guo, J; Liu, YF (corresponding author), Dalian Polytech Univ, Sch Text &amp; Mat Engn, Dalian 116034, Peoples R China.;Guo, J; Liu, YF (corresponding author), Dalian Polytech Univ, Liaoning Engn Technol Res Ctr Funct Fiber &amp; Its Co, Dalian 116034, Peoples R China.</t>
  </si>
  <si>
    <t>guojing8161@163.com; Liuyf@dlpu.edu.cn</t>
  </si>
  <si>
    <t>Liao, Hongmei/ABT-7677-2022; guan, fucheng/IXN-7582-2023</t>
  </si>
  <si>
    <t>guan, fucheng/0009-0003-0528-6829; Xu, Yi/0000-0003-0751-4111</t>
  </si>
  <si>
    <t>National Natural Science Foundation of China [51773024]; Nature Science Foundation of Liaoning Province [20180550429]; Scientific Research Funding Project of Education Department of Liaoning Province [J2020047]; National Advanced Functional Fiber Innovation Center [2021-fx0100207]; China Chemical Fibres Association [LVYU-9-02]</t>
  </si>
  <si>
    <t>National Natural Science Foundation of China(National Natural Science Foundation of China (NSFC)); Nature Science Foundation of Liaoning Province(Natural Science Foundation of Liaoning Province); Scientific Research Funding Project of Education Department of Liaoning Province; National Advanced Functional Fiber Innovation Center; China Chemical Fibres Association</t>
  </si>
  <si>
    <t>This work was supported by the National Natural Science Foundation of China (No. 51773024), the Nature Science Foundation of Liaoning Province (No. 20180550429), the Scientific Research Funding Project of Education Department of Liaoning Province (No. J2020047), the National Advanced Functional Fiber Innovation Center (No. 2021-fx0100207), and the China Chemical Fibres Association (No. LVYU-9-02).</t>
  </si>
  <si>
    <t>2050-750X</t>
  </si>
  <si>
    <t>2050-7518</t>
  </si>
  <si>
    <t>J MATER CHEM B</t>
  </si>
  <si>
    <t>J. Mat. Chem. B</t>
  </si>
  <si>
    <t>10.1039/d2tb02623f</t>
  </si>
  <si>
    <t>Materials Science, Biomaterials</t>
  </si>
  <si>
    <t>Materials Science</t>
  </si>
  <si>
    <t>9Z5ZU</t>
  </si>
  <si>
    <t>WOS:000945109300001</t>
  </si>
  <si>
    <t>Das, U; Das, A; Das, AK</t>
  </si>
  <si>
    <t>Das, Udita; Das, Ankita; Das, Asim K. K.</t>
  </si>
  <si>
    <t>Confinement of ozone hole mainly in the Antarctic stratosphere to protect the living kingdom on the earth: chemistry behind this Nature's unique gift</t>
  </si>
  <si>
    <t>CHEMISTRY TEACHER INTERNATIONAL</t>
  </si>
  <si>
    <t>Antarctic ozone hole; Chapman ozone cycle; chlorofluorocarbons (CFCs); polar stratospheric cloud (PSC); stratosphere; UV radiation</t>
  </si>
  <si>
    <t>CHLORINE; DEPLETION; AEROSOLS; CLOUDS</t>
  </si>
  <si>
    <t>Man-made activities can release the ozone depleting substances (ODSs) like chlorofluorocarbons (CFCs) and other halocarbons stable in atmosphere and ultimately, they migrate to the stratosphere where they can destroy the ozone layer through the XOx catalytic cycle (X = Cl, Br). The active forms in this catalytic cycle are X and XO that can be arrested in the inactive forms like XONO2 (halogen nitrate, an additive compound of two odd electron molecules XO and NO2) and HX (produced in the reaction of X with CH4) in the stratosphere to prevent the ozone depletion cycle. The catalytically active forms from these inactive species can be regenerated in the reactions on heterogeneous solid surface like polar stratospheric cloud (specially Type II PSC formed at about -85 ?). Formation of such PSC in the stratosphere is only possible in the supercooled stable Antarctic vortex produced in the prolonged winter. In fact, formation of such PSC in the stratosphere is not possible in the other regions of the earth and not even in the Arctic pole where no stable Arctic vortex is generally formed in the winter. Thus nature confines the ozone depletion reactions mainly in the stratosphere of Antarctica pole which is practically inhabited.</t>
  </si>
  <si>
    <t>[Das, Udita; Das, Asim K. K.] Visva Bharati, Dept Chem, Santini Ketan 731235, India; [Das, Ankita] Indian Assoc Cultivat Sci, Sch Chem Sci, 32, Kolkata, India</t>
  </si>
  <si>
    <t>Visva Bharati University; Department of Science &amp; Technology (India); Indian Association for the Cultivation of Science (IACS) - Jadavpur</t>
  </si>
  <si>
    <t>Das, AK (corresponding author), Visva Bharati, Dept Chem, Santini Ketan 731235, India.</t>
  </si>
  <si>
    <t>udita0505@gmail.com; csad2329@iacs.res.in; asimkumar.das@visva-bharati.ac.in</t>
  </si>
  <si>
    <t>Das, Ankita/0000-0003-0867-5101</t>
  </si>
  <si>
    <t>WALTER DE GRUYTER GMBH</t>
  </si>
  <si>
    <t>GENTHINER STRASSE 13, D-10785 BERLIN, GERMANY</t>
  </si>
  <si>
    <t>2569-3263</t>
  </si>
  <si>
    <t>CHEM TEACH INT</t>
  </si>
  <si>
    <t>Chem. Teach. Int.</t>
  </si>
  <si>
    <t>10.1515/cti-2023-0006</t>
  </si>
  <si>
    <t>Education, Scientific Disciplines</t>
  </si>
  <si>
    <t>Education &amp; Educational Research</t>
  </si>
  <si>
    <t>E3OV5</t>
  </si>
  <si>
    <t>WOS:000944127400001</t>
  </si>
  <si>
    <t>Zeising, O; Gerber, TA; Eisen, O; Ershadi, MR; Stoll, N; Weikusat, I; Humbert, A</t>
  </si>
  <si>
    <t>Zeising, Ole; Gerber, Tamara Annina; Eisen, Olaf; Ershadi, M. Reza; Stoll, Nicolas; Weikusat, Ilka; Humbert, Angelika</t>
  </si>
  <si>
    <t>Improved estimation of the bulk ice crystal fabric asymmetry from polarimetric phase co-registration</t>
  </si>
  <si>
    <t>POLAR ICE; SENSITIVE RADAR; BASAL MELT; SHELF; ANISOTROPY; GREENLAND; SHEETS; FLOW; MICROSTRUCTURE; ANTARCTICA</t>
  </si>
  <si>
    <t>The bulk crystal orientation in ice influences the flow of glaciers and ice streams. The ice c-axes fabric is most reliably derived from ice cores. Because these are sparse, the spatial and vertical distribution of the fabric in the Greenland and Antarctic ice sheets is largely unknown. In recent years, methods have been developed to determine fabric characteristics from polarimetric radar measurements. The aim of this paper is to present an improved method to infer the horizontal fabric asymmetry by precisely determining the travel-time difference using co-polarised phase-sensitive radar data. We applied this method to six radar measurements from the East Greenland Ice-core Project (EastGRIP) drill site on Greenland's largest ice stream to give a proof of concept by comparing the results with the horizontal asymmetry of the bulk crystal anisotropy derived from the ice core. This comparison shows an excellent agreement, which is a large improvement compared to previously used methods. Our approach is particularly useful for determining the vertical profile of the fabric asymmetry in higher resolution and over larger depths than was achievable with previous methods, especially in regions with strong asymmetry.</t>
  </si>
  <si>
    <t>[Zeising, Ole; Eisen, Olaf; Stoll, Nicolas; Weikusat, Ilka; Humbert, Angelika] Alfred Wegener Inst Helmholtz, Zent Polar &amp; Meeresforschung, Bremerhaven, Germany; [Gerber, Tamara Annina] Univ Copenhagen, Niels Bohr Inst, Sect Phys Ice Climate &amp; Earth, Copenhagen, Denmark; [Eisen, Olaf; Stoll, Nicolas; Humbert, Angelika] Univ Bremen, Dept Geosci, Bremen, Germany; [Ershadi, M. Reza; Weikusat, Ilka] Tubingen Univ, Dept Geosci, Tubingen, Germany</t>
  </si>
  <si>
    <t>Helmholtz Association; Alfred Wegener Institute, Helmholtz Centre for Polar &amp; Marine Research; University of Copenhagen; Niels Bohr Institute; University of Bremen; Eberhard Karls University of Tubingen</t>
  </si>
  <si>
    <t>Zeising, O (corresponding author), Alfred Wegener Inst Helmholtz, Zent Polar &amp; Meeresforschung, Bremerhaven, Germany.</t>
  </si>
  <si>
    <t>ole.zeising@awi.de</t>
  </si>
  <si>
    <t>Gerber, Tamara Annina/HTN-1978-2023; Stoll, Nicolas Angelo/AAS-1710-2021; Weikusat, Ilka/E-8826-2015</t>
  </si>
  <si>
    <t>Gerber, Tamara Annina/0000-0002-0368-7229; Stoll, Nicolas Angelo/0000-0002-3219-8395; Zeising, Ole/0000-0002-1284-8098; Weikusat, Ilka/0000-0002-3023-6036; Eisen, Olaf/0000-0002-6380-962X; Ershadi, Mohammadreza/0000-0002-8929-1638; Humbert, Angelika/0000-0002-0244-8760</t>
  </si>
  <si>
    <t>Helmholtz Young Investigator Group The effect of deformation mechanisms on ice sheet dynamics [VH-NG-802]</t>
  </si>
  <si>
    <t>Helmholtz Young Investigator Group The effect of deformation mechanisms on ice sheet dynamics</t>
  </si>
  <si>
    <t>Nicolas Stoll gratefully acknowledges funding from the Helmholtz Young Investigator Group The effect of deformation mechanisms on ice sheet dynamics (VH-NG-802).</t>
  </si>
  <si>
    <t>MAR 6</t>
  </si>
  <si>
    <t>10.5194/tc-17-1097-2023</t>
  </si>
  <si>
    <t>9P0XH</t>
  </si>
  <si>
    <t>WOS:000944014600001</t>
  </si>
  <si>
    <t>Wang, XQ; Zhang, ZR; Dinniman, MS; Uotila, P; Li, XC; Zhou, M</t>
  </si>
  <si>
    <t>Wang, Xiaoqiao; Zhang, Zhaoru; Dinniman, Michael S. S.; Uotila, Petteri; Li, Xichen; Zhou, Meng</t>
  </si>
  <si>
    <t>The response of sea ice and high-salinity shelf water in the Ross Ice Shelf Polynya to cyclonic atmosphere circulations</t>
  </si>
  <si>
    <t>COASTAL POLYNYAS; SOUTHERN-OCEAN; MESOSCALE CYCLOGENESIS; KATABATIC WINDS; MODEL; VARIABILITY; REGION; ANTARCTICA; IMPACTS; SURFACE</t>
  </si>
  <si>
    <t>Coastal polynyas in the Ross Sea are important source regions of high-salinity shelf water (HSSW) - the precursor of Antarctic Bottom Water thatsupplies the lower limb of the thermohaline circulation. Here, the responseof sea ice production and HSSW formation to synoptic-scale and mesoscalecyclones was investigated for the Ross Ice Shelf Polynya (RISP) using acoupled ocean-sea ice-ice shelf model targeted on the Ross Sea. Whensynoptic-scale cyclones prevailed over RISP, sea ice production (SIP)increased rapidly by 20 %-30 % over the entire RISP. During the passage of mesoscale cyclones, SIP increased by about 2 times over the western RISP but decreased over the eastern RISP, resulting respectively from enhancement inthe offshore and onshore winds. HSSW formation mainly occurred in thewestern RISP and was enhanced responding to the SIP increase under bothtypes of cyclones. Promoted HSSW formation could persist for 12-60 h after the decay of the cyclones. The HSSW exports across the DrygalskiTrough and the Glomar Challenger Trough were positively correlated with themeridional wind. Such correlations are mainly controlled by variations ingeostrophic ocean currents that result from sea surface elevation change and density differences.</t>
  </si>
  <si>
    <t>[Wang, Xiaoqiao; Zhang, Zhaoru; Zhou, Meng] Shanghai Jiao Tong Univ, Sch Oceanog, Shanghai 200030, Peoples R China; [Zhang, Zhaoru; Zhou, Meng] Minist Nat Resources, Polar Res Inst China, Key Lab Polar Sci, Shanghai 200136, Peoples R China; [Dinniman, Michael S. S.] Old Dominion Univ, Ctr Coastal Phys Oceanog, Norfolk, VA 23529 USA; [Uotila, Petteri] Univ Helsinki, Inst Atmospher &amp; Earth Syst Res Phys, Fac Sci, Helsinki 00014, Finland; [Li, Xichen] Chinese Acad Sci, Inst Atmospher Phys, Int Ctr Climate &amp; Environm Sci, Beijing 100029, Peoples R China</t>
  </si>
  <si>
    <t>Shanghai Jiao Tong University; Ministry of Natural Resources of the People's Republic of China; Polar Research Institute of China; Old Dominion University; University of Helsinki; Chinese Academy of Sciences; Institute of Atmospheric Physics, CAS</t>
  </si>
  <si>
    <t>Zhang, ZR (corresponding author), Shanghai Jiao Tong Univ, Sch Oceanog, Shanghai 200030, Peoples R China.;Zhang, ZR (corresponding author), Minist Nat Resources, Polar Res Inst China, Key Lab Polar Sci, Shanghai 200136, Peoples R China.</t>
  </si>
  <si>
    <t>zrzhang@sjtu.edu.cn</t>
  </si>
  <si>
    <t>Li, Xichen/ISB-4663-2023; LIU, JIALIN/JXN-8034-2024; Uotila, Petteri/A-1703-2012</t>
  </si>
  <si>
    <t>Dinniman, Michael/0000-0001-7519-9278; Wang, Xiaoqiao/0009-0007-5277-3063; Uotila, Petteri/0000-0002-2939-7561</t>
  </si>
  <si>
    <t>National Key Research and Development Program of China [2022YFC2807601, IRASCC 1-02-01B]; National Natural Science Foundation of China [2019YFC1509102, 41941008]; Science and Technology Commission of Fengxian District, Shanghai Municipality [41876221, 20230711100]; Chinese Arctic and Antarctic Administration [21QA1404300, 583]; Shanghai Pilot Program for Basic Research of Shanghai Jiao Tong University [TQ1400201]; Academy of Finland [322432]; European Commission, Horizon 2020 Framework Programme [101003590]; Academy of Finland (AKA) [322432] Funding Source: Academy of Finland (AKA)</t>
  </si>
  <si>
    <t>National Key Research and Development Program of China; National Natural Science Foundation of China(National Natural Science Foundation of China (NSFC)); Science and Technology Commission of Fengxian District, Shanghai Municipality; Chinese Arctic and Antarctic Administration; Shanghai Pilot Program for Basic Research of Shanghai Jiao Tong University; Academy of Finland(Research Council of Finland); European Commission, Horizon 2020 Framework Programme(Horizon 2020); Academy of Finland (AKA)</t>
  </si>
  <si>
    <t>This research has been supported by the National Key Research and Development Program of China (grant no. 2022YFC2807601); the National Natural Science Foundation of China (grant nos. 41941008 and 41876221); the Science and Technology Commission of Fengxian District, Shanghai Municipality (grant nos. 20230711100 and 21QA1404300); the Chinese Arctic and Antarctic Administration (grant 583 no. IRASCC 1-02-01B); the National Key Research and Development Program of China (grant no. 2019YFC1509102); the Shanghai Pilot Program for Basic Research of Shanghai Jiao Tong University (grant no. TQ1400201); the Academy of Finland (grant no. 322432); and the European Commission, Horizon 2020 Framework Programme (Po-larRES (grant no. 101003590)).</t>
  </si>
  <si>
    <t>10.5194/tc-17-1107-2023</t>
  </si>
  <si>
    <t>9O7XJ</t>
  </si>
  <si>
    <t>WOS:000943811600001</t>
  </si>
  <si>
    <t>Boothroyd, A; Adams, V; Alexander, K; Hill, N</t>
  </si>
  <si>
    <t>Boothroyd, Anne; Adams, Vanessa; Alexander, Karen; Hill, Nicole</t>
  </si>
  <si>
    <t>Benefits and risks of incremental protected area planning in the Southern Ocean</t>
  </si>
  <si>
    <t>NATURE SUSTAINABILITY</t>
  </si>
  <si>
    <t>HIGH SEAS; CONSERVATION; MANAGEMENT; CONNECTIVITY; COASTAL</t>
  </si>
  <si>
    <t>Establishing representative Marine Protected Area (MPA) networks in Areas Beyond National Jurisdiction (ABNJ) is a priority for the conservation of marine biodiversity and the sustainability of socio-ecological systems under increasing pressure from global environmental change. Here we use a systematic conservation planning framework and four planning scenarios to test the suitability of a bioregional planning approach to deliver a representative network of MPAs for the Southern Ocean. We find that if existing and proposed MPA designs are not adapted, some conservation features will remain underrepresented and very large MPAs in yet to be planned-for domains will be required. Our analysis demonstrates that while existing and proposed Southern Ocean MPAs protect significant conservation features, achieving representative protection under the bioregional approach is contingent on political will to adapt existing protected areas at ongoing stages of the incremental planning process. These findings have implications for conservation planning beyond the Southern Oceans and particular relevance for achieving representative marine protection in ABNJ. Sustaining marine biodiversity and socio-ecological systems requires strategic planning. This study finds that a bioregional planning approach can protect representative environments in the Southern Ocean given the political will to iteratively adapt existing and proposed Marine Protected Areas.</t>
  </si>
  <si>
    <t>[Boothroyd, Anne; Adams, Vanessa] Univ Tasmania, Sch Geog Planning &amp; Spatial Sci, Hobart, Australia; [Boothroyd, Anne; Adams, Vanessa; Alexander, Karen] Univ Tasmania, Ctr Marine Socioecol, Hobart, Australia; [Alexander, Karen] Heriot Watt Univ, Int Ctr Isl Technol, Edinburgh, Scotland; [Alexander, Karen; Hill, Nicole] Univ Tasmania, Inst Marine &amp; Antarctic Studies, Hobart, Australia</t>
  </si>
  <si>
    <t>Boothroyd, A (corresponding author), Univ Tasmania, Sch Geog Planning &amp; Spatial Sci, Hobart, Australia.;Boothroyd, A (corresponding author), Univ Tasmania, Ctr Marine Socioecol, Hobart, Australia.</t>
  </si>
  <si>
    <t>Anne.Boothroyd@utas.edu.au</t>
  </si>
  <si>
    <t>Adams, Vanessa M./A-3834-2012; Alexander, Karen/O-7042-2017; Hill, Nicole/J-7856-2014</t>
  </si>
  <si>
    <t>Adams, Vanessa M./0000-0002-3509-7901; Alexander, Karen/0000-0001-8801-413X; Boothroyd, Anne/0000-0002-1649-2383; Hill, Nicole/0000-0001-9329-6717</t>
  </si>
  <si>
    <t>2398-9629</t>
  </si>
  <si>
    <t>NAT SUSTAIN</t>
  </si>
  <si>
    <t>Nat. Sustain.</t>
  </si>
  <si>
    <t>10.1038/s41893-023-01077-w</t>
  </si>
  <si>
    <t>K7UX8</t>
  </si>
  <si>
    <t>WOS:000943957300002</t>
  </si>
  <si>
    <t>Sun, YH; Li, B; Fan, XP; Li, YS; Li, GP; Yu, HB; Li, HZ; Wang, DL; Zhang, N; Gong, D; Wang, RS; Li, YZ; Talalay, PG</t>
  </si>
  <si>
    <t>Sun, Youhong; Li, Bing; Fan, Xiaopeng; Li, Yuansheng; Li, Guopin; Yu, Haibin; Li, Hongzhi; Wang, Dongliang; Zhang, Nan; Gong, Da; Wang, Rusheng; Li, Yazhou; Talalay, Pavel G.</t>
  </si>
  <si>
    <t>Brief communication: New sonde to unravel the mystery of polar subglaciallakes</t>
  </si>
  <si>
    <t>LAKE; EXPLORATION; DRILL</t>
  </si>
  <si>
    <t>The newly developed RECoverable Autonomous Sonde (RECAS) allows sampling and analysis of subglacial water while the subglacial lake remains isolated from the surface. The sonde was successfully tested in East Antarctica during the 2021-2022 field season: it reached the ice-sheet base at a depth of 200.3 m, sampled basal meltwater and measured its pressure, temperature, pH and conductivity and returned to the ice surface. The average downward penetration rate was 1.85 m h(-1), and the average upward penetration rate was 2.94 m h(-1). The successful test of a self-melting, recoverable probe in Antarctica marks further progress towards the clean exploration of subglacial water bodies.</t>
  </si>
  <si>
    <t>[Sun, Youhong; Fan, Xiaopeng; Zhang, Nan; Gong, Da; Wang, Rusheng; Talalay, Pavel G.] Jilin Univ, Polar Res Ctr, Changchun, Peoples R China; [Sun, Youhong; Li, Bing] China Univ Geosci, Sch Engn &amp; Technol, Beijing, Peoples R China; [Li, Yuansheng] Polar Res Inst China, Shanghai, Peoples R China; [Li, Guopin] Chinese Acad Sci, Nanjing Inst Astron Opt &amp; Technol, Natl Astron Observ, Nanjing, Peoples R China; [Yu, Haibin] Hangzhou Dianzi Univ, Coll Elect &amp; Informat, Hangzhou, Peoples R China; [Li, Hongzhi] Natl Ocean Technol Ctr, Tianjin, Peoples R China; [Wang, Dongliang] Aerosp Syst Engn Shanghai, Shanghai, Peoples R China</t>
  </si>
  <si>
    <t>Jilin University; China University of Geosciences; Polar Research Institute of China; Chinese Academy of Sciences; Nanjing Institute of Astronomical Optics &amp; Technology, NAOC, CAS; National Astronomical Observatory, CAS; Hangzhou Dianzi University; National Ocean Technology Center (NOTC)</t>
  </si>
  <si>
    <t>Fan, XP; Talalay, PG (corresponding author), Jilin Univ, Polar Res Ctr, Changchun, Peoples R China.</t>
  </si>
  <si>
    <t>fxp@jlu.edu.cn; ptalalay@yahoo.com</t>
  </si>
  <si>
    <t>Talalay, Pavel/AAH-2908-2020; yang, zhou/KBB-6972-2024</t>
  </si>
  <si>
    <t>Talalay, Pavel/0000-0002-8230-4600;</t>
  </si>
  <si>
    <t>Polar Research Center, Jilin University; Polar Research Institute of China; Nanjing Institute of Astronomical Optics and Technology; College of Electronics and Information, Hangzhou Dianzi University; National Ocean Technology Center, Tianjin; Aerospace System Engineering Shanghai [805]</t>
  </si>
  <si>
    <t>Polar Research Center, Jilin University; Polar Research Institute of China; Nanjing Institute of Astronomical Optics and Technology; College of Electronics and Information, Hangzhou Dianzi University; National Ocean Technology Center, Tianjin; Aerospace System Engineering Shanghai</t>
  </si>
  <si>
    <t>We would like to thank specialists involved in the project from the Polar Research Center, Jilin University, Changchun; Polar Research Institute of China, Shanghai; Nanjing Institute of Astronomical Optics and Technology, National Astronomical Observatories, CAS, Nanjing; College of Electronics and Information, Hangzhou Dianzi University; Aerospace System Engineering Shanghai (805), Shanghai; and the National Ocean Technology Center, Tianjin. The project would not be accomplished without their continuous support and valuable help. We thank the Chinese Antarctic Research Expedition (CHINARE) for logistical and financial support of field operations in Antarctica. We are also grateful to the scientific editor, Elizabeth Bagshaw, and reviewers, Kris Zacny, Bernd Dachwald, and Paul Anker, for their insightful comments and suggestions.</t>
  </si>
  <si>
    <t>10.5194/tc-17-1089-2023</t>
  </si>
  <si>
    <t>9P0JU</t>
  </si>
  <si>
    <t>WOS:000943979300001</t>
  </si>
  <si>
    <t>Yuan, ZX; Qin, J; Du, LM; Huang, SJ; Wang, YJ; Mbululo, Y</t>
  </si>
  <si>
    <t>Yuan, Zhengxuan; Qin, Jun; Du, Liangmin; Huang, Sijing; Wang, Yajuan; Mbululo, Yassin</t>
  </si>
  <si>
    <t>The role of Antarctic sea ice in modulating the relationship between September-October Antarctic Oscillation and following January-February wet and cold weather in southern China</t>
  </si>
  <si>
    <t>Antarctic Oscillation; Antarctic sea-ice dipole pattern; Inter-Tropical Convergence Zone; Quasi-Biennial Oscillation</t>
  </si>
  <si>
    <t>QUASI-BIENNIAL OSCILLATION; ASIAN WINTER MONSOON; INTERANNUAL VARIABILITY; NORTHERN-HEMISPHERE; SUMMER MONSOON; ANNULAR MODE; PRECIPITATION; TEMPERATURE; IMPACTS; SST</t>
  </si>
  <si>
    <t>A previous study found that the September-October (SO) Antarctic Oscillation (AAO) shows an out-of-phase variation of late January-February (JF) wet and cold weather (wet-cold) in southern China. This study explored the underlying mechanism and found that Antarctic sea ice may be responsible partially for such a relationship. The SO AAO stimulates the Antarctic sea-ice dipole pattern (ADP) anomalies, which induce the anomalous convective precipitation of the Inter-Tropical Convergence Zone (ITCZ) in Latin America-Atlantic (LAA) and Western Pacific (WP) in following JF. The anomalous convections over the ITCZ regions trigger planetary wave dispersions from the tropical LAA and WP to adjust the East Asian atmospheric circulation. Through the bridge of anomalous ITCZ, an increased JF ADP decreases the invasion of both northerly cold air flow and southwesterly moist airflow into southern China, resulting in the dissipation of wet-cold and vice versa. Furthermore, the variation of JF ADP is well correlated with the in-phased polar vortex, connecting to the stratospheric Quasi-Biennial Oscillation (QBO). The variation of JF QBO induces the anomalous convection over the tropical North Atlantic and ITCZ in LAA and WP, in turn modulating the contemporary invasion of cold and wet airflow into southern China by Rossby wave dispersion, subsequently wet-cold in southern China. To summarize, JF ADP affects the simultaneous wet-cold in southern China through the anomalous ITCZ. The turning phase of QBO modulates such correlation by inducing the anomalous ITCZ correlated with ADP and the anomalous convection due to QBO itself over tropical North Atlantic.</t>
  </si>
  <si>
    <t>[Yuan, Zhengxuan; Qin, Jun; Huang, Sijing; Wang, Yajuan] China Univ Geosci, Sch Environm Studies, Dept Atmospher Sci, Wuhan, Peoples R China; [Yuan, Zhengxuan; Du, Liangmin] Hubei Meteorol Adm, Wuhan Reg Climate Ctr, Wuhan, Peoples R China; [Mbululo, Yassin] Sokoine Univ Agr, Coll Nat &amp; Appl Sci, Dept Geog &amp; Environm Studies, Morogoro, Tanzania; [Qin, Jun] China Univ Geosci, Sch Environm Studies, Dept Atmospher Sci, Wuhan 430074, Hubei, Peoples R China</t>
  </si>
  <si>
    <t>China University of Geosciences; Sokoine University of Agriculture; China University of Geosciences</t>
  </si>
  <si>
    <t>Qin, J (corresponding author), China Univ Geosci, Sch Environm Studies, Dept Atmospher Sci, Wuhan 430074, Hubei, Peoples R China.</t>
  </si>
  <si>
    <t>qinjun@cug.edu.cn</t>
  </si>
  <si>
    <t>huang, sijing/IYS-1040-2023</t>
  </si>
  <si>
    <t>National Key Research and Development Program [2017YFC1502306]; Project of China Three Gorges Power Co., Ltd [2421020001]; Strategic Priority Research Program of the Chinese Academy of Sciences [XDA19070402]</t>
  </si>
  <si>
    <t>National Key Research and Development Program; Project of China Three Gorges Power Co., Ltd; Strategic Priority Research Program of the Chinese Academy of Sciences(Chinese Academy of Sciences)</t>
  </si>
  <si>
    <t>The National Key Research and Development Program, Grant/Award Number: 2017YFC1502306; The Project of China Three Gorges Power Co., Ltd.,Grant/Award Number: 2421020001; The Strategic Priority Research Program of the Chinese Academy of Sciences, Grant/Award Number: XDA19070402</t>
  </si>
  <si>
    <t>JUN 30</t>
  </si>
  <si>
    <t>10.1002/joc.8048</t>
  </si>
  <si>
    <t>I9LI7</t>
  </si>
  <si>
    <t>WOS:000943598100001</t>
  </si>
  <si>
    <t>van der Wurff, ISM; von Schacky, C; Bergeland, T; Zeegers, MP; Kirschner, PA; de Groot, RHM</t>
  </si>
  <si>
    <t>van der Wurff, Inge S. M.; von Schacky, Clemens; Bergeland, Trygve; Zeegers, Maurice P.; Kirschner, Paul A.; de Groot, Renate H. M.</t>
  </si>
  <si>
    <t>Krill oil supplementation's effect on school grades in typically developing adolescents</t>
  </si>
  <si>
    <t>PROSTAGLANDINS LEUKOTRIENES AND ESSENTIAL FATTY ACIDS</t>
  </si>
  <si>
    <t>Adolescents; School performance; School grades; Omega-3 fatty acids; Omega-3 index; Krill oil</t>
  </si>
  <si>
    <t>COGNITIVE PERFORMANCE; FISH CONSUMPTION; CHILDREN; OMEGA-3; ASSOCIATION; TRIALS</t>
  </si>
  <si>
    <t>Long-chain polyunsaturated fatty acids (LCPUFA) are important for brain development and functioning and with that, possibly school performance. Several cross-sectional studies have shown significant positive associations between fish consumption, an important source of LCPUFA and school grades in adolescents. The effect of LCPUFA supplementation on school grades in adolescents has not been investigated yet. The goal of the current study was to investigate (I) the associations between the Omega-3 Index (O3I) at baseline and after 12 months respectively and school grades and (II) the effect of one year krill oil supplementation (source of LCPUFA) on school grades in adolescents with a low O3I at baseline. A double-blind randomised placebo-controlled trial with repeated measurements was executed. Participants received either 400 mg eicosapentaenoic acid (EPA) and docosahexaenoic acid (DHA) per day for the first three months in Cohort 1 and the nine months thereafter 800 mg EPA + DHA per day, Cohort 2 started immediately with 800 mg EPA + DHA per day,or a placebo. The O3I was monitored with a finger prick at baseline, three, six and twelve months. Subject grades for English, Dutch and math were collected, a standardised mathematics test was executed at baseline and at 12 months. Data was analysed with (I) explorative linear regressions to investigate associations at baseline and follow-up and (II) mixed model analyses separately for each of the subject grades and the standardised mathematics test to investigate the effect of supplementation after 12 months. The krill oil group had a small significant increase in the mean O3I at all time points. However, very few participants achieved the intended target O3I range of 8-11%. At baseline a significant association between baseline O3I and English grade was show, additionally a trend for an association with Dutch grade was shown. After 12 months no significant associations were found. Additionally, there was no significant effect of krill oil supplementation on subject grades or standardised mathematics test score. In this study, no significant effect of krill oil supplementation on subject grades or standardised mathematics test performance was found. However, as many participants dropped out and/or were non-adherent, results should be interpreted with caution.</t>
  </si>
  <si>
    <t>[van der Wurff, Inge S. M.; Kirschner, Paul A.] Open Univ Netherlands, Fac Psychol, Hlth Psychol, NL-6419 AT Heerlen, Netherlands; [de Groot, Renate H. M.] Open Univ Netherlands, Fac Educ Sci, Condit Lifelong Learning, NL-6419 AT Heerlen, Netherlands; [von Schacky, Clemens] Omegametrix, D-82152 Martinsried, Germany; [von Schacky, Clemens] Ludwig Maximilians Univ Munchen, Med Clin &amp; Poli Clin 1, Prevent Cardiol, D-80336 Munich, Germany; [Bergeland, Trygve] Aker BioMarine Antarctic, NO-1327 Lysaker, Norway; [Zeegers, Maurice P.] Maastricht Univ, Nutr &amp; Translat Res Metab Sch NUTRIM, NL-6200 MD Maastricht, Netherlands; [Zeegers, Maurice P.] Maastricht Univ, Care &amp; Publ Hlth Res Inst Sch CAPHRI, NL-6200 MD Maastricht, Netherlands; [Kirschner, Paul A.] Thomas More Univ Appl Sci, Expertise Ctr Effect Learning ExCEL, B-2000 Antwerp, Belgium</t>
  </si>
  <si>
    <t>Open University Netherlands; Open University Netherlands; University of Munich; Maastricht University; Maastricht University</t>
  </si>
  <si>
    <t>van der Wurff, ISM (corresponding author), Open Univ Netherlands, Fac Psychol, Hlth Psychol, NL-6419 AT Heerlen, Netherlands.</t>
  </si>
  <si>
    <t>inge.vanderwurff@ou.nl</t>
  </si>
  <si>
    <t>Kirschner, Paul/KBC-4463-2024</t>
  </si>
  <si>
    <t>Netherlands Organization for Scientific Research [057-13-002]; AkerBiomarine</t>
  </si>
  <si>
    <t>Netherlands Organization for Scientific Research(Netherlands Organization for Scientific Research (NWO)); AkerBiomarine</t>
  </si>
  <si>
    <t>This research was partly funded by The Netherlands Organization for Scientific Research grant number [057-13-002] and by AkerBiomarine.</t>
  </si>
  <si>
    <t>0952-3278</t>
  </si>
  <si>
    <t>1532-2823</t>
  </si>
  <si>
    <t>PROSTAG LEUKOTR ESS</t>
  </si>
  <si>
    <t>Prostaglandins Leukot. Essent. Fatty Acids</t>
  </si>
  <si>
    <t>10.1016/j.plefa.2023.102553</t>
  </si>
  <si>
    <t>Biochemistry &amp; Molecular Biology; Cell Biology; Endocrinology &amp; Metabolism</t>
  </si>
  <si>
    <t>H3WW9</t>
  </si>
  <si>
    <t>WOS:000995313900001</t>
  </si>
  <si>
    <t>Heneghan, RF; Everett, JD; Sykes, P; Batten, SD; Edwards, M; Takahashi, K; Suthers, IM; Blanchard, JL; Blanchard, SL; Richardson, AJ</t>
  </si>
  <si>
    <t>Heneghan, Ryan F.; Everett, Jason D.; Sykes, Patrick; Batten, Sonia D.; Edwards, Martin; Takahashi, Kunio; Suthers, Iain M.; Blanchard, Julia L.; Blanchard, Sonia L.; Richardson, Anthony J.</t>
  </si>
  <si>
    <t>A functional size-spectrum model of the global marine ecosystem that resolves zooplankton composition (vol 435, 109265, 2020)</t>
  </si>
  <si>
    <t>ECOLOGICAL MODELLING</t>
  </si>
  <si>
    <t>GROWTH; COMMUNITY; RATES; KRILL; SALPS</t>
  </si>
  <si>
    <t>[Heneghan, Ryan F.; Everett, Jason D.; Sykes, Patrick; Richardson, Anthony J.] Univ Queensland, Ctr Applicat Nat Resource Math, Sch Math &amp; Phys, Brisbane, Qld, Australia; [Heneghan, Ryan F.] Univ Autonoma Barcelona, Inst Ciencia &amp; Tecnol Ambientals, Barcelona, Spain; [Heneghan, Ryan F.] Queensland Univ Technol, Sch Math Sci, Brisbane, Australia; [Everett, Jason D.; Suthers, Iain M.] Univ New South Wales, Sch Biol Earth &amp; Environm Sci, Sydney, NSW, Australia; [Everett, Jason D.; Blanchard, Julia L.] Univ Tasmania, Inst Marine &amp; Antarctic Studies, Hobart, Tas, Australia; [Batten, Sonia D.] Marine Biol Assoc UK, CPR Survey, Nanaimo, BC, Canada; [Edwards, Martin] Marine Biol Assoc UK, Citadel Hill, Plymouth, England; [Takahashi, Kunio] Natl Inst Polar Res, Tokyo, Japan; [Richardson, Anthony J.] CSIRO Environm, Queensland Biosci Precinct, St Lucia, Qld, Australia</t>
  </si>
  <si>
    <t>University of Queensland; Autonomous University of Barcelona; Queensland University of Technology (QUT); University of New South Wales Sydney; University of Tasmania; Marine Biological Association United Kingdom; Research Organization of Information &amp; Systems (ROIS); National Institute of Polar Research (NIPR) - Japan</t>
  </si>
  <si>
    <t>Heneghan, RF (corresponding author), Univ Queensland, Ctr Applicat Nat Resource Math, Sch Math &amp; Phys, Brisbane, Qld, Australia.;Heneghan, RF (corresponding author), Univ Autonoma Barcelona, Inst Ciencia &amp; Tecnol Ambientals, Barcelona, Spain.;Heneghan, RF (corresponding author), Queensland Univ Technol, Sch Math Sci, Brisbane, Australia.</t>
  </si>
  <si>
    <t>Suthers, Iain M/C-4559-2008; Everett, Jason D/C-4557-2008; Blanchard, Julia L/E-4919-2010</t>
  </si>
  <si>
    <t>0304-3800</t>
  </si>
  <si>
    <t>1872-7026</t>
  </si>
  <si>
    <t>ECOL MODEL</t>
  </si>
  <si>
    <t>Ecol. Model.</t>
  </si>
  <si>
    <t>10.1016/j.ecolmodel.2023.110309</t>
  </si>
  <si>
    <t>A9UC0</t>
  </si>
  <si>
    <t>WOS:000958484900001</t>
  </si>
  <si>
    <t>Beck, KK; Fletcher, MS; Wolfe, BB; Saunders, KM</t>
  </si>
  <si>
    <t>Beck, Kristen K.; Fletcher, Michael-Shawn; Wolfe, Brent B.; Saunders, Krystyna M.</t>
  </si>
  <si>
    <t>Aquatic ecosystem response to climate, fire, and the demise of montane rainforest, Tasmania, Australia</t>
  </si>
  <si>
    <t>Aquatic ecosystems; Fire; Climate change; Holocene; Montane rainforest; Palaeoecology; Tasmania; Australia</t>
  </si>
  <si>
    <t>SOUTHERN ANNULAR MODE; CHLOROPHYLL-A CONCENTRATIONS; ORGANIC SOILS; WATER-QUALITY; HOLOCENE CHANGES; ARCTIC LAKES; EAST-AFRICA; LONG-TERM; VEGETATION; SEDIMENT</t>
  </si>
  <si>
    <t>The 2019/2020 southeast Australian fires ravaged the environment and threatened endemic vegetation groups, including the Tasmanian montane rainforest. This endemic biome, dominated by Athrotaxis species and Nothofagus gunnii, is declining due to increased aridity and fire frequency (years between fire events). Little is known about the impacts of fire and the montane rainforest decline on aquatic ecosystems in the region, yet aquatic ecosystems are strongly reliant on the terrestrial environment for nutrients and humic acids to support their ecosystem health. Here we evaluate the impacts of repeat fires and decline in montane rainforest species on the aquatic ecosystem of Lake Osborne, Tasmania, Australia, during the past 6500 years using a palaeoecological approach. Newly obtained data including organic carbon (delta C-13) and nitrogen (delta N-15) isotope composition, visible reflectance spectroscopy (R650-700 as a measure of chlorophyll a and derivatives), and diatom remains are compared with previously published charcoal, pollen, micro-X-Ray fluorescence, magnetic susceptibility, and organic carbon and nitrogen elemental data. Results suggest repeat fire occurrence from 6300 to 4200 years ago caused a decline in montane rainforest, increased erosion, and high aquatic productivity, pH, and conductivity (as indicated by diatoms Epithemia species, Fragilaria type species, Karayevia clevei, and Tabellaria flocculosa). Recovery of montane rainforest due to low fire activity from 4200 to 3000 years ago caused an anomalous assemblage of diatoms dominated by Aulacoseira species along with a less productive aquatic environment (inferred from low delta C-13 and delta N-15, R650-700, and percent macrophytes and algal remains), higher lake level and clearer waters at Lake Osborne. A fire event 2500 years ago caused the removal of montane rainforest and a shift to Eucalyptus dominance within the catchment, leading to an increase in aquatic productivity, and a shift toward benthic diatom taxa dominant in clearer waters-characteristic of eastern Tasmanian sites. The aquatic environment at Lake Osborne for the past 6500 years has responded to increased fire frequency, declines in the montane rainforest and climate change. Fire disturbance removes montane rainforest, burns the underlying soils resulting in erosion of terrigenous material and increases aquatic productivity with communities that favour higher conductivity and low light conditions. With projected increases in fire frequency and loss of rainforest, freshwater ecosystems are vulnerable to changes in physical characteristics, productivity, species assemblages, and ecological resilience.</t>
  </si>
  <si>
    <t>[Beck, Kristen K.] Univ Lincoln, Dept Geog, Catchments &amp; Coasts Res Grp, Brayford Pool Campus, Lincoln LN6 7TS, England; [Fletcher, Michael-Shawn] Univ Melbourne, Sch Geog, 221 Bouverie St, Parkville, Vic 3010, Australia; [Wolfe, Brent B.] Wilfrid Laurier Univ, Dept Geog &amp; Environm Studies, 75 Univ Ave West, Waterloo, ON N2L 3C5, Canada; [Saunders, Krystyna M.] Australian Nucl Sci &amp; Technol Org, New Illawarra Rd, Lucas Heights, NSW 2234, Australia; [Saunders, Krystyna M.] Univ Tasmania, Inst Marine &amp; Antarctic Studies, 20 Castray Esplanade, Battery Point, Tas 7004, Australia</t>
  </si>
  <si>
    <t>University of Lincoln; University of Melbourne; Wilfrid Laurier University; Australian Nuclear Science &amp; Technology Organisation; University of Tasmania</t>
  </si>
  <si>
    <t>Beck, KK (corresponding author), Univ Lincoln, Dept Geog, Catchments &amp; Coasts Res Grp, Brayford Pool Campus, Lincoln LN6 7TS, England.</t>
  </si>
  <si>
    <t>kbeck@lincoln.ac.uk</t>
  </si>
  <si>
    <t>Saunders, Krystyna/G-1368-2019</t>
  </si>
  <si>
    <t>Saunders, Krystyna/0000-0002-6800-2630; Beck, Kristen/0000-0002-8257-9639</t>
  </si>
  <si>
    <t>Australian Research Council [DI110100019, DP110101950]; Fondecyt [3110180]; US National Science Foundation [OISE 0966472]</t>
  </si>
  <si>
    <t>Australian Research Council(Australian Research Council); Fondecyt(Comision Nacional de Investigacion Cientifica y Tecnologica (CONICYT)CONICYT FONDECYT); US National Science Foundation(National Science Foundation (NSF))</t>
  </si>
  <si>
    <t>Thank you to the anonymous reviewers for their helpful feedback and suggestions. We would like to thank the Palawa Traditional Custodians of the land and pay respect to their Elders past and present. We extend our thanks to the Aboriginal and Torres Strait Islander people and the Tasmania National Parks and Wildlife Service. This work was funded by the Australian Research Council (ARC DIRD Project DI110100019 and ARC DP110101950), Fondecyt (3110180), and US National Science Foundation (OISE 0966472). Thank you to Scott Nichols for his help in the field and Rita Attwood for performing the charcoal analysis.</t>
  </si>
  <si>
    <t>10.1016/j.gloplacha.2023.104077</t>
  </si>
  <si>
    <t>A5WQ2</t>
  </si>
  <si>
    <t>WOS:000955827300001</t>
  </si>
  <si>
    <t>Stojanovic, D; Hogg, CJ; Alves, F; Baker, GB; Biggs, JR; Bussolini, L; Carey, MJ; Crates, R; Magrath, MJL; Pritchard, R; Troy, S; Young, CM; Heinsohn, R</t>
  </si>
  <si>
    <t>Stojanovic, Dejan; Hogg, Carolyn J. J.; Alves, Fernanda; Baker, G. Barry; Biggs, James R. R.; Bussolini, Laura; Carey, Mark J. J.; Crates, Ross; Magrath, Michael J. L.; Pritchard, Rachel; Troy, Shannon; Young, Catherine M. M.; Heinsohn, Robert</t>
  </si>
  <si>
    <t>Conservation management in the context of unidentified and unmitigated threatening processes</t>
  </si>
  <si>
    <t>BIODIVERSITY AND CONSERVATION</t>
  </si>
  <si>
    <t>Orange-bellied parrot Neophema chrysogaster; Population viability analysis; Conservation; Threatened species; Extinction risk; VORTEX</t>
  </si>
  <si>
    <t>ORANGE-BELLIED PARROTS; PSITTACINE BEAK; POPULATION; FAILURE; AID</t>
  </si>
  <si>
    <t>The decision to intervene in endangered species management is often complicated. Migratory species exemplify this difficulty because they experience diverse threats at different times and places that can act cumulatively and synergistically on their populations. We use population viability analysis (PVA) to compare potential conservation interventions on the critically endangered, migratory Orange-bellied Parrot Neophema chrysogaster. This species suffers high juvenile mortality, but it is not clear why this is so. Given uncertainty about the best recovery strategy, we compare PVA scenarios that simulate various ways of utilizing captive-bred parrots to support the wild population in the context of unresolved threatening processes. Increasing the number of juveniles entering the population each year had the greatest benefit for population growth rate and size. Directly lowering juvenile mortality rates is difficult given uncertainty about the drivers of mortality in the wild. In lieu of this, releasing 100 juveniles from captivity to the wild population each autumn (either as a stand-alone action, or in combination with other interventions) was the most feasible and straightforward intervention of the options we tested. However, our PVAs also show that unless substantial and sustainable reductions can be made to juvenile mortality rates, Orange-bellied Parrots will remain dependent on intensive conservation management. This study highlights the utility of PVAs for answering practical questions about how to implement species conservation. PVAs provide a way to incorporate the best available information in a replicable modelling framework, and to identify impacts of parameter uncertainty on demographic trends.</t>
  </si>
  <si>
    <t>[Stojanovic, Dejan; Alves, Fernanda; Bussolini, Laura; Crates, Ross; Young, Catherine M. M.; Heinsohn, Robert] Australian Natl Univ, Fenner Sch Environm &amp; Soc, Canberra, Australia; [Hogg, Carolyn J. J.; Biggs, James R. R.] Univ Sydney, Sch Life &amp; Environm Sci, Sydney, Australia; [Baker, G. Barry] Univ Tasmania, Inst Marine &amp; Antarctic Studies, Hobart, Australia; [Biggs, James R. R.] Zoo &amp; Aquarium Assoc, Mosman, Australasia, Australia; [Carey, Mark J. J.] Australian Govt, Dept Climate Change Energy Environm &amp; Water, Canberra, Australia; [Magrath, Michael J. L.] Zoos Victoria, Wildlife Conservat &amp; Sci, Parkville, Australia; [Magrath, Michael J. L.] Univ Melbourne, Sch Biosci, Melbourne, Vic, Australia; [Pritchard, Rachel] Victorian Govt, Dept Energy Environm &amp; Climate Act, Melbourne, Australia; [Troy, Shannon] Tasmanian Govt, Nat Resources &amp; Environm, Hobart, Australia</t>
  </si>
  <si>
    <t>Australian National University; University of Sydney; University of Tasmania; Melbourne Genomics Health Alliance; University of Melbourne</t>
  </si>
  <si>
    <t>Stojanovic, D (corresponding author), Australian Natl Univ, Fenner Sch Environm &amp; Soc, Canberra, Australia.</t>
  </si>
  <si>
    <t>dejan.stojanovic@anu.edu.au</t>
  </si>
  <si>
    <t>Stojanovic, Dejan/AFQ-4247-2022</t>
  </si>
  <si>
    <t>Stojanovic, Dejan/0000-0002-1176-3244; Bussolini, Laura/0000-0002-7367-1468; Hogg, Carolyn/0000-0002-6328-398X</t>
  </si>
  <si>
    <t>0960-3115</t>
  </si>
  <si>
    <t>1572-9710</t>
  </si>
  <si>
    <t>BIODIVERS CONSERV</t>
  </si>
  <si>
    <t>Biodivers. Conserv.</t>
  </si>
  <si>
    <t>10.1007/s10531-023-02568-0</t>
  </si>
  <si>
    <t>D1KO7</t>
  </si>
  <si>
    <t>WOS:000943647300001</t>
  </si>
  <si>
    <t>Rivera-Colón, AG; Rayamajhi, N; Minhas, BF; Madrigal, G; Bilyk, KT; Yoon, V; Hüne, M; Gregory, S; Cheng, CHC; Catchen, JM</t>
  </si>
  <si>
    <t>Rivera-Colon, Angel G.; Rayamajhi, Niraj; Minhas, Bushra Fazal; Madrigal, Giovanni; Bilyk, Kevin T.; Yoon, Veronica; Hune, Mathias; Gregory, Susan; Cheng, C. H. Christina; Catchen, Julian M.</t>
  </si>
  <si>
    <t>Genomics of Secondarily Temperate Adaptation in the Only Non-Antarctic Icefish</t>
  </si>
  <si>
    <t>icefish; genome assembly; RADseq; temperate adaptation; chromosomal inversions; population genomics</t>
  </si>
  <si>
    <t>RETINOID-BINDING PROTEIN; TRANSPOSABLE ELEMENTS; DISSOSTICHUS-MAWSONI; POSITIVE SELECTION; KARYOTYPE EVOLUTION; NOTOTHENIOID FISHES; REVEALS MECHANISMS; ADAPTIVE RADIATION; CIRCADIAN CLOCK; ANTIFREEZE</t>
  </si>
  <si>
    <t>White-blooded Antarctic icefishes, a family within the adaptive radiation of Antarctic notothenioid fishes, are an example of extreme biological specialization to both the chronic cold of the Southern Ocean and life without hemoglobin. As a result, icefishes display derived physiology that limits them to the cold and highly oxygenated Antarctic waters. Against these constraints, remarkably one species, the pike icefish Champsocephalus esox, successfully colonized temperate South American waters. To study the genetic mechanisms underlying secondarily temperate adaptation in icefishes, we generated chromosome-level genome assemblies of both C. esox and its Antarctic sister species, Champsocephalus gunnari. The C. esox genome is similar in structure and organization to that of its Antarctic congener; however, we observe evidence of chromosomal rearrangements coinciding with regions of elevated genetic divergence in pike icefish populations. We also find several key biological pathways under selection, including genes related to mitochondria and vision, highlighting candidates behind temperate adaptation in C. esox. Substantial antifreeze glycoprotein (AFGP) pseudogenization has occurred in the pike icefish, likely due to relaxed selection following ancestral escape from Antarctica. The canonical AFGP locus organization is conserved in C. esox and C. gunnari, but both show a translocation of two AFGP copies to a separate locus, previously unobserved in cryonotothenioids. Altogether, the study of this secondarily temperate species provides an insight into the mechanisms underlying adaptation to ecologically disparate environments in this otherwise highly specialized group.</t>
  </si>
  <si>
    <t>[Rivera-Colon, Angel G.; Rayamajhi, Niraj; Madrigal, Giovanni; Yoon, Veronica; Cheng, C. H. Christina; Catchen, Julian M.] Univ Illinois, Dept Evolut Ecol &amp; Behav, Urbana, IL 61820 USA; [Minhas, Bushra Fazal] Univ Illinois, Informat Program, Urbana, IL USA; [Bilyk, Kevin T.] Montclair State Univ, Dept Biol, Montclair, NJ USA; [Hune, Mathias] Ctr Invest Conservac Ecosistemas Australes, Punta Arenas, Chile; [Gregory, Susan] British Antarctic Survey, Cambridge, England; [Gregory, Susan] Govt South Georgia &amp; South Sandwich Isl, Stanley, Falkland Island</t>
  </si>
  <si>
    <t>University of Illinois System; University of Illinois Urbana-Champaign; University of Illinois System; University of Illinois Urbana-Champaign; Montclair State University; UK Research &amp; Innovation (UKRI); Natural Environment Research Council (NERC); NERC British Antarctic Survey</t>
  </si>
  <si>
    <t>Catchen, JM (corresponding author), Univ Illinois, Dept Evolut Ecol &amp; Behav, Urbana, IL 61820 USA.</t>
  </si>
  <si>
    <t>Rivera-Colón, Angel G/ITV-3165-2023</t>
  </si>
  <si>
    <t>Rivera-Colón, Angel G/0000-0001-9097-3241; Madrigal, Giovanni/0000-0001-7006-0090; Bilyk, Kevin/0000-0002-2262-2703; Catchen, Julian/0000-0002-4798-660X; Rayamajhi, Niraj/0000-0001-6597-4955; Hune, Mathias/0000-0003-0089-7623</t>
  </si>
  <si>
    <t>National Science Foundation [NSF DGE 10-69157 IGERT]; [1645087]; [11-42158]</t>
  </si>
  <si>
    <t>National Science Foundation(National Science Foundation (NSF)); ;</t>
  </si>
  <si>
    <t>This work was supported by the National Science Foundation (NSF DGE 10-69157 IGERT to A.G.R.C., NSF OPP Grant 1645087 to J.M.C. and C.H.C.C., and NSF ANT Grant 11-42158 to C.H.C.C.). The authors thank Kira M. Long, Alida de Flamingh, and Carlos Ortiz-Alvarado for comments and discussions on the manuscript, Francesco Zapelloni and Jacob Anderson for assisting with the DNA extractions used for RAD sequencing, Shehani Gunawardena and Eliana Eng for their assistance in the bioinformatic analyses, Ernesto Davis Seguic for assistance on location in Chile, and Arthur DeVries for assistance with field collection and sampling.</t>
  </si>
  <si>
    <t>MAR 4</t>
  </si>
  <si>
    <t>msad029</t>
  </si>
  <si>
    <t>10.1093/molbev/msad029</t>
  </si>
  <si>
    <t>9O4WB</t>
  </si>
  <si>
    <t>Green Published, Green Submitted, Green Accepted, gold</t>
  </si>
  <si>
    <t>WOS:000943601800003</t>
  </si>
  <si>
    <t>Ito, A; Shiobara, H; Miller, M; Sugioka, H; Ojeda, J; Tassara, C; Shinohara, M; Kinoshita, M; Iwamori, H</t>
  </si>
  <si>
    <t>Ito, Aki; Shiobara, Hajime; Miller, Matthew; Sugioka, Hiroko; Ojeda, Javier; Tassara, Carlos; Shinohara, Masanao; Kinoshita, Masataka; Iwamori, Hikaru</t>
  </si>
  <si>
    <t>Long-term array observation by ocean bottom seismometers at the Chile Triple Junction</t>
  </si>
  <si>
    <t>Chile; Triple junction; Subduction; Ocean bottom seismometer; Broadband seismic observation</t>
  </si>
  <si>
    <t>RIDGE SUBDUCTION; SOUTHERN CHILE; EARTHQUAKE; PLATE; ZONE; TOMOGRAPHY; HYPOCENTER; INVERSION; ORIGIN</t>
  </si>
  <si>
    <t>Seafloor seismic observations were conducted twice in the vicinity of the Chile Triple Junction (CTJ) in order to investigate the crustal activities associated with the subduction of the hot ridge. Herein, we present the details of the most recent seismic observation for the two-year period between January 2019 and January 2021. Furthermore, the hypocenter location, magnitude, and focal mechanisms of the local earthquakes were revealed by analyzing the data from both deployments, including the one conducted between 2009 and 2010. In total, more than 2100 local earthquakes were detected during the two observation periods. In both observations, earthquakes were found to have actively occurred along the Chile Ridge and the Darwin Fracture Zone. The magnitudes of these earthquakes range from -0.3 to 5.0. From the events cataloged during the time period 2019 to 2021, a clear seismicity gap is observed at 46.4S with the predominant faulting type differing across this divide. North of the seismicity gap, normal faulting earthquakes periodically occur along the Chile Ridge, thereby indicating continuous ridge opening. By contrast, the earthquakes to the south of the seismicity gap, where the Chile Ridge has already been subducted, occurred intermittently and are dominated by reverse faulting. The latter earthquakes are associated with the Antarctic plate subduction. We propose that a local transform fault, with E-W strike direction, exists 10 km north of the seismicity gap, based on the hypocenter locations and focal mechanisms of three M &gt; 4 earthquakes. This local transform fault was probably formed by the effect of the active ridge subduction. (c) 2017 Elsevier Inc. All rights reserved.</t>
  </si>
  <si>
    <t>[Ito, Aki] Japan Agcy Marine Earth Sci &amp; Technol, 2-15 Natsushima Cho, Yokosuka, Kanagawa 2370061, Japan; [Shiobara, Hajime; Shinohara, Masanao; Kinoshita, Masataka; Iwamori, Hikaru] Univ Tokyo, Earthquake Res Inst, 1-1-1 Yayoi,Bunkyo Ku, Tokyo 1130032, Japan; [Miller, Matthew; Tassara, Carlos] Univ Concepcion, Dept Geophys, Casilla 160-C, Concepcion, Chile; [Sugioka, Hiroko] Kobe Univ, Ocean Bottom Explorat Ctr, 5-1-1 Fukae Minami Cho,Higashi Nada Ku, Kobe, Hyogo 6580022, Japan; [Ojeda, Javier] Univ Chile, Dept Geofis, Ave Blanco Encalada 2002, Santiago, Chile; [Ojeda, Javier] Univ Paris Cite, Inst Phys Globe Paris, CNRS, F-75005 Paris, France; [Tassara, Carlos] Arturo Prat Univ, Fac Sci, Iquique 2120, Chile</t>
  </si>
  <si>
    <t>Japan Agency for Marine-Earth Science &amp; Technology (JAMSTEC); University of Tokyo; Universidad de Concepcion; Kobe University; Universidad de Chile; Universite Paris Cite; Centre National de la Recherche Scientifique (CNRS); Universidad Arturo Prat</t>
  </si>
  <si>
    <t>Ito, A (corresponding author), Japan Agcy Marine Earth Sci &amp; Technol, 2-15 Natsushima Cho, Yokosuka, Kanagawa 2370061, Japan.</t>
  </si>
  <si>
    <t>iaki@jamstec.go.jp</t>
  </si>
  <si>
    <t>Ojeda, Javier/B-1802-2019; Tassara, Carlos/JAC-3895-2023; Tassara, Carlos/AFM-0122-2022; 伊藤, 亜妃/HZH-9853-2023; Sugioka, Hiroko/N-5368-2015</t>
  </si>
  <si>
    <t>Ojeda, Javier/0000-0002-7188-8356; Tassara, Carlos/0000-0001-9061-1937; 伊藤, 亜妃/0000-0002-1906-5192; Sugioka, Hiroko/0000-0003-1883-4049; Miller, Matt/0000-0002-4846-3173</t>
  </si>
  <si>
    <t>Agencia Nacional de Investigacion y Desarrollo [21200903]</t>
  </si>
  <si>
    <t>Agencia Nacional de Investigacion y Desarrollo</t>
  </si>
  <si>
    <t>We thank the captains and crews of R/V Mirai and the Chilean Navys General service patrol boat Cirujano Videla for their help during the OBS work, and the Chile government office SHOA (Servicio Hidrografico y Oceanografico de la Armada de Chile) for the helpful cooperation. We greatly appreciate Dr. Takashi Iidaka of the Earthquake Research Institute, the University of Tokyo, for supporting us in the magnitude determination, and Dr. Nobukazu Seama and Yuko Kondo of Kobe University, and Drs. Toshiya Fujiwara and Masayuki Obayashi at JAMSTEC, for their useful advice on the tectonic setting and seismicity at the ridge region. Drs. Tomoaki Yamada and Takehi Isse of the Earthquake Research Institute, the University of Tokyo, participated in the first OBS observation. We also thank the Geophysics Masters degree program at the University of Concepcion, Sergio Ruiz, Roberto Riquelme and Freddy Echeverria for their contribution to the logistics of the OBS recovery operation undertaken during COVID-19 restrictions. JO acknowledges support from the Agencia Nacional de Investigacion y Desarrollo (Scholarship ANID-PFCHA/Doctorado Nacional/2020-21200903) . Two anonymous reviewers greatly helped to improve the manuscript. Many figures in this paper were produced using the Generic Mapping Tools (Wessel et al., 2019) .</t>
  </si>
  <si>
    <t>10.1016/j.jsames.2023.104285</t>
  </si>
  <si>
    <t>C5TL6</t>
  </si>
  <si>
    <t>WOS:000962536600001</t>
  </si>
  <si>
    <t>Zabelina, A; Dedek, J; Guselnikova, O; Zabelin, D; Trelin, A; Miliutina, E; Kolska, Z; Siegel, J; Svorcik, V; Vana, J; Lyutakov, O</t>
  </si>
  <si>
    <t>Zabelina, Anna; Dedek, Jakub; Guselnikova, Olga; Zabelin, Denis; Trelin, Andrii; Miliutina, Elena; Kolska, Zdenka; Siegel, Jakub; Svorcik, Vaclav; Vana, Jiri; Lyutakov, Oleksiy</t>
  </si>
  <si>
    <t>Photoinduced CO2 Conversion under Arctic Conditions The High Potential of Plasmon Chemistry under Low Temperature</t>
  </si>
  <si>
    <t>ACS CATALYSIS</t>
  </si>
  <si>
    <t>photocatalysis; hybrid catalyst; plasmon-assisted chemistry; CO 2 cycloaddition; low temperature</t>
  </si>
  <si>
    <t>PHOTOCATALYTIC REDUCTION; CARBON-DIOXIDE; VISIBLE-LIGHT; SOLAR; STRATEGIES; CATALYSIS; RESONANCE; DESIGN; ENERGY</t>
  </si>
  <si>
    <t>The conversion of CO2 to fine chemicals is an efficient tool for reducing the negative impact of human activities on the environment. In this work, we show that CO2 capture and its sunlight-based activation can proceed efficiently even at low, practically arctic temperatures with the implementation of so-called plasmon-assisted chemistry. We propose the specific photocatalyst consisting of two parts: (i) an organic shell responsible for CO2 capture and (ii) a plasmon-active metal nanoparticle core for activation of entrapped CO2 and involving it in the cycloaddition reaction. The effect of temperature on the plasmon-assisted CO2 cycloaddition was studied, and a reaction with only slight temperature sensitivity was observed. Theoretical calculations indicated a significant decrease in the apparent activation barrier of the reaction under the plasmon-assisted mechanism. Our results open an opportunity for the world economy to exploit the vast Arctic and Antarctic (or close to them) territories where the powerful solar potential is practically not used yet.</t>
  </si>
  <si>
    <t>[Zabelina, Anna; Dedek, Jakub; Guselnikova, Olga; Zabelin, Denis; Trelin, Andrii; Miliutina, Elena; Siegel, Jakub; Svorcik, Vaclav; Lyutakov, Oleksiy] Univ Chem &amp; Technol, Dept Solid State Engn, Prague 16628, Czech Republic; [Kolska, Zdenka; Lyutakov, Oleksiy] Univ JE Purkyne, Fac Sci, Usti Nad Labem 40096, Czech Republic; [Vana, Jiri; Lyutakov, Oleksiy] Univ Pardubice, Inst Organ Chem &amp; Technol, Fac Chem Technol, Pardubice 53210, Czech Republic</t>
  </si>
  <si>
    <t>University of Chemistry &amp; Technology, Prague; University of Jan Evangelista Purkyne; University of Pardubice</t>
  </si>
  <si>
    <t>Lyutakov, O (corresponding author), Univ Chem &amp; Technol, Dept Solid State Engn, Prague 16628, Czech Republic.;Lyutakov, O (corresponding author), Univ JE Purkyne, Fac Sci, Usti Nad Labem 40096, Czech Republic.;Lyutakov, O (corresponding author), Univ Pardubice, Inst Organ Chem &amp; Technol, Fac Chem Technol, Pardubice 53210, Czech Republic.</t>
  </si>
  <si>
    <t>lyutakoo@vscht.cz</t>
  </si>
  <si>
    <t>Siegel, Jakub/H-6888-2016; Vana, Jiri/F-1247-2010; Zabelin, Denis/ISS-6726-2023</t>
  </si>
  <si>
    <t>Siegel, Jakub/0000-0002-9961-1447; Vana, Jiri/0000-0003-4756-7314;</t>
  </si>
  <si>
    <t>GACR [22- 02022S]; UCT Prague [RVO JIGA 126-85-2215]</t>
  </si>
  <si>
    <t>GACR(Grant Agency of the Czech Republic); UCT Prague</t>
  </si>
  <si>
    <t>? ACKNOWLEDGMENTS This work was supported by the GACR under project no. 22- 02022S and by UCT Prague and under the project RVO JIGA 126-85-2215.</t>
  </si>
  <si>
    <t>2155-5435</t>
  </si>
  <si>
    <t>ACS CATAL</t>
  </si>
  <si>
    <t>ACS Catal.</t>
  </si>
  <si>
    <t>10.1021/acscatal.2c05891</t>
  </si>
  <si>
    <t>Chemistry, Physical</t>
  </si>
  <si>
    <t>0A0CL</t>
  </si>
  <si>
    <t>WOS:000962130700001</t>
  </si>
  <si>
    <t>Amarelle, V; Roldán, DM; Fabiano, E; Guazzaroni, ME</t>
  </si>
  <si>
    <t>Amarelle, Vanesa; Roldan, Diego M.; Fabiano, Elena; Guazzaroni, Maria-Eugenia</t>
  </si>
  <si>
    <t>Synthetic Biology Toolbox for Antarctic Pseudomonas sp. Strains: Toward a Psychrophilic Nonmodel Chassis for Function-Driven Metagenomics</t>
  </si>
  <si>
    <t>ACS SYNTHETIC BIOLOGY</t>
  </si>
  <si>
    <t>functional metagenomics; nonmodel chassis; synthetic biology toolbox</t>
  </si>
  <si>
    <t>BROAD-HOST-RANGE; ESCHERICHIA-COLI; NATURAL-PRODUCTS; EXPRESSION; SYSTEM; LIBRARIES; PLASMID; ENZYMES; PROTEIN; CONSTRUCTION</t>
  </si>
  <si>
    <t>One major limitation of function-driven metagenomics is the ability of the host to express the metagenomic DNA correctly. Differences in the transcriptional, translational, and post translational machinery between the organism to which the DNA belongs and the host strain are all factors that influence the success of a functional screening. For this reason, the use of alternative hosts is an appropriate approach to favor the identification of enzymatic activities in function-driven metagenomics. To be implemented, appropriate tools should be designed to build the metagenomic libraries in those hosts. Moreover, discovery of new chassis and characterization of synthetic biology toolbox in nonmodel bacteria is an active field of research to expand the potential of these organisms in processes of industrial interest. Here, we assessed the suitability of two Antarctic psychrotolerant Pseudomonas strains as putative alternative hosts for function driven metagenomics using pSEVA modular vectors as scaffold. We determined a set of synthetic biology tools suitable for these hosts and, as a proof of concept, we demonstrated their fitness for heterologous protein expression. These hosts represent a step forward for the prospection and identification of psychrophilic enzymes of biotechnological interest.</t>
  </si>
  <si>
    <t>[Amarelle, Vanesa; Roldan, Diego M.; Fabiano, Elena] Inst Invest Biol Clemente Estable, Dept Bioquim &amp; Genom Microbianas, Montevideo 11600, Uruguay; [Guazzaroni, Maria-Eugenia] Univ Sao Paulo, Dept Biol, FFCLRP, BR-14049901 Ribeirao Preto, SP, Brazil</t>
  </si>
  <si>
    <t>Instituto de Investigaciones Biologicas Clemente Estable Uruguay; Universidade de Sao Paulo</t>
  </si>
  <si>
    <t>Amarelle, V (corresponding author), Inst Invest Biol Clemente Estable, Dept Bioquim &amp; Genom Microbianas, Montevideo 11600, Uruguay.</t>
  </si>
  <si>
    <t>amarelle.iibce@gmail.com</t>
  </si>
  <si>
    <t>; Guazzaroni, Maria-Eugenia/E-2599-2013</t>
  </si>
  <si>
    <t>Roldan, Diego M./0000-0002-8900-9815; Guazzaroni, Maria-Eugenia/0000-0002-4657-3731; Amarelle, Vanesa/0000-0003-0405-3321</t>
  </si>
  <si>
    <t>Agencia Nacional de Investigacion e Innovacion (ANII) [FCE _3 _2018_1_148885]; PEDECIBA-Biologia-Quimica; Sao Paulo State Foundation (FAPESP) [2021/01748-5]; National Council for Scientific and Technological Development (CNPq) [302750/2020-7]</t>
  </si>
  <si>
    <t>Agencia Nacional de Investigacion e Innovacion (ANII); PEDECIBA-Biologia-Quimica; Sao Paulo State Foundation (FAPESP)(Fundacao de Amparo a Pesquisa do Estado de Sao Paulo (FAPESP)); National Council for Scientific and Technological Development (CNPq)(Conselho Nacional de Desenvolvimento Cientifico e Tecnologico (CNPQ))</t>
  </si>
  <si>
    <t>This work was funded by the Agencia Nacional de Investigacion e Innovacion (ANII, FCE _3 _2018_1_148885), PEDECIBA-Biologia-Quimica, the Sao Paulo State Foundation (FAPESP, award # 2021/01748-5), and the National Council for Scientific and Technological Development (CNPq 302750/2020-7). The authors th a n k Federico Santin~aqui (from the Cytometer Platform at IIBCE) for his invaluable help in the cytometric approach.</t>
  </si>
  <si>
    <t>2161-5063</t>
  </si>
  <si>
    <t>ACS SYNTH BIOL</t>
  </si>
  <si>
    <t>ACS Synth. Biol.</t>
  </si>
  <si>
    <t>10.1021/acssynbio.2c00543</t>
  </si>
  <si>
    <t>Biochemical Research Methods</t>
  </si>
  <si>
    <t>Biochemistry &amp; Molecular Biology</t>
  </si>
  <si>
    <t>9Z6QZ</t>
  </si>
  <si>
    <t>WOS:000943592800001</t>
  </si>
  <si>
    <t>Nisha, K; Naik, SS; Kumar, P; Banerjee, B; Murty, PBR</t>
  </si>
  <si>
    <t>Nisha, Kumari; Naik, Sushant Suresh; Kumar, Pankaj; Banerjee, Barnita; Murty, P. B. Rama</t>
  </si>
  <si>
    <t>Radiocarbon evidence for reduced deep water ventilation of the northern Indian Ocean during the last glacial maxima and early deglaciation</t>
  </si>
  <si>
    <t>radiocarbon; northern Indian Ocean; foraminifera; deglaciation; ventilation age; last glacial maximum</t>
  </si>
  <si>
    <t>BENTHIC FORAMINIFERA; OVERTURNING CIRCULATION; SOUTHERN-OCEAN; CARBON POOL; ATLANTIC; INTERMEDIATE; BENGAL; BAY; MECHANISM; ISOTOPES</t>
  </si>
  <si>
    <t>Enhanced outgassing of sequestered carbon to the atmosphere by upwelling of deep water in the Southern Ocean during the last deglaciation is assumed to be the main factor that modulated changes in atmospheric CO2 and atmospheric radiocarbon activity; however, the exact mechanism behind this deglacial CO2 release still remains unclear. In this study, we have investigated ventilation changes in the deep waters of the northern Indian Ocean over the past 25 kyr BP using paired benthic and planktic foraminiferal radiocarbon, along with stable carbon and oxygen isotopes of benthic foraminifera, sedimentary CaCO3 content, and coarse fraction from the gravity core SSD-044/GC-01 (3160 m water depth) collected from Central Equatorial Indian Ocean. The results indicate a greater proportion of southern sourced CO2-rich, poorly-ventilated Antarctic Bottom Water (AABW) during the Last Glacial Maximum (LGM) and Heinrich Stadial (HS1), in the northern Indian Ocean. The observed poor ventilation during the last glaciation shows that the northern Indian Ocean was a part of the glacial ocean aged carbon pool. Improved ventilation during the Bolling-Allerod (B-A) is consistent with the rapid resumption of Atlantic overturning circulation and inflow of North Atlantic Deep Water (NADW) into the northern Indian Ocean at the onset of the B-A, which caused flushing of the deep-carbon pool with evidence of degassing from the northern Indian Ocean. This study thus supports the role of Southern Ocean in modulating atmospheric CO2 variations during the last deglaciation.(c) 2023 Elsevier B.V. All rights reserved.</t>
  </si>
  <si>
    <t>[Nisha, Kumari; Naik, Sushant Suresh] CSIR Natl Inst Oceanog, Goa 403004, India; [Nisha, Kumari] Goa Univ, Sch Earth Ocean &amp; Atmospher Sci, Goa 403206, India; [Kumar, Pankaj] Interuniv Accelerator Ctr IUAC, New Delhi 110067, India; [Banerjee, Barnita; Murty, P. B. Rama] CSIR Natl Geophys Res Inst, Hyderabad 500007, India</t>
  </si>
  <si>
    <t>Council of Scientific &amp; Industrial Research (CSIR) - India; CSIR - National Institute of Oceanography (NIO); Goa University; Inter-University Accelerator Centre; Council of Scientific &amp; Industrial Research (CSIR) - India; CSIR - National Geophysical Research Institute (NGRI)</t>
  </si>
  <si>
    <t>Naik, SS (corresponding author), CSIR Natl Inst Oceanog, Goa 403004, India.</t>
  </si>
  <si>
    <t>sushant@nio.org</t>
  </si>
  <si>
    <t>Kumar, Pankaj/M-8612-2015</t>
  </si>
  <si>
    <t>Kumar, Pankaj/0000-0001-7050-582X; Kumari, Nisha/0000-0001-7986-6015</t>
  </si>
  <si>
    <t>UGC</t>
  </si>
  <si>
    <t>UGC(University Grants Commission, India)</t>
  </si>
  <si>
    <t>We are grateful to the Director of CSIR-National Institute of Oceanography, Goa, India for the permission to publish this research work. We thank the crew members of RV Sindhu Sadhana for their help and support during the sediment core collection. This core was obtained as a part of the MoES project Biogeo- chemical Processes and Paleoceanographic Studies of the Eastern Indian Ocean (MoES/36/OOIS/Extra/34/2013) . We are thankful to the Inter -University Accelerator Centre (IUAC) , Delhi, India for the AMS analyses. Yair Rosenthal and Vince Clementi of Rutgers are acknowledged for the age model calculations. KN is thankful to UGC for the research fellowship. We thank the Editor Dr. Ye-mane Asmerom and the two anonymous reviewers for construc- tive comments and suggestions, which helped us to improve the manuscript. This is NIO contribution No. 7030.</t>
  </si>
  <si>
    <t>10.1016/j.epsl.2023.118067</t>
  </si>
  <si>
    <t>D0QC9</t>
  </si>
  <si>
    <t>WOS:000965849300001</t>
  </si>
  <si>
    <t>Burrows, JL; Lee, JR; Wilson, KA</t>
  </si>
  <si>
    <t>Burrows, Joanna L.; Lee, Jasmine R.; Wilson, Kerrie A.</t>
  </si>
  <si>
    <t>Evaluating the conservation impact of Antarctica's protected areas</t>
  </si>
  <si>
    <t>CONSERVATION BIOLOGY</t>
  </si>
  <si>
    <t>biodiversity; conservation planning; conservation policy; environmental assessment; environmental values; impact evaluation; protected area management; biodiversidad; evaluacion ambiental; evaluacion de impacto; gestion de areas protegidas; planeacion de la conservacion; politicas de conservacion; valores ambientales; (sic)(sic)(sic)(sic); (sic)(sic)(sic)(sic)(sic)</t>
  </si>
  <si>
    <t>BIODIVERSITY</t>
  </si>
  <si>
    <t>Antarctic specially protected areas (ASPAs) are a key regulatory mechanism for protecting Antarctic environmental values. Previous evaluations of the effectiveness of the ASPA system focused on its representativeness and design characteristics, presenting a compelling rationale for its systematic revision. Upgrading the system could increase the representation of values within ASPAs, but representation alone does not guarantee the avoided loss or improvement of those values. Identifying factors that influence the effectiveness of ASPAs would inform the design and management of an ASPA system with the greatest capacity to deliver its intended conservation outcomes. To facilitate evaluations of ASPA effectiveness, we devised a research and policy agenda that includes articulating a theory of change for what outcomes ASPAs generate and how; building evaluation principles into ASPA design and designation processes; employing complementary approaches to evaluate multiple dimensions of effectiveness; and extending evaluation findings to identify and exploit drivers of positive conservation impact. Implementing these approaches will enhance the efficacy of ASPAs as a management tool, potentially leading to improved outcomes for Antarctic natural values in an era of rapid global change.Evaluacion del impacto de conservacion de las areas protegidas de la Antartida</t>
  </si>
  <si>
    <t>[Burrows, Joanna L.; Lee, Jasmine R.; Wilson, Kerrie A.] Queensland Univ Technol, Sch Biol &amp; Environm Sci, Securing Antarct Environm Future, Gardens Point,Att Joanna Burrows Level 7,P Block,, Brisbane, Qld 4001, Australia; [Lee, Jasmine R.] British Antarctic Survey, Cambridge, England</t>
  </si>
  <si>
    <t>Queensland University of Technology (QUT); UK Research &amp; Innovation (UKRI); Natural Environment Research Council (NERC); NERC British Antarctic Survey</t>
  </si>
  <si>
    <t>Burrows, JL (corresponding author), Queensland Univ Technol, Sch Biol &amp; Environm Sci, Securing Antarct Environm Future, Gardens Point,Att Joanna Burrows Level 7,P Block,, Brisbane, Qld 4001, Australia.</t>
  </si>
  <si>
    <t>jl.burrows@hdr.qut.edu.au</t>
  </si>
  <si>
    <t>Burrows, Joanna/0000-0002-7799-1362; Lee, Jasmine/0000-0003-3847-1679</t>
  </si>
  <si>
    <t>Australian Research Council [SR200100005]; Securing Antarctica's Environmental Future; Australian Research Council [SR200100005] Funding Source: Australian Research Council</t>
  </si>
  <si>
    <t>Australian Research Council(Australian Research Council); Securing Antarctica's Environmental Future; Australian Research Council(Australian Research Council)</t>
  </si>
  <si>
    <t>Australian Research Council, Grant/Award Number: ARC SRIEAS Grant SR200100005 Securing Antarctica's Environmental Future</t>
  </si>
  <si>
    <t>0888-8892</t>
  </si>
  <si>
    <t>1523-1739</t>
  </si>
  <si>
    <t>CONSERV BIOL</t>
  </si>
  <si>
    <t>Conserv. Biol.</t>
  </si>
  <si>
    <t>10.1111/cobi.14059</t>
  </si>
  <si>
    <t>L2FV7</t>
  </si>
  <si>
    <t>WOS:000942676600001</t>
  </si>
  <si>
    <t>Hu, XK; Liao, GH; Fan, ZS; Liu, XY</t>
  </si>
  <si>
    <t>Hu, XiaoKai; Liao, GuangHong; Fan, ZhiSong; Liu, XiYing</t>
  </si>
  <si>
    <t>Impacts of inertial internal wave breaking mixing parameterization on a global ocean model</t>
  </si>
  <si>
    <t>Diapycnal mixing; Horizontal Coriolis parameter; Near inertial internal wave; Fine scale mixing parameterization</t>
  </si>
  <si>
    <t>CIRCULATION; ENERGY; WIND; PACIFIC; PROPAGATION; SENSITIVITY; GENERATION; SHEAR; SEA</t>
  </si>
  <si>
    <t>A parameterization of vertical mixing induced by fine-scale near-inertial internal waves (F-scheme) is imple-mented in the Parallel Ocean Program, version 2 (POP2). The F-scheme is based on the spectrum model via solving the non-traditional approximation internal wave equations and the observed internal wave spectra. The structure of the resulting dissipation and diffusivity fields and its impacts on the ocean model simulations are investigated. The diffusivity coefficient derived from F-scheme varies spatiotemporally, and is generally in consistent magnitude with observed results in the middle to high latitude ocean, and show the similar latitude dependent characteristics with the current observations, depending on the product of the horizontal and vertical components of the Coriolis parameter (f .f;) as well as the local stratification condition. The interior mixing induced by F-scheme has some noticeable impacts on the temperature and salinity structure near the main thermocline, the meridional overturning circulation and northward heat transport as has been demonstrated in the other two OGCMs (LICOM and MOM4). The temperature and salinity structure simulated using F-scheme are statistically closer to observations, especially it improves the simulation of the Pacific Ocean, Indian Ocean and Antarctic Circumpolar Circulation. But the involved background mixing coefficients or F-scheme enlarges the temperature and salinity biases in the Atlantic Ocean, the cause is related to the pre-existing weak Antarctic Intermediate Water intrusion toward north and the inexact Atlantic Meridional Overturn Circulation simulation in the present model. F-scheme provides weak mixing in some regions, where an appropriate parameterization of turbulent mixing induced by wave-wave interaction also should be considered in the future.</t>
  </si>
  <si>
    <t>[Hu, XiaoKai; Liao, GuangHong; Liu, XiYing] Hohai Univ, Key Lab Marine Hazards Forecasting, Minist Nat Resources, Nanjing, Peoples R China; [Liao, GuangHong] Pilot Natl Lab Marine Sci &amp; Technol, Lab Reg Oceanog &amp; Numer Modeling, Qingdao 266000, Peoples R China; [Fan, ZhiSong] Ocean Univ China, Coll Ocean &amp; Atmospher Sci, Qingdao 266100, Peoples R China</t>
  </si>
  <si>
    <t>Ministry of Natural Resources of the People's Republic of China; Hohai University; Laoshan Laboratory; Ocean University of China</t>
  </si>
  <si>
    <t>Liao, GH (corresponding author), Hohai Univ, Key Lab Marine Hazards Forecasting, Minist Nat Resources, Nanjing, Peoples R China.;Liao, GH (corresponding author), Pilot Natl Lab Marine Sci &amp; Technol, Lab Reg Oceanog &amp; Numer Modeling, Qingdao 266000, Peoples R China.;Fan, ZS (corresponding author), Ocean Univ China, Coll Ocean &amp; Atmospher Sci, Qingdao 266100, Peoples R China.</t>
  </si>
  <si>
    <t>liaogh@hhu.edu.cn; fanzhisong@ouc.edu.cn</t>
  </si>
  <si>
    <t>Fan, Zhisong/AAH-9736-2019</t>
  </si>
  <si>
    <t>Liao, Guanghong/0000-0002-4646-7808</t>
  </si>
  <si>
    <t>National Key Research and Devel-opment Program of China [2017YFA0604104]; National Nature Science Foundation of China [42076015]</t>
  </si>
  <si>
    <t>National Key Research and Devel-opment Program of China; National Nature Science Foundation of China(National Natural Science Foundation of China (NSFC))</t>
  </si>
  <si>
    <t>Acknowledgement This study was supported by the National Key Research and Devel-opment Program of China (Grant No.2017YFA0604104) , and National Nature Science Foundation of China (Grant No.42076015) . The initial field for the model integration comes from climatological PHC2.1 data (http://psc.apl.washington.edu/nonwp_projects/PHC/Climatology. html) The work was carried out at National Supercomputer Center in Tianjin, and the calculations were performed on TianHe-1 (A) . We thank Dr.Wu FangHua from the National Climate Center, China for her help in running model. The authors are grateful to anonymous reviewers for their instructive review.</t>
  </si>
  <si>
    <t>10.1016/j.pocean.2023.102997</t>
  </si>
  <si>
    <t>9Z9RI</t>
  </si>
  <si>
    <t>WOS:000951469200001</t>
  </si>
  <si>
    <t>Sterling, AR; Holland, LZ; Bundy, RM; Burns, SM; Buck, KN; Chappell, PD; Jenkins, BD</t>
  </si>
  <si>
    <t>Sterling, Alexa R.; Holland, Laura Z.; Bundy, Randelle M.; Burns, Shannon M.; Buck, Kristen N.; Chappell, P. Dreux; Jenkins, Bethany D.</t>
  </si>
  <si>
    <t>Potential interactions between diatoms and bacteria are shaped by trace element gradients in the Southern Ocean</t>
  </si>
  <si>
    <t>diatom-bacteria interactions; Southern Ocean; Antarctic Peninsula; phytoplankton microbiome; trace metal limitation</t>
  </si>
  <si>
    <t>RIBOSOMAL-RNA SEQUENCES; ANTARCTIC PENINSULA; IRON FERTILIZATION; DRAKE PASSAGE; BACTERIOPLANKTON POPULATIONS; COMMUNITY STRUCTURE; MARINE-BACTERIA; ORGANIC-LIGANDS; DISSOLVED IRON; PHYTOPLANKTON</t>
  </si>
  <si>
    <t>The growth of diatoms in the Southern Ocean, especially the region surrounding the West Antarctic Peninsula, is frequently constrained by low dissolved iron and other trace metal concentrations. This challenge may be overcome by mutualisms between diatoms and co-occurring associated bacteria, in which diatoms produce organic carbon as a substrate for bacterial growth, and bacteria produce siderophores, metal-binding ligands that can supply diatoms with metals upon uptake as well as other useful secondary compounds for diatom growth like vitamins. To examine the relationships between diatoms and bacteria in the plankton (diatom) size class (&gt; 3 mu m), we sampled both bacterial and diatom community composition with accompanying environmental metadata across a naturally occurring concentration gradient of macronutrients, trace metals and siderophores at 21 stations near the West Antarctic Peninsula (WAP). Offshore Drake Passage stations had low dissolved iron (0.33 +/- 0.15 nM), while the stations closer to the continental margin had higher dissolved iron (5.05 +/- 1.83 nM). A similar geographic pattern was observed for macronutrients and most other trace metals measured, but there was not a clear inshore-offshore gradient in siderophore concentrations. The diatom and bacteria assemblages, determined using 18S and 16S rDNA sequencing respectively, were similar by location sampled, and variance in both assemblages was driven in part by concentrations of soluble reactive phosphorous, dissolved manganese, and dissolved copper, which were all higher near the continent. Some of the most common diatom sequence types observed were Thalassiosira and Fragilariopsis, and bacteria in the plankton size fraction were most commonly Bacteroidetes and Gammaproteobacteria. Network analysis showed positive associations between diatoms and bacteria, indicating possible in situ mutualisms through strategies such as siderophore and vitamin biosynthesis and exchange. This work furthers the understanding of how naturally occurring gradients of metals and nutrients influence diatom-bacteria interactions. Our data suggest that distinct groups of diatoms and associated bacteria are interacting under different trace metal regimes in the WAP, and that diatoms with different bacterial partners may have different modes of biologically supplied trace metals.</t>
  </si>
  <si>
    <t>[Sterling, Alexa R.; Holland, Laura Z.; Jenkins, Bethany D.] Univ Rhode Isl, Dept Cell &amp; Mol Biol, Kingston, RI 02881 USA; [Bundy, Randelle M.] Univ Washington, Sch Oceanog, Seattle, WA USA; [Burns, Shannon M.; Buck, Kristen N.] Univ S Florida, Coll Marine Sci, St Petersburg, FL USA; [Buck, Kristen N.] Oregon State Univ, Coll Earth Ocean &amp; Atmospher Sci, Corvallis, OR USA; [Chappell, P. Dreux] Old Dominion Univ, Dept Ocean &amp; Earth Sci, Norfolk, VA USA; [Jenkins, Bethany D.] Univ Rhode Isl, Grad Sch Oceanog, Narragansett, RI 02881 USA</t>
  </si>
  <si>
    <t>University of Rhode Island; University of Washington; University of Washington Seattle; State University System of Florida; University of South Florida; Oregon State University; Old Dominion University; University of Rhode Island</t>
  </si>
  <si>
    <t>Jenkins, BD (corresponding author), Univ Rhode Isl, Dept Cell &amp; Mol Biol, Kingston, RI 02881 USA.;Jenkins, BD (corresponding author), Univ Rhode Isl, Grad Sch Oceanog, Narragansett, RI 02881 USA.</t>
  </si>
  <si>
    <t>bdjenkins@uri.edu</t>
  </si>
  <si>
    <t>Bundy, Randelle M/J-8453-2016; Buck, Kristen/O-3988-2014</t>
  </si>
  <si>
    <t>Buck, Kristen/0000-0002-3871-870X; Burns, Shannon/0000-0002-1569-3060</t>
  </si>
  <si>
    <t>NSF [1443474, 1756816, 1443483, 1443646]; NSF RI ESPCoR awards [1004057, 1655221]; NASA RI Space Grant Fellowship [NNX15AI06H]; Directorate For Geosciences; Office of Polar Programs (OPP) [1443646] Funding Source: National Science Foundation; Division Of Ocean Sciences; Directorate For Geosciences [1756816] Funding Source: National Science Foundation; Office of Polar Programs (OPP); Directorate For Geosciences [1443483, 1443474] Funding Source: National Science Foundation</t>
  </si>
  <si>
    <t>NSF(National Science Foundation (NSF)); NSF RI ESPCoR awards; NASA RI Space Grant Fellowship; Directorate For Geosciences; Office of Polar Programs (OPP)(National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</si>
  <si>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This research was supported by NSF awards #1443474 and #1756816 to BDJ, NSF award #1443483 to KNB, and NSF award # 1443646 to PDC. Graduate Assistantships to ARS were provided by NSF RI ESPCoR awards OIA #1004057 and #1655221, and a NASA RI Space Grant Fellowship (NNX15AI06H). Work was conducted at a Rhode Island NSF EPSCoR research facilities supported by NSF RI ESPCoR awards OIA #1004057 and #1655221.</t>
  </si>
  <si>
    <t>MAR 2</t>
  </si>
  <si>
    <t>10.3389/fmars.2022.876830</t>
  </si>
  <si>
    <t>9Y0HC</t>
  </si>
  <si>
    <t>WOS:000950145200001</t>
  </si>
  <si>
    <t>Lawrence, JD; Washam, PM; Stevens, C; Hulbe, C; Horgan, HJ; Dunbar, G; Calkin, T; Stewart, C; Robinson, N; Mullen, AD; Meister, MR; Hurwitz, BC; Quartini, E; Dichek, DJG; Spears, A; Schmidt, BE</t>
  </si>
  <si>
    <t>Lawrence, J. D.; Washam, P. M.; Stevens, C.; Hulbe, C.; Horgan, H. J.; Dunbar, G.; Calkin, T.; Stewart, C.; Robinson, N.; Mullen, A. D.; Meister, M. R.; Hurwitz, B. C.; Quartini, E.; Dichek, D. J. G.; Spears, A.; Schmidt, B. E.</t>
  </si>
  <si>
    <t>Crevasse refreezing and signatures of retreat observed at Kamb Ice Stream grounding zone</t>
  </si>
  <si>
    <t>NATURE GEOSCIENCE</t>
  </si>
  <si>
    <t>WEST ANTARCTICA; SHELF; OCEAN; LINE; FLOW; WATER; STAGNATION; HISTORY; MODEL</t>
  </si>
  <si>
    <t>Observations from a remotely operated underwater vehicle reveal crevasse refreezing and the fine-scale variability in ice and ocean structure at the Kamb Ice Stream grounding line in West Antarctica. Ice streams flowing into Ross Ice Shelf are presently responsible for around 10% of the mass flux from West Antarctica, with the noteworthy exception of Kamb Ice Stream, which stagnated in the late 1800s. The subsequent reduction in ice supply led to grounding-line retreat at the coastal margin where Kamb transitions into the floating Ross Ice Shelf. Grounding-line migration is linked to broader changes in ice-sheet mass balance and sea level, but our understanding of related ice, ocean and seafloor interactions is limited by the difficulty in accessing these remote regions. Here we report in situ observations from an underwater vehicle deployed at Kamb that show how fine-scale variability in ice and ocean structure combine to influence a diversity of ice-ocean interactions. We found a stratified water column within a tenth of a degree of freezing at the ice base and mapped basal crevasses with supercooled water and active marine ice formation. At the seafloor, we interpret parallel ridges as crevasse impressions left as the ice lifted off during grounding-line retreat. These observations from a recently ungrounded sub-shelf environment illuminate both the geomorphological signatures of past grounding-line retreat and the fine-scale sensitivity of ongoing ice-ocean interactions to ice topography.</t>
  </si>
  <si>
    <t>[Lawrence, J. D.; Hurwitz, B. C.; Spears, A.] Georgia Inst Technol, Sch Earth &amp; Atmospher Sci, Atlanta, GA 30332 USA; [Lawrence, J. D.; Washam, P. M.; Mullen, A. D.; Meister, M. R.; Quartini, E.; Dichek, D. J. G.; Schmidt, B. E.] Cornell Univ, Dept Earth &amp; Atmospher Sci, Ithaca, NY 14850 USA; [Lawrence, J. D.] Honeybee Robot, Explorat Syst, Altadena, CA 11205 USA; [Lawrence, J. D.; Washam, P. M.; Mullen, A. D.; Meister, M. R.; Quartini, E.; Dichek, D. J. G.; Schmidt, B. E.] Cornell Univ, Dept Astron, Ithaca, NY 14850 USA; [Stevens, C.; Stewart, C.; Robinson, N.] Natl Inst Water &amp; Atmospher Res NIWA, Ocean Dynam Grp, Wellington, New Zealand; [Stevens, C.] Univ Auckland, Dept Phys, Auckland, New Zealand; [Hulbe, C.] Univ Otago, Sch Surveying, Dunedin, New Zealand; [Horgan, H. J.; Dunbar, G.; Calkin, T.] Victoria Univ Wellington, Antarctic Res Ctr, Wellington, New Zealand</t>
  </si>
  <si>
    <t>University System of Georgia; Georgia Institute of Technology; Cornell University; Cornell University; National Institute of Water &amp; Atmospheric Research (NIWA) - New Zealand; University of Auckland; University of Otago; Victoria University Wellington</t>
  </si>
  <si>
    <t>Lawrence, JD (corresponding author), Georgia Inst Technol, Sch Earth &amp; Atmospher Sci, Atlanta, GA 30332 USA.;Lawrence, JD (corresponding author), Cornell Univ, Dept Earth &amp; Atmospher Sci, Ithaca, NY 14850 USA.;Lawrence, JD (corresponding author), Honeybee Robot, Explorat Syst, Altadena, CA 11205 USA.;Lawrence, JD (corresponding author), Cornell Univ, Dept Astron, Ithaca, NY 14850 USA.</t>
  </si>
  <si>
    <t>jdlawrence@honeybeerobotics.com</t>
  </si>
  <si>
    <t>Lawrence, Justin/0000-0001-7520-5914; Horgan, Huw/0000-0002-4836-0078; Hulbe, Christina/0000-0003-4765-7037; Stevens, Craig/0000-0002-4730-6985; Mullen, Andrew/0000-0002-2819-4797</t>
  </si>
  <si>
    <t>NASA Planetary Science and Technology from Analog Research (PSTAR) Ross Ice Shelf and Europa Underwater Probe (RISEUP) programme [NNX16AL07G]; NASA Future Investigators in NASA Earth and Space Science and Technology (FINESST) programme [80NSSC19K1544]; Aotearoa New Zealand Antarctic Science Platform [ANTA1801]; Antarctic Ice Dynamics Project [ASP02101]; NZARI-funded Aotearoa New Zealand Ross Ice Shelf Programme [2014-11]; Royal Society of New Zealand Rutherford Discovery Fellowship [RDF-VUW1602]</t>
  </si>
  <si>
    <t>NASA Planetary Science and Technology from Analog Research (PSTAR) Ross Ice Shelf and Europa Underwater Probe (RISEUP) programme; NASA Future Investigators in NASA Earth and Space Science and Technology (FINESST) programme; Aotearoa New Zealand Antarctic Science Platform; Antarctic Ice Dynamics Project; NZARI-funded Aotearoa New Zealand Ross Ice Shelf Programme; Royal Society of New Zealand Rutherford Discovery Fellowship(Royal Society of New Zealand)</t>
  </si>
  <si>
    <t>This work was supported by the NASA Planetary Science and Technology from Analog Research (PSTAR) Ross Ice Shelf and Europa Underwater Probe (RISEUP, NNX16AL07G, principal investigator B.E.S.) programme (J.D.L., P.M.W., A.D.M., M.R.M., B.C.H., E.Q., D.J.G.D., A.S. and B.E.S.) and NASA Future Investigators in NASA Earth and Space Science and Technology (FINESST, 80NSSC19K1544) programme (J.D.L.). Research was also supported by the Aotearoa New Zealand Antarctic Science Platform (ANTA1801) Antarctic Ice Dynamics Project (ASP02101) and the NZARI-funded Aotearoa New Zealand Ross Ice Shelf Programme (#2014-11), Vulnerability of the Ross Ice Shelf in a Warming World' (C.S., C.H., H.J.H., G.D., T.C., C.S. and N.R.), as well as a Royal Society of New Zealand Rutherford Discovery Fellowship (RDF-VUW1602; H.J.H.). Antarctic logistics support was provided by the US National Science Foundation through the US Antarctic Program (USAP), and hot-water drilling was enabled by the Victoria University of Wellington Hot Water Drilling initiative. Additional acknowledgements are listed in the Supplementary Information.</t>
  </si>
  <si>
    <t>1752-0894</t>
  </si>
  <si>
    <t>1752-0908</t>
  </si>
  <si>
    <t>NAT GEOSCI</t>
  </si>
  <si>
    <t>Nat. Geosci.</t>
  </si>
  <si>
    <t>10.1038/s41561-023-01129-y</t>
  </si>
  <si>
    <t>9W0CU</t>
  </si>
  <si>
    <t>WOS:000942760500003</t>
  </si>
  <si>
    <t>Ogier, EM; Smith, DC; Breen, S; Gardner, C; Gaughan, DJ; Gorfine, HK; Hobday, AJ; Moltschaniwskyj, N; Murphy, R; Saunders, T; Steer, M; Woodhams, J</t>
  </si>
  <si>
    <t>Ogier, Emily M.; Smith, David C.; Breen, Sian; Gardner, Caleb; Gaughan, Daniel J.; Gorfine, Harry K.; Hobday, Alistair J.; Moltschaniwskyj, Natalie; Murphy, Ryan; Saunders, Thor; Steer, Mike; Woodhams, James</t>
  </si>
  <si>
    <t>Initial impacts of the COVID-19 pandemic on Australian fisheries production, research organisations and assessment: shocks, responses and implications for decision support and resilience</t>
  </si>
  <si>
    <t>REVIEWS IN FISH BIOLOGY AND FISHERIES</t>
  </si>
  <si>
    <t>COVID-19 pandemic; Systemic shock; Disruption; Fisheries production; Fisheries monitoring and assessment</t>
  </si>
  <si>
    <t>TECHNOLOGY; MANAGEMENT; RESOURCES</t>
  </si>
  <si>
    <t>Australia's fisheries have experience in responding individually to specific shocks to stock levels (for example, marine heatwaves, floods) and markets (for example, global financial crisis, food safety access barriers). The COVID-19 pandemic was, however, novel in triggering a series of systemic shocks and disruptions to the activities and operating conditions for all Australia's commercial fisheries sectors including those of the research agencies that provide the information needed for their sustainable management. While these disruptions have a single root cause-the public health impacts and containment responses to the COVID-19 pandemic-their transmission and effects have been varied. We examine both the impacts on Australian fisheries triggered by measures introduced by governments both internationally and domestically in response to the COVID-19 pandemic outbreak, and the countermeasures introduced to support continuity in fisheries and aquaculture production and supply chains. Impacts on fisheries production are identified by comparing annual and monthly catch data for Australia's commercial fisheries in 2020 with averages for the last 4-5 years. We combine this with a survey of the short-term disruption to and impacts on research organisations engaged in fisheries monitoring and assessment and the adaptive measures they deployed. The dominant impact identified was triggered by containment measures both within Australia and in export receiving countries which led to loss of export markets and domestic dine-in markets for live or fresh seafood. The most heavily impact fisheries included lobster and abalone (exported live) and specific finfishes (exported fresh or sold live domestically), which experienced short-term reductions in both production and price. At the same time, improved prices and demand for seafood sold into domestic retail channels were observed. The impacts observed were both a function of the disruptions due to the COVID-19 pandemic and the countermeasures and support programs introduced by various national and state-level governments across Australia to at least partly mitigate negative impacts on harvesting activities and supply chains. These included protecting fisheries activities from specific restrictive COVID-19 containment measures, pro-actively re-establishing freight links, supporting quota roll-overs, and introducing wage and businesses support packages. Fisheries research organisations were impacted to various degrees, largely determined by the extent to which their field monitoring activities were protected from specific restrictive COVID-19 containment measures by their state-level governments. Responses of these organisations included reducing fisheries dependent and independent data collection as required while developing strategies to continue to provide assessment services, including opportunistic innovations to harvest data from new data sources. Observed short run impacts of the COVID-19 pandemic outbreak has emphasised both the vulnerability of fisheries dependent on export markets, live or fresh markets, and long supply chains and the resilience of fisheries research programs. We suggest that further and more comprehensive analysis over a longer time period of the long-run impacts of subsequent waves of variants, extended pandemic containment measures, autonomous and planned adaptive responses would be beneficial for the development of more effective counter measures for when the next major external shock affects Australian fisheries.</t>
  </si>
  <si>
    <t>[Ogier, Emily M.; Smith, David C.; Gardner, Caleb] Univ Tasmania, Inst Marine &amp; Antarctic Studies, Hobart, Australia; [Ogier, Emily M.; Smith, David C.; Hobday, Alistair J.] Ctr Marine Socioecol, Hobart, Tas, Australia; [Breen, Sian] Dept Agr &amp; Fisheries, Brisbane, Qld, Australia; [Gaughan, Daniel J.] Govt Western Australia, Dept Primary Ind &amp; Reg Dev, Western Australian Fisheries &amp; Marine Res Labs, North Beach, WA, Australia; [Gorfine, Harry K.] Victorian Fisheries Author, Fisheries Management &amp; Sci Branch, Queenscliff, Vic, Australia; [Hobday, Alistair J.] CSIRO, Hobart, Tas, Australia; [Moltschaniwskyj, Natalie; Saunders, Thor] Dept Primary Ind, Sydney, NSW, Australia; [Murphy, Ryan] Australian Fisheries Management Author, Canberra, ACT, Australia; [Saunders, Thor] Dept Ind Tourism &amp; Trade, Fisheries Div, Darwin, NT, Australia; [Steer, Mike] South Australian Res &amp; Dev Inst, Aquat &amp; Livestock Sci Div, Adelaide, SA, Australia; [Woodhams, James] Australian Bur Agr &amp; Resource Econ &amp; Sci, Canberra, ACT, Australia</t>
  </si>
  <si>
    <t>University of Tasmania; Government of Western Australia; Western Australian Fisheries &amp; Marine Research Laboratories; Commonwealth Scientific &amp; Industrial Research Organisation (CSIRO); NSW Department of Primary Industries; South Australian Research &amp; Development Institute (SARDI)</t>
  </si>
  <si>
    <t>Ogier, EM (corresponding author), Univ Tasmania, Inst Marine &amp; Antarctic Studies, Hobart, Australia.</t>
  </si>
  <si>
    <t>Emily.Ogier@utas.edu.au</t>
  </si>
  <si>
    <t>Smith, David/GQQ-8257-2022; Hobday, Alistair/A-1460-2012</t>
  </si>
  <si>
    <t>Ogier, Emily/0000-0001-6157-5279</t>
  </si>
  <si>
    <t>0960-3166</t>
  </si>
  <si>
    <t>1573-5184</t>
  </si>
  <si>
    <t>REV FISH BIOL FISHER</t>
  </si>
  <si>
    <t>Rev. Fish. Biol. Fish.</t>
  </si>
  <si>
    <t>10.1007/s11160-023-09760-z</t>
  </si>
  <si>
    <t>G9QB4</t>
  </si>
  <si>
    <t>WOS:000941882200001</t>
  </si>
  <si>
    <t>Nie, YF; Li, CK; Vancoppenolle, M; Cheng, B; Dias, FB; Lv, XQ; Uotila, P</t>
  </si>
  <si>
    <t>Nie, Yafei; Li, Chengkun; Vancoppenolle, Martin; Cheng, Bin; Dias, Fabio Boeira; Lv, Xianqing; Uotila, Petteri</t>
  </si>
  <si>
    <t>Sensitivity of NEMO4.0-SI3 model parameters on sea ice budgets in the Southern Ocean</t>
  </si>
  <si>
    <t>GEOSCIENTIFIC MODEL DEVELOPMENT</t>
  </si>
  <si>
    <t>THICKNESS DISTRIBUTION; UNCERTAINTY QUANTIFICATION; THERMODYNAMIC MODEL; SALINITY; EXTENT; TREND; SNOW; DISCRETIZATION; SIMULATIONS; VARIABILITY</t>
  </si>
  <si>
    <t>The seasonally dependent Antarctic sea ice concentration (SIC) budget is well observed and synthesizes many important air-sea-ice interaction processes. However, it is rarely well simulated in Earth system models, and means to tune the former are not well understood. In this study, we investigate the sensitivity of 18 key NEMO4.0-SI3 (Nucleus for European Modelling of the Ocean coupled with the Sea Ice Modelling Integrated Initiative) model parameters on modelled SIC and sea ice volume (SIV) budgets in the Southern Ocean based on a total of 449 model runs and two global sensitivity analysis methods. We found that the simulated SIC and SIV budgets are sensitive to ice strength, the thermal conductivity of snow, the number of ice categories, two parameters related to lateral melting, ice-ocean drag coefficient and air-ice drag coefficient. An optimized ice-ocean drag coefficient and air-ice drag coefficient can reduce the root-mean-square error between simulated and observed SIC budgets by about 10 %. This implies that a more accurate calculation of ice velocity is the key to optimizing the SIC budget simulation, which is unlikely to be achieved perfectly by simply tuning the model parameters in the presence of biased atmospheric forcing. Nevertheless, 10 combinations of NEMO4.0-SI3 model parameters were recommended, as they could yield better sea ice extent and SIC budgets than when using the standard values.</t>
  </si>
  <si>
    <t>[Nie, Yafei; Lv, Xianqing] Ocean Univ China, Frontier Sci Ctr Deep Ocean Multispheres &amp; Earth S, Qingdao, Peoples R China; [Nie, Yafei; Lv, Xianqing] Ocean Univ China, Phys Oceanog Lab, Qingdao, Peoples R China; [Nie, Yafei; Dias, Fabio Boeira; Uotila, Petteri] Univ Helsinki, Inst Atmospher &amp; Earth Syst Res INAR, Fac Sci, Helsinki, Finland; [Li, Chengkun] Univ Helsinki, Dept Comp Sci, Helsinki, Finland; [Vancoppenolle, Martin] Sorbonne Univ, Lab Oceanog &amp; Climat, CNRS IRD MNHN, F-75252 Paris, France; [Cheng, Bin] Finnish Meteorol Inst, Helsinki, Finland; [Lv, Xianqing] Qingdao Natl Lab Marine Sci &amp; Technol, Qingdao, Peoples R China</t>
  </si>
  <si>
    <t>Ocean University of China; Ocean University of China; University of Helsinki; University of Helsinki; Institut de Recherche pour le Developpement (IRD); Museum National d'Histoire Naturelle (MNHN); Sorbonne Universite; Finnish Meteorological Institute; Laoshan Laboratory</t>
  </si>
  <si>
    <t>Lv, XQ (corresponding author), Ocean Univ China, Frontier Sci Ctr Deep Ocean Multispheres &amp; Earth S, Qingdao, Peoples R China.;Lv, XQ (corresponding author), Ocean Univ China, Phys Oceanog Lab, Qingdao, Peoples R China.;Uotila, P (corresponding author), Univ Helsinki, Inst Atmospher &amp; Earth Syst Res INAR, Fac Sci, Helsinki, Finland.;Lv, XQ (corresponding author), Qingdao Natl Lab Marine Sci &amp; Technol, Qingdao, Peoples R China.</t>
  </si>
  <si>
    <t>xqinglv@ouc.edu.cn; petteri.uotila@helsinki.fi</t>
  </si>
  <si>
    <t>Vancoppenolle, Martin/AAA-7711-2022; Cheng, Bin/D-4354-2013; Uotila, Petteri/A-1703-2012</t>
  </si>
  <si>
    <t>Vancoppenolle, Martin/0000-0002-7573-8582; Cheng, Bin/0000-0001-8156-8412; Nie, Yafei/0009-0002-3077-4579; Boeira Dias, Fabio/0000-0002-2965-2120; Uotila, Petteri/0000-0002-2939-7561</t>
  </si>
  <si>
    <t>1991-959X</t>
  </si>
  <si>
    <t>1991-9603</t>
  </si>
  <si>
    <t>GEOSCI MODEL DEV</t>
  </si>
  <si>
    <t>Geosci. Model Dev.</t>
  </si>
  <si>
    <t>10.5194/gmd-16-1395-2023</t>
  </si>
  <si>
    <t>9M5GX</t>
  </si>
  <si>
    <t>WOS:000942259100001</t>
  </si>
  <si>
    <t>Han, XL; Gao, H; Lai, HY; Zhu, WM; Wang, Y</t>
  </si>
  <si>
    <t>Han, Xiaoling; Gao, Hai; Lai, Huanyan; Zhu, Weiming; Wang, Yi</t>
  </si>
  <si>
    <t>Anti-Aβ42 Aggregative Polyketides from the Antarctic Psychrophilic Fungus Pseudogymnoascus sp. OUCMDZ-3578</t>
  </si>
  <si>
    <t>JOURNAL OF NATURAL PRODUCTS</t>
  </si>
  <si>
    <t>ALZHEIMERS-DISEASE; FLAVONOIDS; BINDING</t>
  </si>
  <si>
    <t>Seven new polyketides, diphenyl ketone (1), diphenyl ketone glycosides (2-4), diphenyl ketone-diphenyl ether dimer (6), and anthraquinone-diphenyl ketone dimers (7 and 8), together with compound 5, were isolated from the psychrophilic fungus Pseudogymnoascus sp. OUCMDZ-3578 fermented at 16 degrees C and identified by spectroscopic analysis. The absolute configurations of 2-4 were determined by acid hydrolysis and 1-phenyl-3-methyl-5-pyrazolone precolumn derivatization. The configuration of 5 was first determined by X-ray diffraction analysis. Compounds 6 and 8 showed the highest activity against amyloid beta (AP42) aggregation with half-maximal inhibitory concentrations (IC50) of 0.10 and 0.18 mu M, respectively. They also showed strong abilities to chelate with metal ions, especially iron, were sensitive to AP42 aggregation induced by metal ions, and displayed depolymerizing activity. Compounds 6 and 8 show potential as leads for the treatment of Alzheimer's disease to prevent AP42 aggregation.</t>
  </si>
  <si>
    <t>[Han, Xiaoling; Gao, Hai; Lai, Huanyan; Zhu, Weiming; Wang, Yi] Ocean Univ China, Sch Med &amp; Pharm, Qingdao 266003, Peoples R China; [Zhu, Weiming; Wang, Yi] Qingdao Natl Lab Marine Sci &amp; Technol, Key Lab Marine Drugs &amp; Bioprod, Qingdao 266237, Peoples R China</t>
  </si>
  <si>
    <t>Zhu, WM; Wang, Y (corresponding author), Ocean Univ China, Sch Med &amp; Pharm, Qingdao 266003, Peoples R China.;Zhu, WM; Wang, Y (corresponding author), Qingdao Natl Lab Marine Sci &amp; Technol, Key Lab Marine Drugs &amp; Bioprod, Qingdao 266237, Peoples R China.</t>
  </si>
  <si>
    <t>weimingzhu@ouc.edu.cn; wangyi0213@ouc.edu.cn</t>
  </si>
  <si>
    <t>National Natural Science Foundation of China [41876172, 81973198, U1906213, 82111540166]</t>
  </si>
  <si>
    <t>ACKNOWLEDGMENTS This work was supported by the National Natural Science Foundation of China (Grant Nos. 41876172, 81973198, U1906213, and 82111540166) . We thank Gabrielle David, Ph.D., from Liwen Bianji (Edanz) ( www.liwenbianji.cn/) for editing the English text of a draft of this manuscript.</t>
  </si>
  <si>
    <t>0163-3864</t>
  </si>
  <si>
    <t>1520-6025</t>
  </si>
  <si>
    <t>J NAT PROD</t>
  </si>
  <si>
    <t>J. Nat. Prod.</t>
  </si>
  <si>
    <t>10.1021/acs.jnatprod.2c01101</t>
  </si>
  <si>
    <t>Plant Sciences; Chemistry, Medicinal; Pharmacology &amp; Pharmacy</t>
  </si>
  <si>
    <t>Plant Sciences; Pharmacology &amp; Pharmacy</t>
  </si>
  <si>
    <t>F2LV4</t>
  </si>
  <si>
    <t>WOS:000943291600001</t>
  </si>
  <si>
    <t>Fang, L; Kim, M</t>
  </si>
  <si>
    <t>Fang, Ling; Kim, Minkyoung</t>
  </si>
  <si>
    <t>Radiocarbon Constraints on Carbon Release From the Antarctic Ice Sheet Into the Amundsen Sea Embayment</t>
  </si>
  <si>
    <t>radiocarbon; melting ice; Antarctica; organic carbon fluxes</t>
  </si>
  <si>
    <t>UNIVERSITY-OF-CALIFORNIA; SINKING ORGANIC-MATTER; WEST ANTARCTICA; PARTICLE-FLUX; GLACIAL MELTWATER; THWAITES GLACIER; SHELF; GREENLAND; OCEAN; PHYTOPLANKTON</t>
  </si>
  <si>
    <t>The Amundsen Sea Embayment in West Antarctica is experiencing rapid ice mass loss, resulting in biogeochemical changes via altered nutrient and organic matter supply. However, organic carbon released from melting ice has not yet been accurately quantified. In this paper, we have integrated new dissolved organic carbon (DOC) data obtained close to the melting Dotson Ice Shelf (DIS) with published radiocarbon (Delta C-14) data on sinking and suspended particulate organic carbon (POC), sedimentary OC, DOC and dissolved inorganic carbon to quantify the effect of ice melt to the carbon cycle. Elevated DOC concentrations in deep water near the DIS indicate the transport of carbon sources from the ice shelf to the water column at a rate of 4.6 +/- 2.0 x 10(10) g C yr(-1). Furthermore, Delta C-14-DOC measurements suggest there is a possible dark chemoautotrophic production under the influence of meltwater input. The vertical profile of Delta C-14 in the sedimentary OC from the Sea Ice Zone and the edge of the DIS demonstrates the presence of aged organic carbon sources during warm episodes at similar to 11.5 and 15.9 ka BP. Our study indicates that deep water is not only affected by OC discharge from meltwater but also by biological processes due to altered nutrient inputs. Limited data hampers a precise assessment of the influence of meltwater on the carbon cycle. Further sampling in front of the DIS will be beneficial to enhance our understanding of the role of Antarctic Ice Sheet melting in the downstream ecosystem. Plain Language Summary The Amundsen Sea, in West Antarctica, is experiencing rapid ice melting because of a warming climate. As found in previous studies conducted in these seasonally ice-free areas, nutrients released from melting ice sheets and upwelled by buoyant melt water stimulate surface primary production, which in return increases the surface uptake of CO2 in these regions. However, the direct release of organic carbon from melting ice has not been accurately quantified. To address this issue, we conducted radiocarbon analysis of dissolved organic carbon in water samples collected near the melting ice shelf in the Amundsen Sea. Available radiocarbon results from sedimentary organic carbon and sinking POC demonstrate that a warming climate may trigger the release of aged organic carbon from subglacial sediments. Our finding indicates the deep water in the regions is going through a biological process under the influence of meltwater input. Further sampling will be needed for the investigation of the role of meltwater in downstream ecosystems.</t>
  </si>
  <si>
    <t>[Fang, Ling] Northwest Univ, Urban &amp; Environm Sci Dept, Shaanxi Key Lab Earth Surface Syst &amp; Environm Carr, Xian, Peoples R China; [Kim, Minkyoung] Kyungpook Natl Univ, Sch Earth Syst Sci, Dept Oceanog, Daegu, South Korea</t>
  </si>
  <si>
    <t>Northwest University Xi'an; Kyungpook National University</t>
  </si>
  <si>
    <t>Kim, M (corresponding author), Kyungpook Natl Univ, Sch Earth Syst Sci, Dept Oceanog, Daegu, South Korea.</t>
  </si>
  <si>
    <t>minkyoung@knu.ac.kr</t>
  </si>
  <si>
    <t>Kim, Minkyoung/0000-0003-2308-2814; Fang, Ling/0000-0002-7962-8145</t>
  </si>
  <si>
    <t>National Research Foundation of Korea (NRF) - Korea government (MSIT) [2022R1C1C1002824]; KOPRI grant - Ministry of Oceans and Fisheries [KOPRI PE23900]; National Natural Science Foundation of China [41971088]; Shaanxi Nature Science Research Fund [2022JQ-246]</t>
  </si>
  <si>
    <t>National Research Foundation of Korea (NRF) - Korea government (MSIT)(National Research Foundation of KoreaMinistry of Science, ICT &amp; Future Planning, Republic of KoreaMinistry of Science &amp; ICT (MSIT), Republic of Korea); KOPRI grant - Ministry of Oceans and Fisheries; National Natural Science Foundation of China(National Natural Science Foundation of China (NSFC)); Shaanxi Nature Science Research Fund</t>
  </si>
  <si>
    <t>The authors wish to thank Jeomshik Hwang for his inspiring contributions, support, and constructive reviews, as well as KOPRI for supporting this research in the Amundsen Sea. MK was supported by the National Research Foundation of Korea (NRF) grant funded by the Korea government (MSIT) (No. 2022R1C1C1002824), and by the KOPRI grant funded by the Ministry of Oceans and Fisheries (KOPRI PE23900), and FL was supported by the National Natural Science Foundation of China (Grant 41971088) and Shaanxi Nature Science Research Fund (Grant 2022JQ-246). Lastly, the authors are thankful for all reviews, which greatly improved the quality of the manuscript.</t>
  </si>
  <si>
    <t>e2022JG007053</t>
  </si>
  <si>
    <t>10.1029/2022JG007053</t>
  </si>
  <si>
    <t>E1YU5</t>
  </si>
  <si>
    <t>WOS:000973582400001</t>
  </si>
  <si>
    <t>Yu, JC; Zhu, GP; Wang, YS; Wang, YH; Han, LL; Liu, ZJ; Zhang, X; Xu, YP</t>
  </si>
  <si>
    <t>Yu, Jianchun; Zhu, Guoping; Wang, Yasong; Wang, Yinghui; Han, Lulu; Liu, Zijun; Zhang, Xi; Xu, Yunping</t>
  </si>
  <si>
    <t>Sea Ice Melting Drives Substantial Change in Dissolved Organic Matter in Surface Water off Prydz Bay, East Antarctic</t>
  </si>
  <si>
    <t>dissolved organic matter; climate change; sea ice melting; CDOM; FDOM</t>
  </si>
  <si>
    <t>RESOLUTION MASS DATA; AQUATIC ENVIRONMENTS; MOLECULAR-WEIGHT; ROSS SEA; FLUORESCENCE; MARINE; CARBON; DYNAMICS; PHYTOPLANKTON; DOM</t>
  </si>
  <si>
    <t>Polar ecosystems are vulnerable to climate warming and are characterized by a rapid decline in sea ice. In this study, we collected surface water samples from the Southern Ocean off Prydz Bay during and after sea ice melting season (SIM). After removing the particles using 0.7-mu m pore size filters, we measured the concentration of dissolved organic carbon (DOC) and the composition of dissolved organic matter (DOM) by using the total organic carbon analyzer, optical spectrometry, and high-resolution mass spectrometry. The mean DOC concentration during the SIM is 1.3-fold higher than that during the post-SIM, whereas the a(350) value, an indicator of chromophoric DOM, showed the opposite trend by a factor of 2.8. Five components, including three humic-like and two protein-like substances were identified by fluorescence excitation emission matrices-parallel factor analysis, in which protein-like biolabile components were enriched during the SIM and humic-like refractory components were enriched during the post-SIM. The DOM in the water samples from the SIM had higher proportions of polycyclic aromatics, polyphenols, and compounds within molecular lability boundary, whereas the DOM from the post-SIM had a higher proportion of highly unsaturated compounds. Statistical analysis revealed significant correlations between DOM and sea-ice melting/associated environmental factors (e.g., water temperature, salinity, and microbial activity). These collective results suggest that sea ice melting is an important factor driving a transition from more labile to more refractory DOM in the surface water off Prydz Bay, which may have a profound impact on the marine ecosystem and carbon cycle in the polar ocean. Plain Language Summary The polar ocean is sensitive to climate warming and characterized by rapid sea ice decline. It is important to understand how sea-ice melting influences the marine carbon cycle in the Southern Ocean. In this study, we collected 73 surface water samples from the Southern Ocean close to Prydz Bay, East Antarctica, during the two cruises that corresponded to the sea ice melting season and the post-sea ice melting season. While analyzing the total dissolved organic carbon (DOC) concentration, optical properties, and molecular formulas, we found substantial differences in the concentration and composition of dissolved organic matter (DOM) between the two cruises. Water samples from the sea ice melting season had higher bulk DOC concentrations, more protein-like components, and more compounds within molecular lability boundary. In contrast, water samples from the post-sea ice melting season had lower DOC concentrations, more humic-like components, and higher proportions of highly unsaturated compounds. There were significant correlations between the DOM parameters and sea ice melting/associated environmental changes (e.g., water temperature, salinity, and microbial activity). These results suggest that rapid sea-ice changes in the Southern Ocean can cause substantial changes in the concentration and composition of DOM in surface water.</t>
  </si>
  <si>
    <t>[Yu, Jianchun; Zhu, Guoping; Wang, Yasong; Wang, Yinghui; Han, Lulu; Zhang, Xi; Xu, Yunping] Shanghai Ocean Univ, Coll Marine Sci, Ctr Polar Res, Shanghai, Peoples R China; [Yu, Jianchun; Zhu, Guoping; Wang, Yasong; Liu, Zijun; Xu, Yunping] Shanghai Ocean Univ, Key Lab Sustainable Exploitat Ocean Fisheries Reso, Minist Educ, Shanghai, Peoples R China</t>
  </si>
  <si>
    <t>Shanghai Ocean University; Shanghai Ocean University</t>
  </si>
  <si>
    <t>Zhu, GP; Xu, YP (corresponding author), Shanghai Ocean Univ, Coll Marine Sci, Ctr Polar Res, Shanghai, Peoples R China.;Zhu, GP; Xu, YP (corresponding author), Shanghai Ocean Univ, Key Lab Sustainable Exploitat Ocean Fisheries Reso, Minist Educ, Shanghai, Peoples R China.</t>
  </si>
  <si>
    <t>gpzhu@shou.edu.cn; ypxu@shou.edu.cn</t>
  </si>
  <si>
    <t>Xu, Yunping/F-8042-2011; Wang, Yinghui/HPD-9730-2023; liu, zijun/HJO-9912-2023</t>
  </si>
  <si>
    <t>Wang, Yinghui/0000-0001-6368-8568; liu, zijun/0009-0003-3614-8103; Xu, Yunping/0000-0001-5693-7239; Zhu, Guoping/0000-0001-6081-7811</t>
  </si>
  <si>
    <t>National Science Foundation of China [41776185]; National Key R&amp;D Program of China [2018YFC1406801]</t>
  </si>
  <si>
    <t>National Science Foundation of China(National Natural Science Foundation of China (NSFC)); National Key R&amp;D Program of China</t>
  </si>
  <si>
    <t>Acknowledgments The authors thank the captain and crew of the fishing vessel Longteng and the observers onboard for sampling during the two cruises. Drs. Zhang Yahe, Shi Quan, and Wang Simin are thanked for FT-ICR MS analyses and data interpretation. Funding was provided by the National Science Foundation of China (Grant 41776185 to G.P.Z.), and the National Key R&amp;D Program of China (Grant 2018YFC1406801 to G.P.Z.).</t>
  </si>
  <si>
    <t>e2023JG007415</t>
  </si>
  <si>
    <t>10.1029/2023JG007415</t>
  </si>
  <si>
    <t>E1ZP2</t>
  </si>
  <si>
    <t>WOS:000973603100001</t>
  </si>
  <si>
    <t>Bergstrom, A; Welch, KA; Gooseff, MN</t>
  </si>
  <si>
    <t>Bergstrom, A.; Welch, K. A.; Gooseff, M. N.</t>
  </si>
  <si>
    <t>Spatial Patterns of Major Ions and Their Relationship to Sediment Concentration in Near Surface Glacier Ice, Taylor Valley Antarctica</t>
  </si>
  <si>
    <t>JOURNAL OF GEOPHYSICAL RESEARCH-EARTH SURFACE</t>
  </si>
  <si>
    <t>MCMURDO DRY VALLEYS; CRYOCONITE HOLES; CANADA GLACIER; AEOLIAN FLUX; ROSS SEA; SNOW; EVOLUTION; STREAMS; LAKE; GEOCHEMISTRY</t>
  </si>
  <si>
    <t>Glaciers form the headwaters of many watersheds and, in arid polar environments, can provide the vast majority of water to downstream systems. Headwater watersheds are critically important for setting the chemistry for downstream systems, yet we know comparatively little about the patterns and processes that generate the geochemical signature of meltwater on glacier surfaces. Here, we focus on glaciers in the McMurdo Dry Valleys of Antarctica, the largest ice-free area on the continent, characterized by alpine glaciers flowing into broad, rocky valleys. We examine patterns from the coast inland, accumulation to ablation zones, laterally across individual glaciers, and through the zone of meltwater generation. We directly compare solutes to sediment concentrations, a major source of dissolved solutes. Our findings agree with previous work that the overall meltwater chemistry of a given glacier is a product of local sediment sources and regional wind patterns: foehn winds moving from the ice sheet to the coast and on-shore sea breezes. Further, these patterns hold across an individual glacier. Finally, we find that the ice chemistry and sediment profiles reflect freeze-thaw and melt processes that occur at depth. This indicates that the transport and weathering of sediment in the ice profile likely has a strong influence on supra- and proglacial stream chemistry. This new understanding strengthens connections between physical and geochemical processes in cold-based polar glacier environments and helps us better understand the processes driving landscape and ecosystem connectivity.</t>
  </si>
  <si>
    <t>[Bergstrom, A.] Boise State Univ, Dept Geosci, Boise, ID 83706 USA; [Welch, K. A.; Gooseff, M. N.] Univ Colorado, Inst Arctic &amp; Alpine Res, Boulder, CO USA; [Gooseff, M. N.] Univ Colorado, Dept Civil Environm &amp; Architectural Engn, Boulder, CO USA</t>
  </si>
  <si>
    <t>Idaho; Boise State University; University of Colorado System; University of Colorado Boulder; University of Colorado System; University of Colorado Boulder</t>
  </si>
  <si>
    <t>Bergstrom, A (corresponding author), Boise State Univ, Dept Geosci, Boise, ID 83706 USA.</t>
  </si>
  <si>
    <t>annabergstrom@boisestate.edu</t>
  </si>
  <si>
    <t>Gooseff, Michael N/N-6087-2015</t>
  </si>
  <si>
    <t>Gooseff, Michael N/0000-0003-4322-8315; Bergstrom, Anna/0000-0002-9684-4018; Welch, Kathleen/0000-0003-1028-3086</t>
  </si>
  <si>
    <t>National Science Foundation [1115245, 1637708]; National Science Foundation Graduate Research Fellowship</t>
  </si>
  <si>
    <t>National Science Foundation(National Science Foundation (NSF)); National Science Foundation Graduate Research Fellowship(National Science Foundation (NSF))</t>
  </si>
  <si>
    <t>The authors would like to acknowledge the civilian contractors and Petroleum Helicopters, Inc. who have supported the US Antarctic Program as well as Forrest McCarthy, Marci Beitch, Michael Finnegan, Joel Singley, Lija Treibergs, and James McClure who helped with data collection and sample processing. The McMurdo LTER has been funded by the National Science Foundation Grants 1115245, and 1637708. Support was also provided by a National Science Foundation Graduate Research Fellowship awarded to Bergstrom. Any opinions, findings, conclusions, or recommendations expressed in the material are those of the authors and do not necessarily reflect the views of the National Science Foundation.</t>
  </si>
  <si>
    <t>2169-9003</t>
  </si>
  <si>
    <t>2169-9011</t>
  </si>
  <si>
    <t>J GEOPHYS RES-EARTH</t>
  </si>
  <si>
    <t>J. Geophys. Res.-Earth Surf.</t>
  </si>
  <si>
    <t>e2022JF006980</t>
  </si>
  <si>
    <t>10.1029/2022JF006980</t>
  </si>
  <si>
    <t>C0FP3</t>
  </si>
  <si>
    <t>WOS:000958784900001</t>
  </si>
  <si>
    <t>Kufner, SK; Wookey, J; Brisbourne, AM; Martín, C; Hudson, TS; Kendall, JM; Smith, AM</t>
  </si>
  <si>
    <t>Kufner, S. -K.; Wookey, J.; Brisbourne, A. M.; Martin, C.; Hudson, T. S.; Kendall, J. M.; Smith, A. M.</t>
  </si>
  <si>
    <t>Strongly Depth-Dependent Ice Fabric in a Fast-Flowing Antarctic Ice Stream Revealed With Icequake Observations</t>
  </si>
  <si>
    <t>ice stream; anisotropy; ice fabric; shear wave splitting; icequakes; Antarctica</t>
  </si>
  <si>
    <t>WEST ANTARCTICA; POLAR ICE; SHEAR; ANISOTROPY; MICROSTRUCTURE; DEFORMATION</t>
  </si>
  <si>
    <t>The crystal orientation fabric of glacier ice impacts its strength and flow. Crystal fabric is therefore an important consideration when modeling ice flow. Here, we show that shear-wave splitting (SWS) measured with glacial microseismicity can be used to invert seismic anisotropy and ice fabric, if represented in a statistical sense. Rutford Ice Stream (RIS) is a fast-flowing Antarctic ice stream, a setting crucial for informing large-scale ice sheet models. We present &gt;200,000 SWS measurements from glacial microseismicity, registered at a 38-station seismic network located similar to 40 km upstream of the grounding line. A representative subset of these data is inverted for ice fabric. Due to the character of SWS, which accumulates along the raypath, we include information on the depth structure from radar measurements. We find that the following three-layer configuration fits the data best: a broad vertical cone fabric near the base of RIS (500 m thick), a thick vertical girdle fabric, orientated perpendicular to flow, in the middle (1,200 m thick), and a tilted cone fabric in the uppermost 400 m. Such a variation of fabric implies a depth-dependent strength profile of the ice with the middle layer being similar to 3.5 times harder to deform along flow than across flow. At the same time, the middle layer is a factor similar to 16 softer to shear than to compression or extension along flow. If such a configuration is representative for fast-flowing ice streams, it would call for a more complex integration of viscosity in ice sheet models.</t>
  </si>
  <si>
    <t>[Kufner, S. -K.; Brisbourne, A. M.; Martin, C.; Smith, A. M.] NERC, British Antarctic Survey, Cambridge, England; [Kufner, S. -K.] Karlsruhe Inst Technol, Geophys Inst, Karlsruhe, Germany; [Wookey, J.] Univ Bristol, Sch Earth Sci, Bristol, Avon, England; [Hudson, T. S.; Kendall, J. M.] Univ Oxford, Dept Earth Sci, Oxford, England</t>
  </si>
  <si>
    <t>UK Research &amp; Innovation (UKRI); Natural Environment Research Council (NERC); NERC British Antarctic Survey; Helmholtz Association; Karlsruhe Institute of Technology; University of Bristol; University of Oxford</t>
  </si>
  <si>
    <t>Kufner, SK (corresponding author), NERC, British Antarctic Survey, Cambridge, England.;Kufner, SK (corresponding author), Karlsruhe Inst Technol, Geophys Inst, Karlsruhe, Germany.</t>
  </si>
  <si>
    <t>sofia-katerina.kufner@kit.edu</t>
  </si>
  <si>
    <t>Hudson, Thomas/IQS-9833-2023; Facility, NERC Geophysical Equipment/G-5260-2010; Kendall, Michael/D-5973-2011; Brisbourne, Alex/E-6198-2013</t>
  </si>
  <si>
    <t>Hudson, Thomas/0000-0003-2944-883X; Kendall, Michael/0000-0002-1486-3945; SMITH, ANDREW/0000-0001-8577-482X; Kufner, Sofia-Katerina/0000-0002-9687-5455; Wookey, James/0000-0002-7403-4380; Brisbourne, Alex/0000-0002-9887-7120</t>
  </si>
  <si>
    <t>NERC AFI [NE/G014159/1, NE/G013187/1]; National Science Foundation's Seismological Facilities for the Advancement of Geoscience (SAGE) Award; [EAR-1851048]; NERC [NE/S010203/1, NE/G014159/1] Funding Source: UKRI</t>
  </si>
  <si>
    <t>NERC AFI(UK Research &amp; Innovation (UKRI)Natural Environment Research Council (NERC)); National Science Foundation's Seismological Facilities for the Advancement of Geoscience (SAGE) Award; ; NERC(UK Research &amp; Innovation (UKRI)Natural Environment Research Council (NERC))</t>
  </si>
  <si>
    <t>This work was funded by NERC AFI award numbers NE/G014159/1 and NE/G013187/1. The authors thank the staff at Rothera Research Station and BAS Logistics for enabling the fieldwork associated with this project and the BEAMISH field team (2018/2019) for acquiring the passive seismic data. Seismic instruments were provided by NERC GEF (Loan 1017), BAS, and the Incorporated Research Institutions for Seismology (IRIS) through the PASSCAL Instrument Center at New Mexico Tech. The facilities of the IRIS Consortium are supported by the National Science Foundation's Seismological Facilities for the Advancement of Geoscience (SAGE) Award under Cooperative Support Agreement EAR-1851048. We thank three anonymous reviewers and the editors for thoughtful comments that significantly improved this manuscript.</t>
  </si>
  <si>
    <t>e2022JF006853</t>
  </si>
  <si>
    <t>10.1029/2022JF006853</t>
  </si>
  <si>
    <t>E1UA9</t>
  </si>
  <si>
    <t>WOS:000973458300001</t>
  </si>
  <si>
    <t>Summers, PT; Elsworth, CW; Dow, CF; Suckale, J</t>
  </si>
  <si>
    <t>Summers, Paul T.; Elsworth, Cooper W.; Dow, Christine F.; Suckale, Jenny</t>
  </si>
  <si>
    <t>Migration of the Shear Margins at Thwaites Glacier: Dependence on Basal Conditions and Testability Against Field Data</t>
  </si>
  <si>
    <t>ANTARCTIC ICE-SHEET; PINE ISLAND GLACIER; MODEL PISM-PIK; WEST ANTARCTICA; MASS-LOSS; SUBGLACIAL DRAINAGE; STREAM-FLOW; PART 1; GREENLAND; DRIVEN</t>
  </si>
  <si>
    <t>Projections of global sea level depend sensitively on whether Thwaites Glacier, Antarctica, will continue to lose ice rapidly. Prior studies have focused primarily on understanding the evolution of ice velocity and whether the reverse-sloping bed at Thwaites Glacier could drive irreversible retreat. However, the overall ice flux to the ocean and the possibility of irreversible retreat depend not only on the ice speed but also on the width of the main ice trunk. Here, we complement prior work by focusing specifically on understanding whether the lateral boundaries of the main ice trunk, termed shear margins, might migrate over time. We hypothesize that the shear margins at Thwaites Glacier will migrate on a decadal timescale in response to continued ice thinning and surface steepening. We test this hypothesis by developing a depth-averaged, thermomechanical free-boundary model that captures the complex topography underneath the glacier and solves for both the ice velocity and for the position of the shear margins. We find that both shear margins are prone to migration in response to ice thinning with basal strength and surface slope steepening determining their relative motion. We construct four end-member cases of basal strength that represent different physical properties governing friction at the glacier bed and present two cases of ice thinning to contrast the effects of surface steepening and ice thinning. We test our model by hindcasting historic data and discuss how data from ongoing field campaigns could further be used to test our model.</t>
  </si>
  <si>
    <t>[Summers, Paul T.; Suckale, Jenny] Stanford Univ, Dept Geophys, Stanford, CA 94305 USA; [Elsworth, Cooper W.] Watershed, San Francisco, CA USA; [Dow, Christine F.] Univ Waterloo, Dept Geog &amp; Environm Management, Waterloo, ON, Canada; [Suckale, Jenny] Stanford Univ, Inst Computat &amp; Math Engn, Stanford, CA USA</t>
  </si>
  <si>
    <t>Stanford University; University of Waterloo; Stanford University</t>
  </si>
  <si>
    <t>Summers, PT (corresponding author), Stanford Univ, Dept Geophys, Stanford, CA 94305 USA.</t>
  </si>
  <si>
    <t>psummers@stanford.edu</t>
  </si>
  <si>
    <t>Dow, Christine/0000-0003-1346-2258; Summers, Paul/0000-0002-8307-6937</t>
  </si>
  <si>
    <t>National Science Foundation [NSF/PLR 1744758, PLR 1739027, ITGC-101]; Achievement Rewards for College Scientists (ARCS) Foundation; Canada Research Chairs Program [CRC 950-231237]</t>
  </si>
  <si>
    <t>National Science Foundation(National Science Foundation (NSF)); Achievement Rewards for College Scientists (ARCS) Foundation; Canada Research Chairs Program(Canada Research Chairs)</t>
  </si>
  <si>
    <t>The authors thank Dustin Schroeder and Eric Dunham for their insightful discussion and guidance in developing this project. Additionally we thank Anna Broome, Eliza Dawson, and Matthew Lees for their support throughout. We greatly appreciate the constructive comments by the editor, Ed Bueler and two anonymous reviewers. This work was funded by the National Science Foundation through the Award NSF/PLR 1744758 and PLR 1739027 (TIME) in association with the International Thwaites Glacier Collaboration (ITGC). This is ITGC contribution no. ITGC-101. P. T. Summers was supported by the Achievement Rewards for College Scientists (ARCS) Foundation. C. F. Dow was supported by Canada Research Chairs Program (CRC 950-231237).</t>
  </si>
  <si>
    <t>e2022JF006958</t>
  </si>
  <si>
    <t>10.1029/2022JF006958</t>
  </si>
  <si>
    <t>A7UI1</t>
  </si>
  <si>
    <t>WOS:000957128500001</t>
  </si>
  <si>
    <t>Case, A; Smith, M; Hunt, K; Brown, J; Fleming, A; Savoca, M; Ososky, J; McGowen, M</t>
  </si>
  <si>
    <t>Case, Allie; Smith, Malia; Hunt, Kathleen; Brown, Janine; Fleming, Alyson; Savoca, Matthew; Ososky, John; McGowen, Michael</t>
  </si>
  <si>
    <t>Relationship of adrenal stress hormones in WWII-era Antarctic blue whales and fin whales</t>
  </si>
  <si>
    <t>INTEGRATIVE AND COMPARATIVE BIOLOGY</t>
  </si>
  <si>
    <t>OXFORD UNIV PRESS INC</t>
  </si>
  <si>
    <t>CARY</t>
  </si>
  <si>
    <t>JOURNALS DEPT, 2001 EVANS RD, CARY, NC 27513 USA</t>
  </si>
  <si>
    <t>1540-7063</t>
  </si>
  <si>
    <t>1557-7023</t>
  </si>
  <si>
    <t>INTEGR COMP BIOL</t>
  </si>
  <si>
    <t>Integr. Comp. Biol.</t>
  </si>
  <si>
    <t>S72</t>
  </si>
  <si>
    <t>I3ZS6</t>
  </si>
  <si>
    <t>WOS:001002201200228</t>
  </si>
  <si>
    <t>Streeter, M; Le-Francois, N; Desvigne, T; Grondin, J; Postlethwait, J; Detrich, HW; Daane, J</t>
  </si>
  <si>
    <t>Streeter, Margaret; Le-Francois, Nathalie; Desvigne, Thomas; Grondin, Jacob; Postlethwait, John; Detrich, H. William; Daane, Jacob</t>
  </si>
  <si>
    <t>Examining the impact of climate change at a critical life history stage using Antarctic fishes</t>
  </si>
  <si>
    <t>NSF [OPP-1955368]</t>
  </si>
  <si>
    <t>Supported by NSF grant OPP-1955368 (JMD, HWD).</t>
  </si>
  <si>
    <t>S446</t>
  </si>
  <si>
    <t>WOS:001002201202318</t>
  </si>
  <si>
    <t>Frieling, J; Bohaty, SM; Cramwinckel, MJ; Gallagher, SJ; Holdgate, GR; Reichgelt, T; Peterse, F; Pross, J; Sluijs, A; Bijl, PK</t>
  </si>
  <si>
    <t>Frieling, J.; Bohaty, S. M.; Cramwinckel, M. J.; Gallagher, S. J.; Holdgate, G. R.; Reichgelt, T.; Peterse, F.; Pross, J.; Sluijs, A.; Bijl, P. K.</t>
  </si>
  <si>
    <t>Revisiting the Geographical Extent of Exceptional Warmth in the Early Paleogene Southern Ocean</t>
  </si>
  <si>
    <t>Paleocene-Eocene Thermal Maximum; temperature reconstruction; multi-proxy; paleoceanography; SW Pacific; Australo-Antarctic Gulf</t>
  </si>
  <si>
    <t>EOCENE THERMAL MAXIMUM; ISOPRENOID TETRAETHER LIPIDS; DIALKYL GLYCEROL TETRAETHERS; SUSPENDED PARTICULATE MATTER; SOUTHWEST PACIFIC-OCEAN; DINOFLAGELLATE CYSTS; MEMBRANE-LIPIDS; METHANE HYDRATE; BIOMARKER PALEOTHERMOMETRY; TEMPERATURE EVOLUTION</t>
  </si>
  <si>
    <t>To assess zonal temperature and biogeographical patterns in the Southern Ocean during the Paleogene, we present new multi-proxy air-and sea-surface temperature data for the latest Paleocene (similar to 57-56 Ma) and the Paleocene-Eocene Thermal Maximum (PETM; similar to 56 Ma) from the northern margin of the Australo-Antarctic Gulf (AAG). The various proxy data sets document the well-known late Paleocene warming and, superimposed, two transient late Paleocene pre-cursor warming events, hundreds of kyr prior to the PETM. Remarkably, temperature reconstructions for the AAG and southwest Pacific during the latest Paleocene, PETM and Early Eocene Climatic Optimum (similar to 53-49 Ma) show similar trends as well as similar absolute temperatures east and west of the closed Tasmanian Gateway. Our data imply that the exceptional warmth as recorded by previous studies for the southwest Pacific extended westward into the AAG. This contrasts with modeling-derived circulation and temperature patterns. We suggest that simulations of ocean circulation underestimate heat transport in the southwest Pacific due to insufficient resolution, not allowing for mesoscale eddy-related heat transport. We argue for a systematic approach to tackle model and proxy biases that may occur in marginal marine settings and non-analog high-latitude climates to assess the temperature reconstructions.</t>
  </si>
  <si>
    <t>[Frieling, J.; Cramwinckel, M. J.; Peterse, F.; Sluijs, A.; Bijl, P. K.] Univ Utrecht, Fac Geosci, Dept Earth Sci, Utrecht, Netherlands; [Frieling, J.] Univ Oxford, Dept Earth Sci, Oxford, England; [Bohaty, S. M.] Heidelberg Univ, Inst Earth Sci, Heidelberg, Germany; [Gallagher, S. J.] Univ Melbourne, Sch Geog Earth &amp; Atmospher Sci, Melbourne, Vic, Australia; [Holdgate, G. R.] Geotrack Int, Brunswick West, Vic, Australia; [Reichgelt, T.] Univ Connecticut, Dept Geosci, Storrs, CT USA</t>
  </si>
  <si>
    <t>Utrecht University; University of Oxford; Ruprecht Karls University Heidelberg; Melbourne Genomics Health Alliance; University of Melbourne; University of Connecticut</t>
  </si>
  <si>
    <t>Frieling, J; Bijl, PK (corresponding author), Univ Utrecht, Fac Geosci, Dept Earth Sci, Utrecht, Netherlands.;Frieling, J (corresponding author), Univ Oxford, Dept Earth Sci, Oxford, England.</t>
  </si>
  <si>
    <t>joost.frieling@earth.ox.ac.uk; p.k.bijl@uu.nl</t>
  </si>
  <si>
    <t>Peterse, Francien/AAY-1473-2021; Gallagher, Stephen/AFL-9448-2022</t>
  </si>
  <si>
    <t>Peterse, Francien/0000-0001-8781-2826; Gallagher, Stephen/0000-0002-5593-2740; Bijl, Peter/0000-0002-1710-4012; Reichgelt, Tammo/0000-0001-8652-5489; Frieling, Joost/0000-0002-5374-1625</t>
  </si>
  <si>
    <t>Australian Integrated Ocean Drilling Program office; German Research Foundation (DFG) [PR 651/24-1]; European Research Council [771497]; NWO Vernieuwingsimpuls Veni [863.13.002]</t>
  </si>
  <si>
    <t>Australian Integrated Ocean Drilling Program office; German Research Foundation (DFG)(German Research Foundation (DFG)); European Research Council(European Research Council (ERC)); NWO Vernieuwingsimpuls Veni</t>
  </si>
  <si>
    <t>We thank G. Dammers, E.P. Huurdeman, K. Nierop, C. Rem, and A. van Leeuwen for assistance in palynological processing and organic geochemical analyses. E. Hopmans is thanked for assistance and discussions on UHPLC-MS data. E.P. Huurdeman is acknowledged for work on the Latrobe-1 core as part of a Master's thesis. SJG was supported by the Australian Integrated Ocean Drilling Program office. JP acknowledges support by the German Research Foundation (DFG; Grant PR 651/24-1). AS thanks the European Research Council for consolidator Grant 771497. PKB acknowledges support from NWO Vernieuwingsimpuls Veni Grant 863.13.002. We are thankful for constructive reviews, suggestions and comments from the associate editor, an anonymous reviewer and Kate Littler that helped improve this manuscript. References used in Supporting information files: (De Jonge, Hopmans, et al., 2014; Frieling et al., 2018; Huurdeman et al., 2021; Kim et al., 2010; Naafs, Inglis, et al., 2017; Naafs, McCormick, et al., 2018; Sluijs et al., 2011, 2020; Tierney &amp; Tingley, 2015; Zonneveld et al., 2008, 2019).</t>
  </si>
  <si>
    <t>e2022PA004529</t>
  </si>
  <si>
    <t>10.1029/2022PA004529</t>
  </si>
  <si>
    <t>I1EL9</t>
  </si>
  <si>
    <t>WOS:001000274600005</t>
  </si>
  <si>
    <t>Stevenard, N; Govin, A; Kissel, C; Van Toer, A</t>
  </si>
  <si>
    <t>Stevenard, N.; Govin, A.; Kissel, C.; Van Toer, A.</t>
  </si>
  <si>
    <t>Correction of the IRD Influence for Paleo-Current Flow Speed Reconstructions in Hemipelagic Sediments</t>
  </si>
  <si>
    <t>sortable silt; IRD correction; Zr; Rb grain-size ratio; bottom current strength</t>
  </si>
  <si>
    <t>GRAIN-SIZE; SORTABLE SILT; CALIBRATION; TRANSPORT; STRENGTH; OCEAN; WATER; SEA</t>
  </si>
  <si>
    <t>Reconstructions of past changes in deep-sea current intensities are needed to understand ocean-climate interactions in the past. The mean size of the sortable silt fraction (10-63 mu m, (SS) over bar) is one of the most used proxies in this domain. However, in polar and subpolar environments under relatively low flow speed conditions, the presence of Ice-Rafted Detritus (IRD) may alter the (SS) over bar record and thus bias the interpretation of paleo-current strength changes. In this paper, we examine the influence of IRD on the (SS) over bar record of three sedimentary cores from the subpolar North Atlantic and the Antarctic margin. The influence of unsorted IRD on (SS) over bar records is clearly established. To remove this IRD influence on grain-size distributions (GSDs), we propose a new method based on End-Member Analysis approach, and for which a MATLAB script is made available. This method characterizes the GSD of the unsorted IRD input, allowing it to be isolated and discarded, and the current sensitive (SS) over bar variability to be robustly identified. The method therefore allows the recalculation of a modified sediment GSD free of unsorted IRD influence and the construction of modified (SS) over bar and sortable silt percentage (the % of the 10-63 mu m in the total &lt;63 mu m fraction) records. The application of the method to the three studied cores shows that (a) the unsorted IRD component is correctly removed from the grain-size signal and (b) the new &lt;(SS)over bar&gt; record is consistent with the XRF-based ln(Zr/Rb) grain-size proxy.</t>
  </si>
  <si>
    <t>[Stevenard, N.; Govin, A.; Kissel, C.; Van Toer, A.] Univ Paris Saclay, Lab Sci Climat &amp; Environm, LSCE, IPSL,CEA,CNRS,UVSQ, Gif Sur Yvette, France</t>
  </si>
  <si>
    <t>Universite Paris Saclay; Universite Paris Cite; CEA; Centre National de la Recherche Scientifique (CNRS)</t>
  </si>
  <si>
    <t>Stevenard, N (corresponding author), Univ Paris Saclay, Lab Sci Climat &amp; Environm, LSCE, IPSL,CEA,CNRS,UVSQ, Gif Sur Yvette, France.</t>
  </si>
  <si>
    <t>nathan.stevenard@lsce.ipsl.fr</t>
  </si>
  <si>
    <t>Govin, Aline/E-6354-2013</t>
  </si>
  <si>
    <t>Govin, Aline/0000-0001-8512-5571; Stevenard, Nathan/0000-0002-1838-9291</t>
  </si>
  <si>
    <t>Commissariat a l'Energie Atomique et aux Energies Alternatives (CEA); ANR [ANR-18-BELM-0001-06]; CEA; Centre National de la Recherche Scientifique (CNRS); French National program LEFE (Les Enveloppes Fluides et l'Environnement), under the project DECORATING (Dynamique des principaux courants profonds de l'Atlantique lors des periodes chaudes du passe: etude des interglaciaires des derniers); Agence Nationale de la Recherche (ANR) [ANR-18-BELM-0001] Funding Source: Agence Nationale de la Recherche (ANR)</t>
  </si>
  <si>
    <t>Commissariat a l'Energie Atomique et aux Energies Alternatives (CEA)(French Atomic Energy Commission); ANR(Agence Nationale de la Recherche (ANR)); CEA(French Atomic Energy Commission); Centre National de la Recherche Scientifique (CNRS)(Centre National de la Recherche Scientifique (CNRS)); French National program LEFE (Les Enveloppes Fluides et l'Environnement), under the project DECORATING (Dynamique des principaux courants profonds de l'Atlantique lors des periodes chaudes du passe: etude des interglaciaires des derniers); Agence Nationale de la Recherche (ANR)(Agence Nationale de la Recherche (ANR))</t>
  </si>
  <si>
    <t>We are grateful to the chief scientist (C. Laj) and the crew of the R.V. Marion Dufresne for collecting cores during the P.I.C.A.S.S.O cruise. We thank G. Maillet, M. Mojtahid (LPG-BIAF) and C. Skonieczny (GEOPS) for technical support for grain-size analyses and C. Wandres (LSCE) for technical support for XRF core-scanning. We are grateful to Prof. N. McCave for fruitful exchanges. N.S. acknowledges a PhD grant from the Commissariat a l'Energie Atomique et aux Energies Alternatives (CEA). A.G. acknowledges support from ANR (Grant ANR-18-BELM-0001-06). This work was supported by the CEA, the Centre National de la Recherche Scientifique (CNRS) and by the French National program LEFE (Les Enveloppes Fluides et l'Environnement), under the project DECORATING (Dynamique des principaux courants profonds de l'Atlantique lors des periodes chaudes du passe: etude des interglaciaires des derniers 450 000 ans). We would like to thank the associate editor and three anonymous reviewers for their valuable comments, which helped us to improve the quality of our manuscript.</t>
  </si>
  <si>
    <t>e2022PA004500</t>
  </si>
  <si>
    <t>10.1029/2022PA004500</t>
  </si>
  <si>
    <t>WOS:001000274600007</t>
  </si>
  <si>
    <t>Santos-Andrade, M; Kerr, R; Orselli, IBM; Monteiro, T; Mata, MM; Goyet, C</t>
  </si>
  <si>
    <t>Santos-Andrade, Mauricio; Kerr, Rodrigo; Orselli, Iole B. M.; Monteiro, Thiago; Mata, Mauricio M.; Goyet, Catherine</t>
  </si>
  <si>
    <t>Drivers of Marine CO2-Carbonate Chemistry in the Northern Antarctic Peninsula</t>
  </si>
  <si>
    <t>GLOBAL BIOGEOCHEMICAL CYCLES</t>
  </si>
  <si>
    <t>biogeochemical processes; ocean acidification; El Nino Southern Oscillation; Southern Annular Mode; Bransfield Strait; Southern Ocean</t>
  </si>
  <si>
    <t>WESTERN BRANSFIELD STRAIT; CARBONATE SYSTEM PROPERTIES; DISSOLVED INORGANIC CARBON; GLOBAL MONTHLY CLIMATOLOGY; SOUTHERN-OCEAN; DISSOCIATION-CONSTANTS; ANTHROPOGENIC CARBON; GERLACHE STRAIT; TOTAL ALKALINITY; ATLANTIC SECTOR</t>
  </si>
  <si>
    <t>The Bransfield Strait is a climate change hotspot at the tip of the northern Antarctic Peninsula (NAP). The region is marked by a mixture of relatively warm waters from the Bellingshausen Sea with cold shelf waters from the Weddell Sea. Additionally, its deep central basin (&gt;800 m) preserves seawater properties from the north-western Weddell Sea continental shelf. This study assessed long-term changes in carbonate chemistry in the Bransfield Strait and found that the hydrographic setting (i.e., a mixture between modified-Circumpolar Deep Water with Dense Shelf Water [DSW]) drives temporal variability of carbonate parameters. The western basin has experienced decreases in pH (seawater scale) over the last three decades (1996-2019), varying from -0.003 to -0.017 pH units yr(-1), while O-ar decreased from -0.01 to -0.07 yr(-1) throughout the water column. The central basin was characterized by a high contribution of DSW with high carbon dioxide (CO2) content and the decomposition of organic matter produced and transported into its deep layer. With lower variability for all carbonate system variables, the eastern basin was likely regulated by internal mixing. Overall, the entire strait is almost reaching a CO2-saturated condition, highlighting how sensitive subpolar regions are to the effects of human-induced climate change.</t>
  </si>
  <si>
    <t>[Santos-Andrade, Mauricio; Kerr, Rodrigo; Orselli, Iole B. M.; Monteiro, Thiago; Mata, Mauricio M.] Univ Fed Rio Grande FURG, Lab Estudos Oceanos &amp; Clima, Inst Oceanog, Rio Grande, Brazil; [Santos-Andrade, Mauricio; Kerr, Rodrigo; Orselli, Iole B. M.; Monteiro, Thiago; Mata, Mauricio M.] Univ Fed Rio Grande FURG, Programa Posgrad Oceanol, Inst Oceanog, Rio Grande, Brazil; [Goyet, Catherine] Univ Perpignan, ESPACE DEV, Via Domitia, Perpignan, France; [Goyet, Catherine] Univ Perpignan, ESPACE DEV UMR, IRD, Via Domitia, Montpellier, France</t>
  </si>
  <si>
    <t>Universidade Federal do Rio Grande; Universidade Federal do Rio Grande; Universite Perpignan Via Domitia; Universite Perpignan Via Domitia; Institut de Recherche pour le Developpement (IRD)</t>
  </si>
  <si>
    <t>Santos-Andrade, M; Kerr, R (corresponding author), Univ Fed Rio Grande FURG, Lab Estudos Oceanos &amp; Clima, Inst Oceanog, Rio Grande, Brazil.;Santos-Andrade, M; Kerr, R (corresponding author), Univ Fed Rio Grande FURG, Programa Posgrad Oceanol, Inst Oceanog, Rio Grande, Brazil.</t>
  </si>
  <si>
    <t>mauriciosa@furg.br; rodrigokerr@furg.br</t>
  </si>
  <si>
    <t>Orselli, Iole/AAP-1267-2021; Kerr, Rodrigo/I-2494-2012; Monteiro, Thiago/AAJ-7902-2020; Santos-Andrade, Mauricio/ABH-3021-2021; Mata, Mauricio/H-4605-2011</t>
  </si>
  <si>
    <t>Kerr, Rodrigo/0000-0002-2632-3137; Monteiro, Thiago/0000-0001-7643-0646; Santos-Andrade, Mauricio/0000-0002-2455-8637; Mata, Mauricio/0000-0002-9028-8284; Orselli, Iole/0000-0003-2991-292X; Goyet, Catherine/0000-0002-1001-4399</t>
  </si>
  <si>
    <t>Brazilian High Latitude Oceanography Group (GOAL) within the Brazilian Antarctic Program (PROANTAR) - Brazilian Ministry of the Environment (MMA); Brazilian Ministry of Science, Technology, and Innovation (MCTI); Council for Research and Scientific Development of Brazil (CNPq) [556848/2009-8, 565040/2010-3, 405869/2013-4]; Interministerial Secretariat for Sea Resources (SECIRM); National Institute of Science and Technology of the Cryosphere (INCT CRIOSFERA); CNPq [407889/2013-2, 442628/2018-8, 442637/2018-7]; Research Support Foundation of the State of Rio Grande do Sul (FAPERGS) [23038.001421/2014-30]; Coordination for the Improvement of Higher Education Personnel (CAPES) through the project CAPES [520189/2006-0]; CAPES; [17/2551-000518-0]; [304937/2018-5]; [306896/2015-0]; [132983/2020-6]; [465680/2014-3]; [573720/2008-8]; [550370/2002-1]</t>
  </si>
  <si>
    <t>Brazilian High Latitude Oceanography Group (GOAL) within the Brazilian Antarctic Program (PROANTAR) - Brazilian Ministry of the Environment (MMA); Brazilian Ministry of Science, Technology, and Innovation (MCTI); Council for Research and Scientific Development of Brazil (CNPq)(Conselho Nacional de Desenvolvimento Cientifico e Tecnologico (CNPQ)Fundacao de Apoio a Pesquisa do Distrito Federal (FAPDF)); Interministerial Secretariat for Sea Resources (SECIRM); National Institute of Science and Technology of the Cryosphere (INCT CRIOSFERA); CNPq(Conselho Nacional de Desenvolvimento Cientifico e Tecnologico (CNPQ)); Research Support Foundation of the State of Rio Grande do Sul (FAPERGS)(Fundacao de Amparo a Ciencia e Tecnologia do Estado do Rio Grande do Sul (FAPERGS)); Coordination for the Improvement of Higher Education Personnel (CAPES) through the project CAPES(Coordenacao de Aperfeicoamento de Pessoal de Nivel Superior (CAPES)); CAPES(Coordenacao de Aperfeicoamento de Pessoal de Nivel Superior (CAPES)); ; ; ; ; ; ;</t>
  </si>
  <si>
    <t>This study is part of the activities of the Brazilian High Latitude Oceanography Group (GOAL) within the Brazilian Antarctic Program (PROANTAR). GOAL has been funded by and/or has received logistical support from the Brazilian Ministry of the Environment (MMA); the Brazilian Ministry of Science, Technology, and Innovation (MCTI); the Council for Research and Scientific Development of Brazil (CNPq); the Brazilian Navy; the Interministerial Secretariat for Sea Resources (SECIRM); the National Institute of Science and Technology of the Cryosphere (INCT CRIOSFERA; CNPq Grant 573720/2008-8 and 465680/2014-3); and the Research Support Foundation of the State of Rio Grande do Sul (FAPERGS Grant 17/2551-000518-0). This study was conducted within the activities of GOAL projects (CNPq Grant 550370/2002-1, 520189/2006-0, 556848/2009-8, 565040/2010-3, 405869/2013-4, 407889/2013-2, 442628/2018-8, and 442637/2018-7). Financial support was also received from the Coordination for the Improvement of Higher Education Personnel (CAPES) through the project CAPES Ciencias do Mar (Grant 23038.001421/2014-30). CAPES also provided free access to many relevant journals through the portal Periodicos CAPES and the activities of the Graduate Program in Oceanology. Rodrigo Kerr and Mauricio M. Mata are granted with researcher fellowships from CNPq Grant 304937/2018-5 and 306896/2015-0, respectively. Mauricio Santos-Andrade acknowledges financial support from the CNPq scholarship Grant 132983/2020-6. The authors thank the officers and crew of the polar vessels Ary Rongel and Almirante Maximiano of the Brazilian Navy, and several scientists and technicians participating in the cruises, for their valuable help during data sampling and data processing. We thank all scientists and research groups for making their data available. All data sets used and their respective websites are indicated in the manuscript. We are grateful for the constructive comments provided by Elizabeth Jones, the Editors, and the anonymous reviewer, who helped to substantially improve the manuscript.</t>
  </si>
  <si>
    <t>0886-6236</t>
  </si>
  <si>
    <t>1944-9224</t>
  </si>
  <si>
    <t>GLOBAL BIOGEOCHEM CY</t>
  </si>
  <si>
    <t>Glob. Biogeochem. Cycle</t>
  </si>
  <si>
    <t>e2022GB007518</t>
  </si>
  <si>
    <t>10.1029/2022GB007518</t>
  </si>
  <si>
    <t>E1YS9</t>
  </si>
  <si>
    <t>WOS:000973580800001</t>
  </si>
  <si>
    <t>Kumar, S; Mandal, S; Pallamraju, D</t>
  </si>
  <si>
    <t>Kumar, Sunil; Mandal, Subir; Pallamraju, Duggirala</t>
  </si>
  <si>
    <t>Characterization of Gravity Waves in Three Dimensions in the Daytime Thermosphere Using Combined Optical and Radio Measurements and Estimation of Horizontal Neutral Winds</t>
  </si>
  <si>
    <t>gravity waves; daytime thermospheric winds; OI 630; 0 nm dayglow; high resolution spectrographs; digisonde measurements; ionosphere thermosphere interactions</t>
  </si>
  <si>
    <t>TRAVELING IONOSPHERIC DISTURBANCES; ATMOSPHERE RADAR OBSERVATIONS; SHEAR EXCITATION; MIDDLE; PROPAGATION; DYNAMICS; INTERFEROMETER; DISSIPATION; GENERATION; EMISSION</t>
  </si>
  <si>
    <t>Gravity waves, which are considered omnipresent in the Earth's upper atmosphere, are generally investigated by monitoring the fluctuations in different atmospheric parameters. Here, we report the propagation characteristics of thermospheric gravity waves both in horizontal and vertical directions obtained using collocated optical and radio measurements from Ahmedabad, India for February 2021. The measurements of OI 630.0 nm dayglow emission rates over zenith are used to derive time periods of gravity waves. Wave number analyses of variations in the emission over a large field-of-view have been performed to derive gravity wave scale sizes and propagation characteristics in the horizontal direction. Time periods, horizontal scale sizes, and propagation directions are found to be in the range of 31-125 min, 78-243 km, and 203 degrees-248 degrees from east, respectively. Vertical wavelengths of the gravity waves are obtained from radio measurements and are in the range of 26-247 km. As the gravity wave characteristics are influenced by the ambient neutral winds, the measured gravity wave propagation characteristics in three dimensions have been used as inputs into the gravity wave dispersion relation to estimate the magnitudes of thermospheric horizontal neutral winds. These estimated daytime winds in the direction of wave propagation are found to be in the range of 1-105 ms (-1), and they compare well with those measured independently from MIGHTI added HWM14 model-derived winds. The daytime winds estimated by this approach are possibly the first of their kind as obtained from ground-based measurements.Plain Language Summary Atmospheric gravity waves are mostly generated in the lower atmosphere due to different processes, and they carry energy away from their source regions. Therefore, these waves play a crucial role in the coupling and energetics of the atmosphere. As the neutral density decreases exponentially with height, amplitudes of these waves grow in order to conserve energy. At high altitudes, when the amplitudes become very large, these waves break due to non-linear wave-wave interactions and deposit their energy. Such energy deposition can further give rise to secondary and tertiary gravity waves. In favorable background conditions, these waves can propagate deep into the upper atmosphere and alter the prevailing dynamics. Therefore, the characterization of their spatial and temporal scales in the upper atmosphere is extremely important for a comprehensive understanding of atmospheric dynamics. As neutrals and plasma share the same space in the upper atmosphere, we have used simultaneous observations of both the neutrals and plasma, using ground-based optical and radio measurements, to derive the propagation characteristics of the atmospheric gravity waves in all three dimensions. Further, we have used these parameters to estimate the magnitudes of daytime thermospheric horizontal winds, which are otherwise difficult to obtain from ground-based platforms in daytime.</t>
  </si>
  <si>
    <t>[Kumar, Sunil; Mandal, Subir; Pallamraju, Duggirala] Space &amp; Atmospher Sci Div, Phys Res Lab, Ahmadabad, India; [Kumar, Sunil] Indian Inst Technol, Gandhinagar, India; [Mandal, Subir] British Antarctic Survey, Cambridge, England</t>
  </si>
  <si>
    <t>Department of Space (DoS), Government of India; Physical Research Laboratory - India; Indian Institute of Technology System (IIT System); Indian Institute of Technology (IIT) - Gandhinagar; UK Research &amp; Innovation (UKRI); Natural Environment Research Council (NERC); NERC British Antarctic Survey</t>
  </si>
  <si>
    <t>Pallamraju, D (corresponding author), Space &amp; Atmospher Sci Div, Phys Res Lab, Ahmadabad, India.</t>
  </si>
  <si>
    <t>raju@prl.res.in</t>
  </si>
  <si>
    <t>Pallamraju, Duggirala/0000-0002-5841-9360; Kumar, Sunil/0000-0003-1789-2060</t>
  </si>
  <si>
    <t>NASA's Explorers Program [NNG12FA45C, NNG12FA42I]; Department of Space, Government of India</t>
  </si>
  <si>
    <t>NASA's Explorers Program; Department of Space, Government of India(Department of Space (DoS), Government of India)</t>
  </si>
  <si>
    <t>The optical and digisonde experiments are conducted and maintained by the Physical Research Laboratory, Ahmedabad, India. The data can be made available by contacting the corresponding author. The neutral winds data are obtained from the ICON satellite, which is supported by NASA's Explorers Program through contracts NNG12FA45C and NNG12FA42I. The authors sincerely acknowledge the help of Pradip Suryawanshi, Kshitiz Upadhyay, and Mohit Soni during the field campaigns. This work is supported by the Department of Space, Government of India.</t>
  </si>
  <si>
    <t>e2022JA030954</t>
  </si>
  <si>
    <t>10.1029/2022JA030954</t>
  </si>
  <si>
    <t>9P3FJ</t>
  </si>
  <si>
    <t>WOS:000944172700001</t>
  </si>
  <si>
    <t>Ni, BB; Summers, D; Xiang, Z; Dou, XK; Tsurutani, BT; Meredith, NP; Dong, JH; Chen, LJ; Reeves, GD; Liu, X; Tao, X; Gu, XD; Ma, X; Yi, J; Fu, S; Xu, W</t>
  </si>
  <si>
    <t>Ni, Binbin; Summers, Danny; Xiang, Zheng; Dou, Xiankang; Tsurutani, Bruce T.; Meredith, Nigel P.; Dong, Junhu; Chen, Lunjin; Reeves, Geoffrey D.; Liu, Xu; Tao, Xin; Gu, Xudong; Ma, Xin; Yi, Juan; Fu, Song; Xu, Wei</t>
  </si>
  <si>
    <t>Unique Banded Structures of Plasmaspheric Hiss Waves in the Earth's Magnetosphere</t>
  </si>
  <si>
    <t>RELATIVISTIC ELECTRONS; RESONANT SCATTERING; EMBRYONIC SOURCE; SPATIAL EXTENT; CHORUS; ORIGIN; FREQUENCY; DIFFUSION; PROPAGATION; GENERATION</t>
  </si>
  <si>
    <t>Plasmaspheric hiss is an electromagnetic wave mode that occurs ubiquitously in the high-density plasmasphere and contributes crucially to the dynamic behavior of the Earth's Van Allen radiation belts. While plasmaspheric hiss is commonly considered to be a broadband emission with frequencies from similar to 100 Hz to several kHz, here we report Van Allen Probes measurements of unambiguous banded signatures of plasmaspheric hiss, uniquely characterized by an upper band above similar to 200 Hz, a lower band below similar to 100 Hz and a power gap in between. Banded plasmaspheric hiss occurs with the probability similar to 8% in the postnoon sector within 2.5-5.0 Earth radii, showing strong dependence on geomagnetic and solar wind conditions. Observations also suggest that banded hiss waves result possibly from two combined sources, the upper band originating from the transformation of chorus waves propagating from outside the plasmasphere, and the lower band from localized excitation inside the plasmasphere, which however requires future investigation. The banded hiss waves shed new light on the evolution of the Earth's radiation belts and have implications for understanding whistler-mode waves in planetary magnetospheres.</t>
  </si>
  <si>
    <t>[Ni, Binbin; Xiang, Zheng; Dou, Xiankang; Dong, Junhu; Gu, Xudong; Ma, Xin; Yi, Juan; Fu, Song; Xu, Wei] Wuhan Univ, Sch Elect Informat, Dept Space Phys, Wuhan, Peoples R China; [Ni, Binbin] Chinese Acad Sci Ctr Excellence Comparat Planetol, Hefei, Peoples R China; [Summers, Danny] Mem Univ Newfoundland, Dept Math &amp; Stat, St John, NF, Canada; [Dou, Xiankang] Univ Sci &amp; Technol China, Chinese Acad Sci, Key Lab Geospace Environm, Hefei, Peoples R China; [Tsurutani, Bruce T.] CALTECH, Jet Prop Lab, Pasadena, CA USA; [Meredith, Nigel P.] British Antarctic Survey, NERC, Space Weather &amp; Atmosphere Team, Cambridge, England; [Chen, Lunjin; Liu, Xu] Univ Texas Dallas, William B Hanson Ctr Space Sci, Richardson, TX USA; [Reeves, Geoffrey D.] Los Alamos Natl Lab, Space Sci &amp; Applicat Grp, Los Alamos, NM USA; [Reeves, Geoffrey D.] New Mexico Consortium, Space Sci Div, Los Alamos, NM USA; [Tao, Xin] Univ Sci &amp; Technol China, Dept Geophys &amp; Planetary Sci, Hefei, Peoples R China</t>
  </si>
  <si>
    <t>Wuhan University; Memorial University Newfoundland; Chinese Academy of Sciences; University of Science &amp; Technology of China, CAS; California Institute of Technology; National Aeronautics &amp; Space Administration (NASA); NASA Jet Propulsion Laboratory (JPL); UK Research &amp; Innovation (UKRI); Natural Environment Research Council (NERC); NERC British Antarctic Survey; University of Texas System; University of Texas Dallas; United States Department of Energy (DOE); Los Alamos National Laboratory; Chinese Academy of Sciences; University of Science &amp; Technology of China, CAS</t>
  </si>
  <si>
    <t>Ni, BB; Xiang, Z (corresponding author), Wuhan Univ, Sch Elect Informat, Dept Space Phys, Wuhan, Peoples R China.;Ni, BB (corresponding author), Chinese Acad Sci Ctr Excellence Comparat Planetol, Hefei, Peoples R China.;Summers, D (corresponding author), Mem Univ Newfoundland, Dept Math &amp; Stat, St John, NF, Canada.</t>
  </si>
  <si>
    <t>bbni@whu.edu.cn; dsummers@mun.ca; xiangzheng@whu.edu.cn</t>
  </si>
  <si>
    <t>Dou, xiankang/M-9106-2013; tsurutani, bruce t/G-5835-2019; Reeves, Geoffrey/E-8101-2011; Chen, Lunjin/L-1250-2013</t>
  </si>
  <si>
    <t>Reeves, Geoffrey/0000-0002-7985-8098; Xiang, Zheng/0000-0002-4899-7917</t>
  </si>
  <si>
    <t>National Natural Science Foundation of China [42025404, 42188101, 42174190]; National Key R&amp;D Program of China [2022YFF0503700]; B-type Strategic Priority Program of the Chinese Academy of Sciences [XDB41000000]; Natural Sciences and Engineering Research Council of Canada</t>
  </si>
  <si>
    <t>National Natural Science Foundation of China(National Natural Science Foundation of China (NSFC)); National Key R&amp;D Program of China; B-type Strategic Priority Program of the Chinese Academy of Sciences; Natural Sciences and Engineering Research Council of Canada(Natural Sciences and Engineering Research Council of Canada (NSERC)CGIAR)</t>
  </si>
  <si>
    <t>This work was supported by the National Natural Science Foundation of China (42025404, 42188101, and 42174190), the National Key R&amp;D Program of China (2022YFF0503700), the B-type Strategic Priority Program of the Chinese Academy of Sciences (XDB41000000), and a Discovery Grant of the Natural Sciences and Engineering Research Council of Canada. We also thank the Van Allen Probes EMFISIS Science Team for providing the wave data, and thank the NSSDC OMNIWeb for the use of solar wind and geomagnetic index data.</t>
  </si>
  <si>
    <t>e2023JA031325</t>
  </si>
  <si>
    <t>10.1029/2023JA031325</t>
  </si>
  <si>
    <t>9U7BU</t>
  </si>
  <si>
    <t>WOS:000947862800001</t>
  </si>
  <si>
    <t>Park, JS; Shi, QQ; Shue, JH; Degeling, AW; Nowada, M; Tian, AM; Kim, KH; Pitkaenen, T; Gjerloev, JW</t>
  </si>
  <si>
    <t>Park, Jong-Sun; Shi, Quan Qi; Shue, Jih-Hong; Degeling, Alexander W.; Nowada, Motoharu; Tian, An Min; Kim, Khan-Hyuk; Pitkaenen, Timo; Gjerloev, Jesper W.</t>
  </si>
  <si>
    <t>Auroral Electrojet Activity for Long-Duration Radial Interplanetary Magnetic Field Events</t>
  </si>
  <si>
    <t>radial IMF; azimuthal IMF; auroral electrojet activity; north-south IMF component; solar wind parameters; solar wind-magnetosphere-ionosphere coupling</t>
  </si>
  <si>
    <t>SOLAR-WIND DENSITY; ALIGNED CURRENTS; X-COMPONENT; IMF; MAGNETOSPHERE; INDEXES; AU; MAGNETOPAUSE; AE; AL</t>
  </si>
  <si>
    <t>In this paper, we provide statistical evidence that the level of solar wind-magnetosphere-ionosphere (SW-M-I) coupling is weaker under radial (Sun-Earth component dominant) interplanetary magnetic field (IMF) conditions than non-radial IMF conditions. This is performed by analyzing auroral electrojet activity (using SuperMAG auroral electrojet indices) in the sunlit and dark ionospheres for long-duration (at least 4 hr) radial IMF events and comparing against the same for long-duration azimuthal (dusk-dawn component dominant) IMF events. We show that the north-south IMF component (IMF B-z) plays a crucial role in controlling the level of auroral electrojet activity as a negative half-wave rectifier even for both IMF orientation categories. However, it is found that the magnitudes of the auroral electrojet indices are generally lower for radial IMF than for azimuthal IMF under similar sets of solar wind (radial bulk velocity and number density) and IMF B-z conditions, regardless of whether these indices are derived in the sunlit or dark regions. Moreover, the efficiency of coupling functions is lower for radial IMF than for azimuthal IMF, implying that increased coupling strength due to the azimuthal IMF component alone cannot well explain weaker auroral electrojets during radial IMF periods. Lastly, the contribution of the radial IMF component itself to auroral electrojet activity is also lower compared to the azimuthal IMF component. Our results suggest that the level of SW-M-I coupling characterized by auroral electrojet activity can be modulated by the radial IMF component, although the effect of this component is weaker than the other two IMF components.</t>
  </si>
  <si>
    <t>[Park, Jong-Sun; Shi, Quan Qi; Degeling, Alexander W.; Nowada, Motoharu; Tian, An Min; Pitkaenen, Timo] Shandong Univ, Inst Space Sci, Shandong Prov Key Lab Opt Astron &amp; Solar Terr Envi, Weihai, Peoples R China; [Shue, Jih-Hong] Natl Cent Univ, Dept Space Sci &amp; Engn, Taoyuan, Taiwan; [Kim, Khan-Hyuk] Kyung Hee Univ, Sch Space Res, Gyeonggi, South Korea; [Pitkaenen, Timo] Umea Univ, Dept Phys, Umea, Sweden; [Gjerloev, Jesper W.] Johns Hopkins Univ, Appl Phys Lab, Laurel, MD USA</t>
  </si>
  <si>
    <t>Shandong University; National Central University; Kyung Hee University; Umea University; Johns Hopkins University; Johns Hopkins University Applied Physics Laboratory</t>
  </si>
  <si>
    <t>Park, JS (corresponding author), Shandong Univ, Inst Space Sci, Shandong Prov Key Lab Opt Astron &amp; Solar Terr Envi, Weihai, Peoples R China.</t>
  </si>
  <si>
    <t>parkjspace@sdu.edu.cn</t>
  </si>
  <si>
    <t>SHI, QUANQI/M-6959-2015; Park, Jong-Sun/HOH-8882-2023; Degeling, Alexander/F-1091-2016; Gjerloev, Jesper/C-2116-2016; Pitkänen, Timo/AGO-2897-2022</t>
  </si>
  <si>
    <t>SHI, QUANQI/0000-0001-6835-4751; Park, Jong-Sun/0000-0002-2732-1168; Pitkanen, Timo/0000-0002-5681-0366; Nowada, Motoharu/0000-0003-4849-3433; Kim, Khan-Hyuk/0000-0001-8872-6065</t>
  </si>
  <si>
    <t>Project of High-End Foreign Expert Introduction Plan of China; NSFC [42150610483, 41731068, 42074194, 41961130382]; Shandong University (Weihai) Future Plan for Young Scholars [2017WHWLJH08]; Basic Science Research Program through NRF [NRF-2019R1F1A1055444]; Swedish National Space Agency (SNSA) Grant [118/17]; International Space Science Institute in Beijing (ISSI-BJ)</t>
  </si>
  <si>
    <t>Project of High-End Foreign Expert Introduction Plan of China; NSFC(National Natural Science Foundation of China (NSFC)); Shandong University (Weihai) Future Plan for Young Scholars; Basic Science Research Program through NRF(National Research Foundation of Korea); Swedish National Space Agency (SNSA) Grant; International Space Science Institute in Beijing (ISSI-BJ)</t>
  </si>
  <si>
    <t>J.-S. Park thanks for the support provided by Project of High-End Foreign Expert Introduction Plan of China. Q. Q. Shi is supported by NSFC Grants 41731068 and 41961130382. M. Nowada is supported by NSFC Grant 42074194. A. M. Tian is supported by the Shandong University (Weihai) Future Plan for Young Scholars (2017WHWLJH08). The work of K.-H. Kim was supported by the Basic Science Research Program through NRF funded by NRF-2019R1F1A1055444. T. Pitkaenen is supported by the Swedish National Space Agency (SNSA) Grant 118/17 and NSFC Grant 42150610483. The authors also wish to thank the International Space Science Institute in Beijing (ISSI-BJ) for supporting and hosting the meetings of the International Team on The morphology of auroras at Earth and giant planets: characteristics and their magnetospheric implications, during which the discussions leading/contributing to this publication were initiated/held. For the SuperMAG products, we gratefully acknowledge: INTERMAGNET, Alan Thomson; CARISMA, PI Ian Mann; CANMOS, Geomagnetism Unit of the Geological Survey of Canada; The S-RAMP Database, PI K. Yumoto and Dr. K. Shiokawa; The SPIDR database; AARI, PI Oleg Troshichev; The MACCS program, PI M. Engebretson; GIMA; MEASURE, UCLA IGPP and Florida Institute of Technology; SAMBA, PI Eftyhia Zesta; 210 Chain, PI K. Yumoto; SAMNET, PI Farideh Honary; IMAGE, PI Liisa Juusola; Finnish Meteorological Institute, PI Liisa Juusola; Sodankylae Geophysical Observatory, PI Tero Raita; UiT the Arctic University of Norway, Tromo Geophysical Observatory, PI Magnar G. Johnsen; GFZ German Research Centre For Geosciences, PI Juergen Matzka; Institute of Geophysics, Polish Academy of Sciences, PI Anne Neska and Jan Reda; Polar Geophysical Institute, PI Alexander Yahnin and Yarolav Sakharov; Geological Survey of Sweden, PI Gerhard Schwarz; Swedish Institute of Space Physics, PI Masatoshi Yamauchi; AUTUMN, PI Martin Connors; DTU Space, Thom Edwards and PI Anna Willer; South Pole and McMurdo Magnetometer, PIs Louis J. Lanzarotti and Alan T. Weatherwax; ICESTAR; RAPIDMAG; British Antarctic Survey; McMac, PI Dr. Peter Chi; BGS, PI Dr. Susan Macmillan; Pushkov Institute of Terrestrial Magnetism, Ionosphere and Radio Wave Propagation (IZMIRAN); MFGI, PI B. Heilig; Institute of Geophysics, Polish Academy of Sciences, PI Anne Neska and Jan Reda; University of L'Aquila, PI M. Vellante; BCMT, V. Lesur and A. Chambodut; Data obtained in cooperation with Geoscience Australia, PI Andrew Lewis; AALPIP, co-PIs Bob Clauer and Michael Hartinger; MagStar, PI Jennifer Gannon; SuperMAG, PI Jesper W. Gjerloev; Data obtained in cooperation with the Australian Bureau of Meteorology, PI Richard Marshall. The authors also thank the anonymous reviewers for their valuable comments and suggestions to improve this paper.</t>
  </si>
  <si>
    <t>e2022JA030816</t>
  </si>
  <si>
    <t>10.1029/2022JA030816</t>
  </si>
  <si>
    <t>9P4KB</t>
  </si>
  <si>
    <t>WOS:000944253500001</t>
  </si>
  <si>
    <t>Zhang, DJ; Liu, WL; Zhang, Z; Li, XL; Sarris, TE; Goldstein, J; Dmitry, R</t>
  </si>
  <si>
    <t>Zhang, Dianjun; Liu, Wenlong; Zhang, Zhao; Li, Xinlin; Sarris, Theodore E.; Goldstein, Jerry; Dmitry, Rezvov</t>
  </si>
  <si>
    <t>Cavity Mode Wave Frequency Variation Associated With Inward Motion of the Magnetopause During Interplanetary Shock Compression</t>
  </si>
  <si>
    <t>interplanetary shock; ULF wave; fast mode resonance; cavity mode; plasmapause; magnetopause</t>
  </si>
  <si>
    <t>FIELD LINE RESONANCES; ULF WAVES; MAGNETOSPHERIC CAVITY; BOUNDARY-LAYER; DIPOLE MODEL; OSCILLATIONS; ELECTRONS; PLASMA; INSTRUMENT; EXCITATION</t>
  </si>
  <si>
    <t>A cavity mode wave, referring to a trapped or radially standing fast mode wave between different magnetospheric boundaries, has been developed in theory and reported in observation studies. In this study, we present an interplanetary shock (IPS)-induced cavity mode wave event observed outside the plasmasphere on 31 August 2017 with multispacecraft measurements. The phase delay of 90 degrees between the azimuthal electric field and compressional magnetic field indicates that the fast-mode wave triggered by the IPS is a standing wave, presumably radially trapped in the cavity between the magnetopause and plasmapause. Taking advantage of the location of Van Allen Probe B spacecraft right outside the plasmapause and the Arctic and Antarctic Research Institute ground-based high-latitude array mapped in the noon sector, it is suggested that the observed compressional wave associates to cavity mode with its inner boundary at the plasmapause and its outer boundary at the magnetopause. The peak frequency of the wavelet spectrum of the compressional magnetic field increases from 10.5 to 12.5 mHz, which is consistent with the theoretically calculated cavity eigenfrequencies before and after the IPS. We also provide the first evidence that the peak frequency of the cavity mode increases due to the inward motion of the magnetopause during IPS compression.</t>
  </si>
  <si>
    <t>[Zhang, Dianjun; Liu, Wenlong; Zhang, Zhao] Beihang Univ, Sch Space &amp; Environm, Beijing, Peoples R China; [Zhang, Dianjun; Liu, Wenlong; Zhang, Zhao] Beihang Univ, Key Lab Space Environm Monitoring &amp; Informat Proc, Beijing, Peoples R China; [Li, Xinlin; Sarris, Theodore E.] Univ Colorado Boulder, Lab Atmospher &amp; Space Phys, Boulder, CO USA; [Sarris, Theodore E.] Democritus Univ Thrace, Dept Elect &amp; Comp Engn, Xanthi, Greece; [Goldstein, Jerry] Southwest Res Inst, Space Sci &amp; Engn Div, San Antonio, TX USA; [Goldstein, Jerry] Univ Texas San Antonio, Dept Phys &amp; Astron, San Antonio, TX USA; [Dmitry, Rezvov] Arctic &amp; Antarctic Res Inst, St Petersburg, Russia</t>
  </si>
  <si>
    <t>Beihang University; Beihang University; University of Colorado System; University of Colorado Boulder; Democritus University of Thrace; Southwest Research Institute; University of Texas System; University of Texas at San Antonio (UTSA); Arctic &amp; Antarctic Research Institute</t>
  </si>
  <si>
    <t>Liu, WL (corresponding author), Beihang Univ, Sch Space &amp; Environm, Beijing, Peoples R China.;Liu, WL (corresponding author), Beihang Univ, Key Lab Space Environm Monitoring &amp; Informat Proc, Beijing, Peoples R China.</t>
  </si>
  <si>
    <t>liuwenlong@buaa.edu.cn</t>
  </si>
  <si>
    <t>Sarris, Theodore/KCL-0355-2024; Liu, Wenlong/G-5585-2013</t>
  </si>
  <si>
    <t>Zhang, Dianjun/0000-0002-7312-0551; Liu, Wenlong/0000-0001-7991-5067</t>
  </si>
  <si>
    <t>National Natural Science Foundation of China [41821003, 41974194]; Fundamental Research Funds for the Central Universities of China [YWF-22-K-103]</t>
  </si>
  <si>
    <t>National Natural Science Foundation of China(National Natural Science Foundation of China (NSFC)); Fundamental Research Funds for the Central Universities of China(Fundamental Research Funds for the Central Universities)</t>
  </si>
  <si>
    <t>This work was supported by National Natural Science Foundation of China Grants 41821003 and 41974194 and the Fundamental Research Funds for the Central Universities of China Grant YWF-22-K-103. The authors thank the EFW and EMFISIS teams of the Van Allen Probes mission, FGM, ESA and EFI teams of the THEMIS mission, O. Troshichev at Arctic and Antarctic Research Institute, and 3DP and MFI teams of the Wind mission for providing data.</t>
  </si>
  <si>
    <t>e2023JA031299</t>
  </si>
  <si>
    <t>10.1029/2023JA031299</t>
  </si>
  <si>
    <t>A9LO9</t>
  </si>
  <si>
    <t>WOS:000958263700001</t>
  </si>
  <si>
    <t>Koldobskiy, S; Mekhaldi, F; Kovaltsov, G; Usoskin, I</t>
  </si>
  <si>
    <t>Koldobskiy, Sergey; Mekhaldi, Florian; Kovaltsov, Gennady; Usoskin, Ilya</t>
  </si>
  <si>
    <t>Multiproxy Reconstructions of Integral Energy Spectra for Extreme Solar Particle Events of 7176 BCE, 660 BCE, 775 CE, and 994 CE</t>
  </si>
  <si>
    <t>solar energetic particles; extreme solar particle events; cosmogenic isotopes; solar activity</t>
  </si>
  <si>
    <t>COSMOGENIC ISOTOPES; BE-10 DATA; AD 774-775; C-14</t>
  </si>
  <si>
    <t>Extreme solar particle events (ESPEs) are rare and the most potent known processes of solar eruptive activity. During ESPEs, a vast amount of cosmogenic isotopes (CIs) Be-10, Cl-36, and C-14 can be produced in the Earth's atmosphere and deposited in natural stratified archives. Accordingly, CI measurements in these archives allow us to evaluate particle fluxes during ESPEs. In this work, we present a new method of ESPE fluence (integral flux) reconstruction based on state-of-the-art modeling advances, allowing to fit together different CI data within one model. We represent the ESPE fluence as an ensemble of scaled fluence reconstructions for ground-level enhancement (GLE) events registered by the neutron monitor network since 1956 coupled with satellite and ionospheric measurements data. Reconstructed ESPE fluences appear softer in its spectral shape than earlier estimates, leading to significantly higher estimates of the low-energy (E &lt; 100 MeV) fluence. This makes ESPEs even more dangerous for modern technological systems than previously believed. Reconstructed ESPE fluences are fitted with a modified Band function, which eases the use of obtained results in different applications.</t>
  </si>
  <si>
    <t>[Koldobskiy, Sergey; Usoskin, Ilya] Univ Oulu, Space Phys &amp; Astron Res Unit, Oulu, Finland; [Koldobskiy, Sergey; Usoskin, Ilya] Univ Oulu, Sodankyla Geophys Observ, Oulu, Finland; [Mekhaldi, Florian] Lund Univ, Dept Geol Quaternary Sci, Lund, Sweden; [Mekhaldi, Florian] British Antarctic Survey, Ice Dynam &amp; Paleoclimate, Cambridge, England; [Kovaltsov, Gennady] RAS, Ioffe Phys Tech Inst, St Petersburg, Russia</t>
  </si>
  <si>
    <t>University of Oulu; University of Oulu; Lund University; UK Research &amp; Innovation (UKRI); Natural Environment Research Council (NERC); NERC British Antarctic Survey; Russian Academy of Sciences; St. Petersburg Scientific Centre of the Russian Academy of Sciences; Ioffe Physical Technical Institute</t>
  </si>
  <si>
    <t>Koldobskiy, S (corresponding author), Univ Oulu, Space Phys &amp; Astron Res Unit, Oulu, Finland.;Koldobskiy, S (corresponding author), Univ Oulu, Sodankyla Geophys Observ, Oulu, Finland.</t>
  </si>
  <si>
    <t>sergey.koldobskiy@oulu.fi</t>
  </si>
  <si>
    <t>Koldobskiy, Sergey/K-6507-2015; Usoskin, Ilya/E-5089-2014</t>
  </si>
  <si>
    <t>Koldobskiy, Sergey/0000-0001-9187-0383; Usoskin, Ilya/0000-0001-8227-9081; Mekhaldi, Florian/0000-0001-8323-2955</t>
  </si>
  <si>
    <t>Academy of Finland [ESPERA 321882, QUASARE 330064]; University of Oulu; Swedish Research Council [2020-00420]; Royal Physiographic Society of Lund; ISSI, Bern, International Team project [510]; Swedish Research Council [2020-00420] Funding Source: Swedish Research Council</t>
  </si>
  <si>
    <t>Academy of Finland(Research Council of Finland); University of Oulu; Swedish Research Council(Swedish Research Council); Royal Physiographic Society of Lund; ISSI, Bern, International Team project; Swedish Research Council(Swedish Research Council)</t>
  </si>
  <si>
    <t>This work was partly supported by the Academy of Finland (Projects ESPERA 321882 and QUASARE 330064), University of Oulu (Project SARPEDON). F. Mekhaldi acknowledges funding from the Swedish Research Council (2020-00420), and the Royal Physiographic Society of Lund. The ISSI, Bern, International Team project #510 (Solar Extreme Events: Setting up a Paradigm, led by F. Miyake and I. Usoskin) is acknowledged for stimulating discussions. Research was performed using NumPy (Harris et al., 2020), SciPy (Virtanen et al., 2020), pandas (Pandas development team, 2020), and matplotlib (Hunter, 2007) open-source Python packages.</t>
  </si>
  <si>
    <t>e2022JA031186</t>
  </si>
  <si>
    <t>10.1029/2022JA031186</t>
  </si>
  <si>
    <t>A1UH9</t>
  </si>
  <si>
    <t>WOS:000953046000001</t>
  </si>
  <si>
    <t>Roberts, EM; O'Connor, PM; Clarke, JA; Slotznick, SP; Placzek, CJ; Tobin, TS; Hannaford, C; Orr, T; Jinnah, ZA; Claeson, KM; Salisbury, S; Kirschvink, JL; Pirrie, D; Lamanna, MC</t>
  </si>
  <si>
    <t>Roberts, Eric M.; O'Connor, Patrick M.; Clarke, Julia A.; Slotznick, Sarah P.; Placzek, Christa J.; Tobin, Thomas S.; Hannaford, Carey; Orr, Theresa; Jinnah, Zubair A.; Claeson, Kerin M.; Salisbury, Steven; Kirschvink, Joseph L.; Pirrie, Duncan; Lamanna, Matthew C.</t>
  </si>
  <si>
    <t>New age constraints support a K/Pg boundary interval on Vega Island, Antarctica: Implications for latest Cretaceous vertebrates and paleoenvironments</t>
  </si>
  <si>
    <t>GEOLOGICAL SOCIETY OF AMERICA BULLETIN</t>
  </si>
  <si>
    <t>JAMES-ROSS BASIN; STRONTIUM ISOTOPE STRATIGRAPHY; SEYMOUR-ISLAND; MARAMBIO GROUP; ORNITHOPOD DINOSAURIA; BERTODANO FORMATION; FOSSIL EVIDENCE; CAPE LAMB; MAGNETOSTRATIGRAPHY; EXTINCTION</t>
  </si>
  <si>
    <t>A second K/Pg boundary interval in the northern sector of the Antarctic Peninsula on Vega Island has been proposed, yet cur-rent temporal resolution of these strata prohibits direct testing of this hypothesis. To not only test for the existence of a K/Pg boundary on Vega Island but also provide increased age resolution for the associated vertebrate fauna (e.g., marine reptiles, non -avian dinosaurs, and avian dinosaurs), the Vega Island succession was intensively re -sampled. Stratigraphic investigation of the Cape Lamb Member of the Snow Hill Island Formation, and in particular, the overlying Sandwich Bluff Member of the Lopez de Bertodano Formation, was conducted using biostratigraphy, strontium isotope stratig-raphy, magnetostratigraphy, and detrital zircon geochronology. These data indicate a Late Campanian-early Maastrichtian age for the Cape Lamb Member and present three possible correlations to the global polarity time scale (GPTS) for the overlying Sandwich Bluff Member. The most plau-sible correlation, which is consistent with biostratigraphy, detrital zircon geochronol-ogy, sequence stratigraphy, and all but one of the Sr-isotope ages, correlates the base of the section to C31N and the top of the section with C29N, which indicates that the K/Pg boundary passes through the top of the unit. A second, less plausible option conflicts with the biostratigraphy and depends on a series of poorly defined magnetic reversals in the upper part of the stratigraphy that also cor-relates the section between C31N and C29R and again indicates an inclusive K/Pg bound-ary interval. The least likely correlation, which depends on favoring only a single Sr -isotope age at the top of the section over bio-stratigraphy, correlates the section between C31N and C30N and is inconsistent with an included K/Pg boundary interval. Although our preferred correlation is well supported, we failed to identify an Ir-anomaly, spher-ules/impact ejecta, or other direct evidence typically used to define the precise position of a K/Pg boundary on Vega Island. This study does, however, confirm that Vegavis, from the base of the Sandwich Bluff Member, is the oldest (69.2-68.4 Ma) phylogenetically placed representative of the avian crown clade, and that marine vertebrates and non -avian dinosaurs persisted in Antarctica up to the terminal Cretaceous.</t>
  </si>
  <si>
    <t>[Roberts, Eric M.; Orr, Theresa] James Cook Univ, Earth &amp; Environm Sci, Townsville, Qld 4811, Australia; [Placzek, Christa J.] Australian Groundwater &amp; Environm Consultants Pty, 1-60 Ingham Rd, West End, Qld 4810, Australia; [O'Connor, Patrick M.] Ohio Univ, Heritage Coll Osteopath Med, Dept Biomed Sci, Athens, OH 45701 USA; [O'Connor, Patrick M.] Ohio Univ, Ohio Ctr Ecol &amp; Evolutionary Studies, Athens, OH 45701 USA; [Clarke, Julia A.] Univ Texas Austin, Dept Geol Sci, 1 Univ Stn, C1100, Austin, TX 78712 USA; [Slotznick, Sarah P.] Dartmouth Coll, Dept Earth Sci, Hanover, NH 03755 USA; [Tobin, Thomas S.] Univ Alabama, Dept Geol Sci, Tuscaloosa, AL 35401 USA; [Hannaford, Carey] MGPalaeo, Malaga, WA 6090, Australia; [Jinnah, Zubair A.] Univ Witwatersrand, Sch Geosci, Johannesburg, South Africa; [Claeson, Kerin M.] Philadelphia Coll Osteopath Med, Dept Biomed Sci, Philadelphia, PA 19131 USA; [Salisbury, Steven] Univ Queensland, Sch Biol Sci, Brisbane, Qld 4072, Australia; [Kirschvink, Joseph L.] CALTECH, Div Geol &amp; Planetary Sci, Pasadena, CA 91125 USA; [Pirrie, Duncan] Univ South Wales, Sch Appl Sci, Pontypridd C37 4BD, Wales; [Lamanna, Matthew C.] Carnegie Museum Nat Hist, Sect Vertebrate Paleontol, 4400 Forbes Ave, Pittsburgh, PA 15213 USA</t>
  </si>
  <si>
    <t>James Cook University; University System of Ohio; Ohio University; University System of Ohio; Ohio University; University of Texas System; University of Texas Austin; Dartmouth College; University of Alabama System; University of Alabama Tuscaloosa; University of Witwatersrand; University of Queensland; California Institute of Technology; University of South Wales</t>
  </si>
  <si>
    <t>Roberts, EM (corresponding author), James Cook Univ, Earth &amp; Environm Sci, Townsville, Qld 4811, Australia.</t>
  </si>
  <si>
    <t>eric.roberts@jcu.edu.au</t>
  </si>
  <si>
    <t>Slotznick, Sarah/0000-0001-8374-3173; Jinnah, Zubair/0000-0002-1317-7361; Orr, Theresa/0000-0002-0450-0972</t>
  </si>
  <si>
    <t>National Science Foundation [ANT-0636639, ANT-1142052, ANT-1142129, ANT-1142104, ANT-1141820, ANT-1341729]</t>
  </si>
  <si>
    <t>We are grateful to editor Brad Singer, associate editor Xixi Zhao, and two anonymous reviewers, who provided exceptionally insightful feedback. We thank the crews of the U.S. Antarctic Program research ves-sels R/V Lawrence M. Gould and R/V Nathaniel B. Palmer for field and other logistical assistance during the 2011 and 2016 field seasons. Harry Gardner and Jodie Kilpatrick provided substantial assistance with initial testing of Sr-isotope techniques and diagenesis filtering on samples from Vega Island. C. Thissen, K. Hillbun, S. Schoepfer, S. Alesandrini, P. Ward, D. Smith, J. Meng, E. Gorscak, J. Sertich, C. Torres, A. West, R.D.E. MacPhee, and the Air Center Helicopter staff and pilots are thanked for field assistance dur-ing the 2011 and 2016 field seasons. Field work and stratigraphic analysis benefited from discussions with D. Barbeau (University of South Carolina, Columbia, South Carolina) . This research was supported by Na-tional Science Foundation grants ANT-0636639 and ANT-1142052 to Ross D.E. MacPhee, ANT-1142129 to M.C. Lamanna, ANT-1142104 to P.M. O?Connor, ANT-1141820 to J.A. Clarke, and ANT-1341729 to J.L. Kirschvink. Sr-isotope, palynological, and U-Pb detrital zircon data are available in the Supplemental Material. Rock magnetic data are available on Ze-nodo (https://doi.org/10.5281/zenodo.6301037) , and paleomagnetic data are available in the MagIC data-base (https:// www.earthref.org/MagIC/doi/10.1130/B36422.1) .</t>
  </si>
  <si>
    <t>0016-7606</t>
  </si>
  <si>
    <t>1943-2674</t>
  </si>
  <si>
    <t>GEOL SOC AM BULL</t>
  </si>
  <si>
    <t>Geol. Soc. Am. Bull.</t>
  </si>
  <si>
    <t>MAR 1</t>
  </si>
  <si>
    <t>10.1130/B36422.1</t>
  </si>
  <si>
    <t>H5TQ7</t>
  </si>
  <si>
    <t>WOS:000996590500003</t>
  </si>
  <si>
    <t>Zuev, VV; Savelieva, ES; Pavlinsky, AV; Sidorovski, EA</t>
  </si>
  <si>
    <t>Zuev, V. V.; Savelieva, E. S.; Pavlinsky, A. V.; Sidorovski, E. A.</t>
  </si>
  <si>
    <t>The Unprecedented Duration of the 2020 Ozone Depletion in the Antarctic</t>
  </si>
  <si>
    <t>DOKLADY EARTH SCIENCES</t>
  </si>
  <si>
    <t>Antarctic polar vortex; polar ozone depletion; geopotential; wind speed</t>
  </si>
  <si>
    <t>An increase in the duration of the period of high stability of the Antarctic polar vortex in late spring and early summer (November-December), which has been observed over the past 30 years, is observed. This trend is manifested both in the dynamics of the main characteristics of the polar vortex (vortex area and wind speed along the vortex boundary) and in the area of the Antarctic ozone hole. The dynamics of the polar vortex of 2020 is clear evidence of this phenomenon. During that time, unusually high wind speeds along the vortex boundary were recorded throughout the entire period of its existence; anomalous areas of the vortex and the ozone hole were observed from mid-November to December. In addition, the polar vortex existed until the last week of December, which is unprecedented. To analyze the dynamics of the Antarctic polar vortex, we used the method of vortex delineation on the basis of geopotential values, which were determined from the maximum temperature gradient and the maximum wind speed characterizing the boundaries of the vortex.</t>
  </si>
  <si>
    <t>[Zuev, V. V.; Savelieva, E. S.; Pavlinsky, A. V.; Sidorovski, E. A.] Russian Acad Sci, Inst Monitoring Climat &amp; Ecol Syst, Siberian Branch, Tomsk 634055, Russia</t>
  </si>
  <si>
    <t>Institute of Monitoring of Climatic &amp; Ecological Systems of the Siberian Branch of the RAS; Russian Academy of Sciences</t>
  </si>
  <si>
    <t>Zuev, VV (corresponding author), Russian Acad Sci, Inst Monitoring Climat &amp; Ecol Syst, Siberian Branch, Tomsk 634055, Russia.</t>
  </si>
  <si>
    <t>vzuev@list.ru</t>
  </si>
  <si>
    <t>Russian Science Foundation [22-27-00002]</t>
  </si>
  <si>
    <t>This study was supported by the Russian Science Foundation, grant no. 22-27-00002 (https://rscf.ru/project/22-27-00002).</t>
  </si>
  <si>
    <t>1028-334X</t>
  </si>
  <si>
    <t>1531-8354</t>
  </si>
  <si>
    <t>DOKL EARTH SCI</t>
  </si>
  <si>
    <t>Dokl. Earth Sci.</t>
  </si>
  <si>
    <t>10.1134/S1028334X22601754</t>
  </si>
  <si>
    <t>G6NL7</t>
  </si>
  <si>
    <t>WOS:000990302000009</t>
  </si>
  <si>
    <t>O'kane, TJ; Fiedler, RUSSELL; Collier, MA; Kitsios, VASSILI</t>
  </si>
  <si>
    <t>O'kane, Terence j.; Fiedler, R. U. S. S. E. L. L.; Collier, Mark a.; Kitsios, V. A. S. S. I. L. I.</t>
  </si>
  <si>
    <t>Ocean Model Response to Stochastically Perturbed Momentum Fluxes</t>
  </si>
  <si>
    <t>Eddies; Stochastic models; Subgrid-scale processes</t>
  </si>
  <si>
    <t>ANTARCTIC CIRCUMPOLAR CURRENT; DYNAMIC PREDICTION; EDDY-VISCOSITY; ENERGETICALLY CONSISTENT; OVERTURNING CIRCULATION; BACKSCATTER; RESOLUTION; PARAMETERIZATIONS; CLOSURE; UNCERTAINTIES</t>
  </si>
  <si>
    <t>Recent studies of various stochastic forcing and subgrid-scale parameterization schemes applied to climate and atmospheric models have revealed a diversity of model responses. These responses include degeneracy in the response to different forcings and compensating model errors. While stochastic parameterization of the ocean eddies is an active area, this has mainly involved idealized models with fewer studies employing ocean general circulation models. Here we examine the sensitivity of a low-resolution climate model to stochastic forcing of the momentum fluxes restricted to re-gions of the three-dimensional ocean where an eddy-resolving ocean model configuration has high variability. We consider the changes in the modeled energetics of low-resolution simulations in response to increased stochastic forcing. We find that as forcing amplitudes are increased there is enhanced conversion of transient to seasonal potential energy. Addition-ally, there is a systematic redistribution from seasonal to small-scale transient kinetic energy. Our approach has zero mean noise such that the total kinetic energy spectra remain largely unchanged even as small-scale eddy kinetic energy is in-creased in the targeted regions. However, we also show that strong stochastic forcing, particularly when applied in the tropics, can induce substantial changes to the ocean steady state that are undesirable. These changes include overly strong vertical mixing leading to unrealistic increases in ocean heat content and latitudinally dependent changes to sea level. We show that judicious selection of the magnitude and spatial extent of the stochastic forcing is required for desirable results. Our results point to the importance of a comprehensive evaluation of ocean model responses to stochastic parameterizations.</t>
  </si>
  <si>
    <t>[O'kane, Terence j.; Fiedler, R. U. S. S. E. L. L.] CSIRO Environm, Hobart, Tas, Australia; [Collier, Mark a.; Kitsios, V. A. S. S. I. L. I.] CSIRO Environm, Aspendale, Vic, Australia; [Kitsios, V. A. S. S. I. L. I.] Monash Univ, Dept Mech &amp; Aerosp Engn, Lab Turbulence Res Aerosp &amp; Combust, Clayton, Vic, Australia</t>
  </si>
  <si>
    <t>Monash University</t>
  </si>
  <si>
    <t>O'kane, TJ (corresponding author), CSIRO Environm, Hobart, Tas, Australia.</t>
  </si>
  <si>
    <t>terence.okane@csiro.au</t>
  </si>
  <si>
    <t>O'Kane, Terence J/B-1655-2009</t>
  </si>
  <si>
    <t>O'Kane, Terence J/0000-0002-2137-5915</t>
  </si>
  <si>
    <t>National Computational Infrastructure (NCI) Australia</t>
  </si>
  <si>
    <t>The authors thank the editor and three anonymous reviews for their constructive comments that substantially improved this manuscript. The authors further acknowledge support from National Computational Infrastructure (NCI) Australia. This study would not be possible without the combined efforts of the Consortium for Ocean-Sea Ice Model-ling in Australia (COSIMA) in developing the model configurations used in this study.</t>
  </si>
  <si>
    <t>10.1175/JCLI-D-21-0796.1</t>
  </si>
  <si>
    <t>H0BM5</t>
  </si>
  <si>
    <t>WOS:000992704100001</t>
  </si>
  <si>
    <t>Fassbender, ML; Hannington, M; Stewart, M; Brandl, PA; Baxter, AT; Diekrup, D</t>
  </si>
  <si>
    <t>Fassbender, Marc Lorin; Hannington, Mark; Stewart, Margaret; Brandl, Philipp Alexander; Baxter, Alan Thomas; Diekrup, David</t>
  </si>
  <si>
    <t>Geochemical Signatures of Felsic Volcanic Rocks in Modern Oceanic Settings and Implications for Archean Greenstone Belts</t>
  </si>
  <si>
    <t>ECONOMIC GEOLOGY</t>
  </si>
  <si>
    <t>BACK-ARC BASIN; IZU-BONIN ARC; TRACE-ELEMENT GEOCHEMISTRY; PACIFIC-ANTARCTIC RISE; SILICIC MAGMAS; SUPERIOR-PROVINCE; ASCENSION ISLAND; MIDOCEAN RIDGE; OKINAWA TROUGH; CU-ZN</t>
  </si>
  <si>
    <t>Felsic volcanic rocks are abundant in ancient greenstone belts and important host rocks for volcanogenic mas-sive sulfide (VMS) deposits. About half of all VMS deposits are hosted by dacite or rhyolite, an association that reflects anomalous heat flow during rifting, partial melting of basaltic crust, and fractional crystallization in high-level magma chambers. For over 30 years, geochemical signatures of these rocks (e.g., F classification of Archean rhyolites) have been widely used to identify possible hosts for VMS deposits in ancient greenstone belts. However, comparisons with modern oceanic settings have been limited, owing to a lack of samples of fel-sic volcanic rocks from the sea floor. This is changing with increasing exploration of the oceans. In this study, we have compiled high-quality geochemical analyses of more than 2,200 unique samples of submarine felsic vol-canic rocks (&gt;60 wt % SiO2) from a wide range of settings, including mid-ocean ridges, ridge-hot-spot intersec-tions, intraoceanic arc and back-arc spreading centers, and ocean islands. The compiled data show significant geochemical diversity spanning the full range of compositions of rhyolites found in ancient greenstone belts. This diversity is interpreted to reflect variations in crustal thickness, the presence or absence of slab-derived fluids (dry melting versus wet melting), and mantle anomalies. Highly variable melting conditions are thought to be related to short-lived microplate domains, such as those caused by diffuse spreading and multiple over-lapping spreading centers. Systematic differences in the compositions of felsic volcanic rocks in the modern oceanic settings are revealed by a combination of principal components analysis, unsupervised hierarchical clustering, and supervised random forest classification of the compiled data. Dacites and rhyolites from mid -ocean ridge settings have moderately depleted mantle signatures, whereas rocks from ridge-hot-spot intersec-tions and ocean islands reflect enriched mantle sources. Felsic volcanic rocks from arc-back-arc systems have strongly depleted mantle signatures and well-known subduction-related chemistry (strong large ion lithophile element enrichment in combination with strong negative Nb-Ta anomalies and low heavy rare earth elements [HREEs]). This contrasts with felsic volcanic rocks in Archean greenstone belts, which show high field strength element and HREE enrichment (so-called FIIIb-type) due to a less depleted mantle, a lack of wet melting, and variable crustal contamination. The differences between modern and ancient volcanic rocks are interpreted to reflect the lower mantle temperatures, thinner crust, and subduction-related processes in present-day set-tings. We suggest that the abundance of FIIIb-type felsic volcanic rocks in Archean greenstone belts is related to buoyant microplate domains with thickened oceanic crust that were better preserved on emerging Archean cratons, whereas in post-Archean tectonic settings most of these rocks are subducted.</t>
  </si>
  <si>
    <t>[Fassbender, Marc Lorin; Hannington, Mark; Baxter, Alan Thomas; Diekrup, David] Univ Ottawa, Dept Earth &amp; Environm Sci, Ottawa, ON K1N 6N5, Canada; [Hannington, Mark; Brandl, Philipp Alexander] GEOMAR Helmholtz Ctr Ocean Res Kiel, D-24148 Kiel, Germany; [Stewart, Margaret] Mt Royal Univ, Dept Earth &amp; Environm Sci, Calgary, AB T3E 6K6, Canada</t>
  </si>
  <si>
    <t>University of Ottawa; Helmholtz Association; GEOMAR Helmholtz Center for Ocean Research Kiel; Mount Royal University</t>
  </si>
  <si>
    <t>Fassbender, ML (corresponding author), Univ Ottawa, Dept Earth &amp; Environm Sci, Ottawa, ON K1N 6N5, Canada.</t>
  </si>
  <si>
    <t>mfass081@uottawa.ca</t>
  </si>
  <si>
    <t>Canada First Re-search Excellence Fund (CFREF, Metal Earth); Marine Mineral Resources Group at the GEOMAR Helmholtz Centre for Ocean Research Kiel; Helmholtz Association; Natural Sciences and Engineering Research Council of Canada (NSERC); German Ministry of Science and Education (BMBF) [03G0267]; NSERC Collaborative Research and Training Experience program (iMAGE-CRE-ATE) on Marine Geodynamics and Georesources</t>
  </si>
  <si>
    <t>Canada First Re-search Excellence Fund (CFREF, Metal Earth); Marine Mineral Resources Group at the GEOMAR Helmholtz Centre for Ocean Research Kiel(Helmholtz Association); Helmholtz Association(Helmholtz Association); Natural Sciences and Engineering Research Council of Canada (NSERC)(Natural Sciences and Engineering Research Council of Canada (NSERC)); German Ministry of Science and Education (BMBF)(Federal Ministry of Education &amp; Research (BMBF)); NSERC Collaborative Research and Training Experience program (iMAGE-CRE-ATE) on Marine Geodynamics and Georesources</t>
  </si>
  <si>
    <t>We thank Pierre-Simon Ross and Stephen Piercey for the helpful comments on the improvement of this manuscript and the comparisons with Abitibi greenstone belt felsic volcanic rocks. This research was funded through the Canada First Research Excellence Fund (CFREF, Metal Earth) and the Marine Mineral Resources Group at the GEOMAR Helmholtz Centre for Ocean Research Kiel. The Helmholtz Association, the Natural Sciences and Engineering Research Council of Canada (NSERC) , and the German Ministry of Science and Education (BMBF, grant 03G0267) are acknowledged for the support of this work through research grants to the authors. The project is also supported by the NSERC Collaborative Research and Training Experience program (iMAGE-CRE-ATE) on Marine Geodynamics and Georesources. This is contribution MERC-ME-2022-12.</t>
  </si>
  <si>
    <t>SOC ECONOMIC GEOLOGISTS, INC</t>
  </si>
  <si>
    <t>LITTLETON</t>
  </si>
  <si>
    <t>7811 SCHAFFER PARKWAY, LITTLETON, CO 80127 USA</t>
  </si>
  <si>
    <t>0361-0128</t>
  </si>
  <si>
    <t>1554-0774</t>
  </si>
  <si>
    <t>ECON GEOL</t>
  </si>
  <si>
    <t>Econ. Geol.</t>
  </si>
  <si>
    <t>10.5382/econgeo.4967;27p.</t>
  </si>
  <si>
    <t>E7MH0</t>
  </si>
  <si>
    <t>WOS:000977336700002</t>
  </si>
  <si>
    <t>Bergeron, LA; Besenbacher, S; Zheng, J; Li, PY; Bertelsen, MF; Quintard, B; Hoffman, JI; Li, ZP; Leger, JS; Shao, CW; Stiller, J; Gilbert, MTP; Schierup, MH; Zhang, GJ</t>
  </si>
  <si>
    <t>Bergeron, Lucie A.; Besenbacher, Soren; Zheng, Jiao; Li, Panyi; Bertelsen, Mads Frost; Quintard, Benoit; Hoffman, Joseph I.; Li, Zhipeng; Leger, Judy St; Shao, Changwei; Stiller, Josefin; Gilbert, M. Thomas P.; Schierup, Mikkel H.; Zhang, Guojie</t>
  </si>
  <si>
    <t>Evolution of the germline mutation rate across vertebrates</t>
  </si>
  <si>
    <t>DE-NOVO MUTATIONS; MOLECULAR EVOLUTION; SPERM COMPETITION; GENERATION-TIME; HISTORY; INFERENCE; SEQUENCE; INSIGHTS; BIAS; SPERMATOGENESIS</t>
  </si>
  <si>
    <t>The germline mutation rate determines the pace of genome evolution and is an evolving parameter itself1. However, little is known about what determines its evolution, as most studies of mutation rates have focused on single species with different methodologies2. Here we quantify germline mutation rates across vertebrates by sequencing and comparing the high-coverage genomes of 151 parent- offspring trios from 68 species of mammals, fishes, birds and reptiles. We show that the per-generation mutation rate varies among species by a factor of 40, with mutation rates being higher for males than for females in mammals and birds, but not in reptiles and fishes. The generation time, age at maturity and species-level fecundity are the key life-history traits affecting this variation among species. Furthermore, species with higher long-term effective population sizes tend to have lower mutation rates per generation, providing support for the drift barrier hypothesis3. The exceptionally high yearly mutation rates of domesticated animals, which have been continually selected on fecundity traits including shorter generation times, further support the importance of generation time in the evolution of mutation rates. Overall, our comparative analysis of pedigree-based mutation rates provides ecological insights on the mutation rate evolution in vertebrates.</t>
  </si>
  <si>
    <t>[Bergeron, Lucie A.; Stiller, Josefin; Zhang, Guojie] Univ Copenhagen, Villum Ctr Biodivers Genom, Dept Biol, Sect Ecol &amp; Evolut, Copenhagen, Denmark; [Besenbacher, Soren] Aarhus Univ, Dept Mol Med, Aarhus, Denmark; [Zheng, Jiao; Li, Panyi] BGI Shenzhen, Shenzhen, Peoples R China; [Zheng, Jiao] Univ Chinese Acad Sci, BGI Educ Ctr, Shenzhen, Peoples R China; [Bertelsen, Mads Frost] Copenhagen Zoo, Frederiksberg, Denmark; [Quintard, Benoit] Parc Zoolog &amp; Bot Mulhouse, Mulhouse, France; [Hoffman, Joseph I.] Bielefeld Univ, Dept Anim Behav, Bielefeld, Germany; [Hoffman, Joseph I.] British Antarctic Survey, Cambridge, England; [Li, Zhipeng] Jilin Agr Univ, Coll Anim Sci &amp; Technol, Changchun, Peoples R China; [Leger, Judy St] Cornell Univ, Dept Biomed Sci, Ithaca, NY USA; [Shao, Changwei] Yellow Sea Fisheries Res Inst, Chinese Acad Fishery Sci, Key Lab Sustainable Dev Marine Fisheries, Minist Agr &amp; Rural Affairs, Qingdao, Peoples R China; [Gilbert, M. Thomas P.] Univ Copenhagen, GLOBE Inst, Ctr Evolutionary Hologen, Copenhagen, Denmark; [Gilbert, M. Thomas P.] Univ Museum, NTNU, Trondheim, Norway; [Schierup, Mikkel H.] Aarhus Univ, Bioinformat Res Ctr, Aarhus, Denmark; [Zhang, Guojie] Zhejiang Univ Sch Med, Womens Hosp, Ctr Evolutionary &amp; Organismal Biol, Hangzhou, Peoples R China; [Zhang, Guojie] Zhejiang Univ Med Ctr, Liangzhu Lab, Hangzhou, Peoples R China; [Zhang, Guojie] Chinese Acad Sci, Kunming Inst Zool, State Key Lab Genet Resources &amp; Evolut, Kunming, Peoples R China</t>
  </si>
  <si>
    <t>University of Copenhagen; Aarhus University; Beijing Genomics Institute (BGI); Chinese Academy of Sciences; University of Chinese Academy of Sciences, CAS; University of Bielefeld; UK Research &amp; Innovation (UKRI); Natural Environment Research Council (NERC); NERC British Antarctic Survey; Jilin Agricultural University; Cornell University; Ministry of Agriculture &amp; Rural Affairs; Chinese Academy of Fishery Sciences; Yellow Sea Fisheries Research Institute, CAFS; University of Copenhagen; Aarhus University; Zhejiang University; Liangzhu Laboratory; Chinese Academy of Sciences; Kunming Institute of Zoology, CAS</t>
  </si>
  <si>
    <t>Bergeron, LA; Zhang, GJ (corresponding author), Univ Copenhagen, Villum Ctr Biodivers Genom, Dept Biol, Sect Ecol &amp; Evolut, Copenhagen, Denmark.;Zhang, GJ (corresponding author), Zhejiang Univ Sch Med, Womens Hosp, Ctr Evolutionary &amp; Organismal Biol, Hangzhou, Peoples R China.;Zhang, GJ (corresponding author), Zhejiang Univ Med Ctr, Liangzhu Lab, Hangzhou, Peoples R China.;Zhang, GJ (corresponding author), Chinese Acad Sci, Kunming Inst Zool, State Key Lab Genet Resources &amp; Evolut, Kunming, Peoples R China.</t>
  </si>
  <si>
    <t>lucie.a.bergeron@gmail.com; guojiezhang@zju.edu.cn</t>
  </si>
  <si>
    <t>Stiller, Josefin/T-8897-2019; Bertelsen, Mads/AAA-5746-2022; Zhang, Guojie/HCH-1880-2022; Schierup, Mikkel Heide/AAM-4997-2020; Gilbert, Thomas/JSK-2650-2023; St. Leger, Judy/AAD-3565-2019; Gilbert, Marcus/A-8936-2013; Hoffman, Joseph/K-7725-2012; shao, changwei/I-2054-2016</t>
  </si>
  <si>
    <t>Stiller, Josefin/0000-0001-6009-9581; Bertelsen, Mads/0000-0001-9201-7499; Schierup, Mikkel Heide/0000-0002-5028-1790; St. Leger, Judy/0000-0002-6213-3429; Gilbert, Marcus/0000-0002-5805-7195; Hoffman, Joseph/0000-0001-5895-8949; Bergeron, Lucie/0000-0003-1877-1690; shao, changwei/0000-0002-6953-2203; Besenbacher, Soren/0000-0003-1455-1738</t>
  </si>
  <si>
    <t>Barcelona Zoo Biological Bank - Strategic Priority Research Programme [XDB13020000]; Chinese Academy of Sciences; Villum Foundation; Carlsberg Foundation; Novo Nordisk Foundation [396774617]; German Research Foundation (DFG) [25900, CF16-0663]; SPP 1158 [424119118, 497640428]</t>
  </si>
  <si>
    <t>Barcelona Zoo Biological Bank - Strategic Priority Research Programme; Chinese Academy of Sciences(Chinese Academy of Sciences); Villum Foundation(Villum Fonden); Carlsberg Foundation(Carlsberg Foundation); Novo Nordisk Foundation(Novo Nordisk FoundationNovocure Limited); German Research Foundation (DFG)(German Research Foundation (DFG)); SPP 1158</t>
  </si>
  <si>
    <t>The authors thank the following contributors of samples for this study: A. Girard, C. Small, E. Couture, E. Gangloff, A. Bronikowski, F. Yu, H. Fernandez, A. Carbajal Brossa, the Barcelona Zoo Biological Bank, J. Partecke, J. Judson, F. Janzen, J. Fjeldsa, K. Thorup, K. Glover, L. Koren, M. Nagel, M. Fredholm, M. Liedvogel, T. Aquarium, P. Vullioud, S.-J. Luo, T. Gamble, Y. Yovel, J. Bakker, C. Bombis, T. Charlton, A. Corl, A. Foote, N. Geli, M. Guille, K. L. Hansen, W. Huizinga, M. Hunter, T. Knauf-Witzens, T. Lund Koch, S. Potier, A. Prahl, K. Robertson, C. Scala, M. Schellerup, I. Schnell, K. Vesterdorf, K. Wendelin, K. Worm and W.-z. Wang; G. Pacheco for valuable advice in the laboratory; K. Boomsma for stimulating conceptual discussions and for providing comments on the final version of this manuscript; and GenomeDK at Aarhus University for providing computational resources and support for this study. All sequencing data were generated with MGI-sequencers at the China National Genebank of BGI-Shenzhen. This project was funded by the Strategic Priority Research Programme (XDB13020000) and the International Partnership Programme (no. 152453KYSB20170002) of the Chinese Academy of Sciences, a Villum Investigator grant (no. 25900) from The Villum Foundation, and a Carlsberg Foundation Grant to G.Z. (CF16-0663). L.A.B. was supported by the Carlsberg Foundation and the Villum Foundation. M.H.S. was funded by the Novo Nordisk Foundation (NNF18OC0031004). J.I.H. was funded by the German Research Foundation (DFG) as part of the SFB TRR 212 (NC) (project nos. 316099922 and 396774617), the priority programme Antarctic Research with Comparative Investigations in Arctic Ice Areas SPP 1158 (project no. 424119118) and the sequencing costs in projects scheme (project no. 497640428).</t>
  </si>
  <si>
    <t>10.1038/s41586-023-05752-y</t>
  </si>
  <si>
    <t>G8LB1</t>
  </si>
  <si>
    <t>WOS:000971761700018</t>
  </si>
  <si>
    <t>Leane, E; Lavery, C; Nash, M</t>
  </si>
  <si>
    <t>Leane, Elizabeth; Lavery, Charne; Nash, Meredith</t>
  </si>
  <si>
    <t>?The Only Almost Germ-Free Continent Left? Pandemics and Purity in Cultural Perceptions of Antarctica</t>
  </si>
  <si>
    <t>ENVIRONMENTAL HUMANITIES</t>
  </si>
  <si>
    <t>Antarctica; virus; COVID-19; pandemic; purity</t>
  </si>
  <si>
    <t>FICTION; SCIENCE</t>
  </si>
  <si>
    <t>This article examines the role of pandemics and viruses in cultural perceptions of Antarctica over the past century. In the popular imagination, Antarctica has often been framed as a place of purity, refuge, and isolation. In a series of fiction and screen texts from the nine-teenth century to the present, viruses feature prominently. The texts fall into two categories: narratives in which Antarctica is the sole source of safety in a pandemic-ravaged world and those in which a virus (or another form of contagion) is discovered within the continent itself and needs to be contained. Viruses in these texts are not only literal but also metaphorical, tak-ing the form of any kind of threatening infection, and as such are linked to texts in which Ant-arctic purity is discursively connected to racial and gendered exclusivity. Based on this compar-ison, the article argues that ideas of containment and contagion can have political connotations in an Antarctic context, to the extent that they are applied to particular groups of people in order to position them as alien to the Antarctic environment. The authors show that the re-cent media construction of Antarctica during COVID-19 needs to be understood against this dis-turbing aspect of the Antarctic imaginary, and also that narratives of Antarctic purity are imag-inatively linked to both geopolitical exclusions and the melting of Antarctic ice.</t>
  </si>
  <si>
    <t>[Leane, Elizabeth] Univ Tasmania, Coll Arts Law &amp; Educ, Sch Humanities, Hobart, Australia; [Lavery, Charne] Univ Pretoria, Dept English, Pretoria, South Africa; [Lavery, Charne] Univ Witwatersrand, WiSER, Johannesburg, South Africa; [Nash, Meredith] Australian Natl Univ, Coll Engn &amp; Comp Sci, Canberra, Australia</t>
  </si>
  <si>
    <t>University of Tasmania; University of Pretoria; University of Witwatersrand; Australian National University</t>
  </si>
  <si>
    <t>Leane, E (corresponding author), Univ Tasmania, Coll Arts Law &amp; Educ, Sch Humanities, Hobart, Australia.</t>
  </si>
  <si>
    <t>Scientific Committee on Antarctic Research (SCAR); South African National Research Foundation's National Antarctic Programme (SANAP) grant [129219]</t>
  </si>
  <si>
    <t>Scientific Committee on Antarctic Research (SCAR); South African National Research Foundation's National Antarctic Programme (SANAP) grant</t>
  </si>
  <si>
    <t>The research was affiliated with a research program supported by the Scientific Committee on Antarctic Research (SCAR) on the implications of COVID-19 on Antarctica, and we kindly acknowledge financial support for the overall research program management by SCAR. Lavery's research was partly financially supported by the South African National Research Foundation's National Antarctic Programme (SANAP) grant 129219.</t>
  </si>
  <si>
    <t>DUKE UNIV PRESS</t>
  </si>
  <si>
    <t>DURHAM</t>
  </si>
  <si>
    <t>905 W MAIN ST, STE 18-B, DURHAM, NC 27701 USA</t>
  </si>
  <si>
    <t>2201-1919</t>
  </si>
  <si>
    <t>ENVIRON HUMANITIES</t>
  </si>
  <si>
    <t>Environ. Humanit.</t>
  </si>
  <si>
    <t>10.1215/22011919-10216184</t>
  </si>
  <si>
    <t>Humanities, Multidisciplinary</t>
  </si>
  <si>
    <t>Arts &amp; Humanities - Other Topics</t>
  </si>
  <si>
    <t>E6DP6</t>
  </si>
  <si>
    <t>WOS:000976429600007</t>
  </si>
  <si>
    <t>Tamhane, J; Thomas, ZA; Cadd, H; Harris, MRP; Turney, C; Marjo, CE; Wang, HX; Akter, R; Panaretos, P; Halim, A; Gadd, PS; Carter, S; Brickle, P</t>
  </si>
  <si>
    <t>Tamhane, Jamie; Thomas, Zoe A.; Cadd, Haidee; Harris, Matthew R. P.; Turney, Chris; Marjo, Christopher E.; Wang, Huixin; Akter, Rabeya; Panaretos, Panayiotis; Halim, Amalia; Gadd, Patricia S.; Carter, Stefanie; Brickle, Paul</t>
  </si>
  <si>
    <t>Mid-Holocene intensification of Southern Hemisphere westerly winds and implications for regional climate dynamics</t>
  </si>
  <si>
    <t>Southern hemisphere westerly winds; Dust; Peat; Itrax; Rare earth elements; HYSPLIT; Radiocarbon dating; Amundsen Sea Low; Falkland Islands; Cryptotephra</t>
  </si>
  <si>
    <t>AMUNDSEN SEA LOW; HOLOCENE CLIMATE; RAINFALL VARIABILITY; VEGETATION CHANGES; FALKLAND ISLANDS; LATE PLEISTOCENE; ANNULAR MODE; RECORD; DUST; ANTARCTICA</t>
  </si>
  <si>
    <t>The Southern Hemisphere westerly winds (SWW), a belt of strong zonal winds in the mid-latitudes, play a key role in Southern Hemisphere climate variability. Recent intensification and southwards migration of the SWW is projected to continue due to anthropogenic climate change and despite a recovering Antarctic ozone hole, impacting regional hydroclimate, ocean circulation and carbon cycling. Despite the importance of the SWW, our understanding of their behaviour on centennial to millennial timescales is limited by the inherently short observational record and limited palaeo-archive agreement on the wind belt's Holocene dynamics. Here we utilise dust flux, Itrax core scanning, rare earth element composition and HYSPLIT particle modelling to present a 8700-year (10,500e170 0 cal yr BP) reconstruction of local SWW intensity from a Falkland Islands (Islas Malvinas) peat sediment core which, along with other reconstructions, we interpret in a regional South Atlantic and hemispheric context. We find increased dust deposition and variability from ca. 5700 cal yr BP, signalling an intensification and possible southwards shift of the SWW, though Patagonia likely remains the primary distal dust source throughout our record. Additionally, we identify asymmetric behaviour in the SWW belt from 3000 to 1700 cal yr BP over southern South America and the southwest Atlantic. In alignment with these findings, we propose a possible eastwards projection of the Amundsen Sea Low (ASL) into the South Atlantic during this period. Two volcanic eruptions, likely from Mt Burney (ca. 9700 cal yr BP) and Mt Hudson (ca. 4100 cal yr BP), are captured as cryptotephra deposits in the record. Our precisely dated, high-resolution multiproxy record of South Atlantic wind-blown transport provides an important new dataset that accurately constrains SWW Holocene variability over the Falkland Islands.(c) 2023 The Authors. Published by Elsevier Ltd. This is an open access article under the CC BY license (http://creativecommons.org/licenses/by/4.0/).</t>
  </si>
  <si>
    <t>[Tamhane, Jamie; Thomas, Zoe A.; Harris, Matthew R. P.; Marjo, Christopher E.; Panaretos, Panayiotis] Univ New South Wales, ESSRC, Sch Biol Earth &amp; Environm Sci, Sydney, NSW 2052, Australia; [Tamhane, Jamie; Thomas, Zoe A.; Cadd, Haidee; Marjo, Christopher E.; Panaretos, Panayiotis] Univ New South Wales, Mark Wainwright Analyt Ctr, Chronos Carbon Cycle Facil 14, Sydney, NSW 2052, Australia; [Thomas, Zoe A.] Univ Southampton, Sch Geog &amp; Environm Sci, Southampton SO17 1BJ, England; [Cadd, Haidee] Univ Wollongong, ARC Ctr Excellence Australian Biodivers &amp; Heritag, Wollongong, NSW 2522, Australia; [Harris, Matthew R. P.] Keele Univ, Sch Geog Geol &amp; Environm, Keele ST5 5BG, Staffs, England; [Turney, Chris] Univ Technol Sydney, Div Res, Ultimo, NSW 2007, Australia; [Marjo, Christopher E.; Wang, Huixin; Akter, Rabeya] Univ New South Wales, Mark Wainwright Analyt Ctr, Solid State &amp; Elemental Anal Unit, Sydney, NSW 2052, Australia; [Halim, Amalia] Univ New South Wales, Mark Wainwright Analyt Ctr, Tyree X ray Microct Lab, Sydney, NSW 2052, Australia; [Gadd, Patricia S.] Australian Nucl Sci &amp; Technol Org, Lucas Hts, Sydney, NSW 2234, Australia; [Carter, Stefanie; Brickle, Paul] South Atlantic Environm Res Inst SAERI, Stanley, Falkland Island; [Brickle, Paul] Univ Aberdeen, Sch Biol Sci Zool, Aberdeen AB24 2TZ, Scotland</t>
  </si>
  <si>
    <t>University of New South Wales Sydney; University of New South Wales Sydney; University of Southampton; University of Wollongong; Keele University; University of Technology Sydney; University of New South Wales Sydney; University of New South Wales Sydney; Australian Nuclear Science &amp; Technology Organisation; University of Aberdeen</t>
  </si>
  <si>
    <t>Thomas, ZA (corresponding author), Univ Southampton, Sch Geog &amp; Environm Sci, Southampton SO17 1BJ, England.</t>
  </si>
  <si>
    <t>jamestamhane1@gmail.com; z.thomas@soton.ac.uk</t>
  </si>
  <si>
    <t>Harris, Matthew Richard Pain/JCE-3200-2023; Wang, Huixin/E-8977-2015; Thomas, Zoe/D-1656-2016</t>
  </si>
  <si>
    <t>Harris, Matthew Richard Pain/0000-0002-3726-2376; Marjo, Christopher/0000-0003-0549-0363; Akter, Rabeya/0000-0002-9147-6383; Cadd, Haidee/0000-0001-5770-3557; Thomas, Zoe/0000-0002-2323-4366; Carter, Stefanie/0000-0001-7713-876X</t>
  </si>
  <si>
    <t>ARC DECRA Fellowship [DE200100907]; Australian Research Council [DE200100907] Funding Source: Australian Research Council</t>
  </si>
  <si>
    <t>ARC DECRA Fellowship(Australian Research Council); Australian Research Council(Australian Research Council)</t>
  </si>
  <si>
    <t>We acknowledge Dr Bill Hiscock and Juee Vohra of UNSW MWAC for their work with radiocarbon dating. We would also like to acknowledge the families of Weddell Island, specifically Lewis Clifton, Stephen Clifton, Robert Short and Jo Turner, for facilitating and assisting with field work in the Falkland Islands. This work was supported by an ARC DECRA Fellowship (DE200100907) awarded to Dr Z. Thomas.</t>
  </si>
  <si>
    <t>10.1016/j.quascirev.2023.108007</t>
  </si>
  <si>
    <t>D0QM2</t>
  </si>
  <si>
    <t>WOS:000965858700001</t>
  </si>
  <si>
    <t>Polishchuk, A; Kayastha, P; Kovalenko, P; Parnikoza, I; Kaczmarek, L</t>
  </si>
  <si>
    <t>Polishchuk, Anastasiia; Kayastha, Pushpalata; Kovalenko, Pavlo; Parnikoza, Ivan; Kaczmarek, Lukasz</t>
  </si>
  <si>
    <t>NEW RECORDS OF TARDIGRADES FROM THE DANCO AND GRAHAM COASTS, THE MARITIME ANTARCTIC</t>
  </si>
  <si>
    <t>ANNALES ZOOLOGICI</t>
  </si>
  <si>
    <t>Key words.; Western Coast of Antarctic Peninsula; Galindez Island; Tardigrada; water</t>
  </si>
  <si>
    <t>INTEGRATIVE DESCRIPTION; SPECIES-DIVERSITY; HARMSWORTHI GROUP; HUFELANDI GROUP; SP. NOV.; EUTARDIGRADA; MACROBIOTIDAE; REDESCRIPTION; HYPSIBIIDAE; GENUS</t>
  </si>
  <si>
    <t>Antarctic is an area with extreme conditions for the survival of living organisms, as well as a specific region for conducting research. For this reason, studies of Antarctic tardigrades are rather fragmentary. Since 1904, when the first tardigrade was described in the Antarctic, up to the present, 76 species of tardigrades have been reported from Antarctic and Subantarctic regions. In this paper, we report seven tardigrade taxa found in different locations of the western coast of the Antarctic Peninsula during the 26(th) Ukrainian Antarctic Expedition. Diphascon puchalskii and Mesobiotus aradasi are recorded for the first time outside type localities for Danco Coast and the area outside King George Island correspondently.</t>
  </si>
  <si>
    <t>[Polishchuk, Anastasiia; Kayastha, Pushpalata; Kaczmarek, Lukasz] Adam Mickiewicz Univ, Fac Biol, Dept Anim Taxon &amp; Ecol, Poznan, Poland; [Polishchuk, Anastasiia] Kharkov Natl Univ, Sch Biol, Dept Zool &amp; Anim Ecol, Kharkiv, Ukraine; [Kovalenko, Pavlo] Natl Acad Sci Ukraine, Inst Evolutionary Ecol, Kiev, Ukraine; [Parnikoza, Ivan] Natl Antarctic Sci Ctr Ukraine, Kiev, Ukraine; [Parnikoza, Ivan] Natl Acad Sci Ukraine, Inst Mol Biol &amp; Genet, Kiev, Ukraine</t>
  </si>
  <si>
    <t>Adam Mickiewicz University; Ministry of Education &amp; Science of Ukraine; VN Karazin Kharkiv National University; National Academy of Sciences Ukraine; Ministry of Education &amp; Science of Ukraine; State Institution National Antarctic Scientific Center; National Academy of Sciences Ukraine; Institute of Molecular Biology &amp; Genetics of NASU</t>
  </si>
  <si>
    <t>Polishchuk, A (corresponding author), Adam Mickiewicz Univ, Fac Biol, Dept Anim Taxon &amp; Ecol, Poznan, Poland.;Polishchuk, A (corresponding author), Kharkov Natl Univ, Sch Biol, Dept Zool &amp; Anim Ecol, Kharkiv, Ukraine.</t>
  </si>
  <si>
    <t>anastasiia.m.polishchuk@gmail.com</t>
  </si>
  <si>
    <t>Kovalenko, Pavlo Andriiovych/AAZ-5679-2021</t>
  </si>
  <si>
    <t>Kovalenko, Pavlo Andriiovych/0000-0002-9533-3080; Polishchuk, Anastasiia/0000-0002-8698-3508</t>
  </si>
  <si>
    <t>Faculty of Biology, Adam Mickiewicz University, Poznan [POWR.03.02.00-00-I006/17]; Scholarship of the National Academy of Sciences of Ukraine for young scientists [509]</t>
  </si>
  <si>
    <t>Faculty of Biology, Adam Mickiewicz University, Poznan; Scholarship of the National Academy of Sciences of Ukraine for young scientists</t>
  </si>
  <si>
    <t>Studies have been conducted in the framework of activities of the BARg (Biodiversity and Astro-biology Research group) and according to the Ukrainian State Special-Purpose Research Program in Antarctica for 2011-2023. Pushpalata Kayastha is a scholarship holder of Passport to the future -Interdisciplinary doctoral studies at the Faculty of Biology, Adam Mickiewicz University, Poznan POWR.03.02.00-00-I006/17. Pavlo Kovalenko is supported by Scholarship of the National Academy of Sciences of Ukraine for young scientists (order No 509 from 31.10.2022). We also thank to captain Piotr Kuzniar and yacht Selma for possibility to collect samples in distant points of the maritime Antarctic.</t>
  </si>
  <si>
    <t>MUSEUM &amp; INST ZOOLOGY PAS-POLISH ACAD SCIENCES</t>
  </si>
  <si>
    <t>WILCZA STREET 64, 00-679 WARSAW, POLAND</t>
  </si>
  <si>
    <t>0003-4541</t>
  </si>
  <si>
    <t>1734-1833</t>
  </si>
  <si>
    <t>ANN ZOOL</t>
  </si>
  <si>
    <t>Ann. Zool.</t>
  </si>
  <si>
    <t>10.3161/00034541ANZ2023.73.1.002</t>
  </si>
  <si>
    <t>Entomology</t>
  </si>
  <si>
    <t>D7LW2</t>
  </si>
  <si>
    <t>WOS:000970515000002</t>
  </si>
  <si>
    <t>Liu, JJ; Chakraborty, S; Chen, XC; Wang, ZW; He, F; Hu, ZJ; Liu, ER; Bat-Erdene, A; Han, DS; Ruohoniemi, JM; Baker, JBH; Yang, HG; Zong, QG; Hu, HQ</t>
  </si>
  <si>
    <t>Liu, Jianjun; Chakraborty, Shibaji; Chen, Xiangcai; Wang, Zhiwei; He, Fang; Hu, Zejun; Liu, Erxiao; Bat-Erdene, Amarjargal; Han, Desheng; Ruohoniemi, J. Michael; Baker, Joseph B. H.; Yang, Huigen; Zong, Qiugang; Hu, Hongqiao</t>
  </si>
  <si>
    <t>Transient Response of Polar-Cusp Ionosphere to an Interplanetary Shock</t>
  </si>
  <si>
    <t>space weather; IP shock; SSC; SuperDARN; reverse convection; vertical drift</t>
  </si>
  <si>
    <t>AURORAL RADAR NETWORK; SPORADIC-E; ZHONGSHAN STATION; ELECTRIC-FIELDS; CHORUS WAVES; SOLAR-WIND; SUPERDARN; CONVECTION</t>
  </si>
  <si>
    <t>Interplanetary (IP) shock-driven sudden compression of the Earth's magnetosphere produces electromagnetic disturbances in the polar ionosphere. Several studies have examined the effects of IP shock on magnetosphere-ionosphere coupling systems using all-sky cameras and radars. In this study, we examine responses and drivers of the polar ionosphere following an IP shock compression on 16 June 2012. We observe the vertical drift and concurrent horizontal motion of the plasma. Observations from digisonde located at Antarctic Zhongshan station (ZHO) showed an ionospheric thick E region ionization and associated vertical downward plasma motion at F region. In addition, horizontal ionospheric convection reversals were observed on the Super Dual Auroral Radar Network ZHO and McMurdo radar observations. Findings suggest that the transient convective reversal breaks the original shear equilibrium, it is expected that the IP shock-induced electric field triggers an enhanced velocity shear mapping to the E region. The horizontal motion of the plasma was attributed to only the dusk-to-dawn electric field that existed during the preliminary phase of sudden impulse. We also found that ionospheric convection reversals were driven by a downward field-aligned current. The results of these observations reveal, for the first time, the immediate and direct cusp ionosphere response to the IP shock, which is critical for understanding the global response of the magnetosphere following an abrupt change in Interplanetory Magnetic Field (IMF) and solar wind conditions.</t>
  </si>
  <si>
    <t>[Liu, Jianjun; Chen, Xiangcai; Wang, Zhiwei; He, Fang; Hu, Zejun; Yang, Huigen; Zong, Qiugang; Hu, Hongqiao] Polar Res Inst China, MNR Key Lab Polar Sci, Shanghai, Peoples R China; [Liu, Jianjun; Chen, Xiangcai; Hu, Zejun; Hu, Hongqiao] Polar Res Inst China, Res Stn Snow &amp; Ice, Antarctic Zhongshan Natl Field Observat, Space Special Environm &amp; Disasters, Shanghai, Peoples R China; [Chakraborty, Shibaji; Ruohoniemi, J. Michael; Baker, Joseph B. H.] Virginia Tech, Bradley Dept Elect &amp; Comp Engn, Blacksburg, VA 24061 USA; [Liu, Erxiao] Hangzhou Dianzi Univ, Coll Commun Engn, Hangzhou, Peoples R China; [Bat-Erdene, Amarjargal] Inst Astron &amp; Geophys, Mongolian Acad Sci, Dept Geomagnet, Ulaanbaatar, Mongolia; [Han, Desheng] Tongji Univ, Sch Ocean &amp; Earth Sci, State Key Lab Marine Geol, Shanghai, Peoples R China; [Zong, Qiugang] Peking Univ, Inst Space Phys &amp; Appl Technol, Beijing, Peoples R China</t>
  </si>
  <si>
    <t>Polar Research Institute of China; Polar Research Institute of China; Virginia Polytechnic Institute &amp; State University; Hangzhou Dianzi University; Mongolian Academy of Sciences; Tongji University; Peking University</t>
  </si>
  <si>
    <t>Hu, ZJ (corresponding author), Polar Res Inst China, MNR Key Lab Polar Sci, Shanghai, Peoples R China.;Hu, ZJ (corresponding author), Polar Res Inst China, Res Stn Snow &amp; Ice, Antarctic Zhongshan Natl Field Observat, Space Special Environm &amp; Disasters, Shanghai, Peoples R China.;Chakraborty, S (corresponding author), Virginia Tech, Bradley Dept Elect &amp; Comp Engn, Blacksburg, VA 24061 USA.</t>
  </si>
  <si>
    <t>shibaji7@vt.edu; huzejun@pric.org.cn</t>
  </si>
  <si>
    <t>Hu, Ze-Jun/X-8090-2019; Chen, Xiangcai/S-9746-2019; Han, Desheng/H-6971-2018</t>
  </si>
  <si>
    <t>Hu, Ze-Jun/0000-0003-2448-2094; Chen, Xiangcai/0000-0002-6325-5049; Liu, Jianjun/0000-0003-0465-6210; Han, Desheng/0000-0002-6635-9214; wang, zhiwei/0000-0002-5395-5447; Chakraborty, Shibaji/0000-0001-6792-0037; Baker, Joseph/0000-0001-6255-3039</t>
  </si>
  <si>
    <t>National Scientific Foundation of China [41831072, 42130210, 42120104003, 41974185]; National Key R&amp;D Program of China [2021YFE0106400, 2022YFC2807205]; Shanghai Science and Technology Innovation Action Plan [21DZ1206100, 22ZR1481200]; Chinese Meridian Project; MNR Innovative Youth Talents Program [12110600000018003921]; National Science Foundation (NSF); NASA [80NSSC20K1380]; [AGS-1935110]</t>
  </si>
  <si>
    <t>National Scientific Foundation of China(National Natural Science Foundation of China (NSFC)); National Key R&amp;D Program of China; Shanghai Science and Technology Innovation Action Plan; Chinese Meridian Project; MNR Innovative Youth Talents Program; National Science Foundation (NSF)(National Science Foundation (NSF)); NASA(National Aeronautics &amp; Space Administration (NASA));</t>
  </si>
  <si>
    <t>This work was supported by the National Scientific Foundation of China (Grants 41831072, 42130210, 42120104003, and 41974185), the National Key R &amp; D Program of China (2021YFE0106400, 2022YFC2807205), the Shanghai Science and Technology Innovation Action Plan (21DZ1206100 and 22ZR1481200), the Chinese Meridian Project, and the MNR Innovative Youth Talents Program (12110600000018003921). Shibaji Chakraborty thanks to the National Science Foundation (NSF) and NASA for support under Grants AGS-1935110 and 80NSSC20K1380, respectively. National Arctic and Antarctic Data Center (http://www.chinare.org.cn) build upper atmospheric data sources. SC thanks the National Science Foundation for support under grant AGS-1935110. We acknowledge the NASA OMNI web for supplying IMF, solar wind, and geomagnetic parameters.</t>
  </si>
  <si>
    <t>e2022JA030565</t>
  </si>
  <si>
    <t>10.1029/2022JA030565</t>
  </si>
  <si>
    <t>E1ZV7</t>
  </si>
  <si>
    <t>WOS:000973609600001</t>
  </si>
  <si>
    <t>Crawford, A; Mueller, D</t>
  </si>
  <si>
    <t>Crawford, Anna.; Mueller, Derek</t>
  </si>
  <si>
    <t>Assessing Ice Island Drift Patterns, Ice Island Grounding Locations, and Gridded Bathymetry Products between Nares Strait and the North Atlantic</t>
  </si>
  <si>
    <t>ARCTIC</t>
  </si>
  <si>
    <t>anna; crawford@ed; ac; uk Research Laboratory; Department of Geography and Environmental Studies; B349 Loeb Building; Carleton By Drive; Ottawa; Canada of North America</t>
  </si>
  <si>
    <t>SIZE DISTRIBUTIONS; ANTARCTIC ICEBERGS; BAFFIN-BAY; CIRCULATION; GREENLAND; EVENTS; MODEL</t>
  </si>
  <si>
    <t>Large, tabular icebergs known as ice islands frequently transit the eastern Canadian Arctic and sub-Arctic after breaking away from ice tongues in northern Greenland. Here, we mine the Canadian Ice Island Drift, Deterioration and Detection (CI2D3) Database to contribute a descriptive assessment of the drift and grounding locations of Petermann ice islands (PII) following calving events at the Petermann Glacier in 2008, 2010, and 2012. We also use the CI2D3 Database to demonstrate how gridded bathymetry products can be improved using observations of ice island grounding and knowledge of ice island thickness. We find that most PII fragments followed a common southbound drift route directed by outflow from the Arctic Ocean and the dominant Baffin and Labrador Currents, which are strongest along the steep continental shelf break. Smaller ice islands were more prone to drift into the deeper waters of central Baffin Bay. As previously noted by northern community members, ice islands were also observed to drift into many adjacent sounds, channels, inlets, and straits. PIIs often grounded on shoals in Kane Basin, to the east of Coburg Island, and along the southeast coast of Baffin Island. Potential inaccuracies in two gridded bathymetry products were located in Jones Sound, near Coburg Island, and along the east coast of Baffin Island. Our approach to identifying these potential inaccuracies is shown to be sensitive to the estimate of ice island keel depth. Overall, this work provides synthesized observations of ice island occurrence and grounding as well as an approach to improving bathymetry products in a resource-rich marine region where traffic and industry operations are increasing</t>
  </si>
  <si>
    <t>[Crawford, Anna.] Univ Edinburgh, Sch Geosci, Drummond St, Edinburgh EH8 9XP, Scotland; [Mueller, Derek] Carleton Univ, Dept Geog &amp; Environm Studies, Water &amp; Ice Res Lab, B349 Loeb Bldg,Colonel By Dr, Ottawa, ON K1S 5B6, Canada</t>
  </si>
  <si>
    <t>University of Edinburgh; Carleton University</t>
  </si>
  <si>
    <t>Crawford, A (corresponding author), Univ Edinburgh, Sch Geosci, Drummond St, Edinburgh EH8 9XP, Scotland.</t>
  </si>
  <si>
    <t>anna.crawford@ed.ac.uk</t>
  </si>
  <si>
    <t>Mueller, Derek/0000-0003-1974-319X</t>
  </si>
  <si>
    <t>Environment and Climate Change Canada (ECCC), Polar Knowledge Canada; Canada Foundation for Innovation; Ontario Research Fund; Canadian Ice Service (ECCC)</t>
  </si>
  <si>
    <t>Environment and Climate Change Canada (ECCC), Polar Knowledge Canada; Canada Foundation for Innovation(Canada Foundation for InnovationCGIARSpanish Government); Ontario Research Fund; Canadian Ice Service (ECCC)</t>
  </si>
  <si>
    <t>We would like to thank all team members associated with the Canadian Ice Island Drift, Deterioration and Detection (CI2D3) Database project, which received funding and support through Environment and Climate Change Canada (ECCC), Polar Knowledge Canada, the Canada Foundation for Innovation, the Ontario Research Fund, and the Canadian Ice Service (ECCC). We also appreciate input from Luc Desjardins regarding the CI2D3 Database creation, Andrew Hamilton (University of Alberta) and Gabriel Joyal regarding bathymetric products, Adam Garbo regarding Cryologger deployments, and Andreas Miinchow (University of Delaware) regarding the thickness of the 2010 and 2012 Petermann ice islands. Scripts used to analyse the bathymetric products are available at https://github.com/wirl-ice/ice-islands-and-bathymetry-products.</t>
  </si>
  <si>
    <t>ARCTIC INST N AMER</t>
  </si>
  <si>
    <t>CALGARY</t>
  </si>
  <si>
    <t>UNIV OF CALGARY 2500 UNIVERSITY DRIVE NW 11TH FLOOR LIBRARY TOWER, CALGARY, ALBERTA T2N 1N4, CANADA</t>
  </si>
  <si>
    <t>0004-0843</t>
  </si>
  <si>
    <t>1923-1245</t>
  </si>
  <si>
    <t>Arctic</t>
  </si>
  <si>
    <t>10.14430/arctic76227</t>
  </si>
  <si>
    <t>Environmental Sciences; Geography, Physical</t>
  </si>
  <si>
    <t>C2RD1</t>
  </si>
  <si>
    <t>WOS:000960441800002</t>
  </si>
  <si>
    <t>Seydametova, E; Zainol, N; Convey, P</t>
  </si>
  <si>
    <t>Seydametova, E.; Zainol, N.; Convey, P.</t>
  </si>
  <si>
    <t>Optimization of Single-step Pravastatin Production by Penicillium brefeldianum ESF21P through Response Surface Methodology</t>
  </si>
  <si>
    <t>RESEARCH JOURNAL OF BIOTECHNOLOGY</t>
  </si>
  <si>
    <t>Central composite rotatable design; Fractional factorial design; Lipid-lowering agent; Submerged fermentation</t>
  </si>
  <si>
    <t>PURPUREUS MTCC 369; LOVASTATIN PRODUCTION; COMPACTIN PRODUCTION; PARAMETERS; STATINS; SODIUM</t>
  </si>
  <si>
    <t>The aim of the present study was to optimize the fermentation process for enhanced production of pravastatin by a wild-type Penicillium brefeldianum ESF21P strain using statistical approaches. Initial screening of significant variables influencing pravastatin production was carried out using 27-3 fractional factorial design. The seven variables involved in this study were slant age, spore concentration, inoculum volume, fermentation time, temperature, initial pH of the medium and agitation rate. Amongst these, slant age, fermentation time, initial pH of the medium and agitation rate had significant influences on pravastatin accumulation. These four variables were further optimized using the central composite rotatable design of response surface methodology. The analysis revealed that the optimal values of the selected variables were a slant age of 5.95 days, fermentation time of 11.87 days, initial pH of the medium of 6.13 and agitation rate of 211.31 rpm (rounded to 210 rpm). These optimized conditions resulted in a maximum level of pravastatin accumulation (234.36 mg/L), approaching the value predicted by the model of 251.19 mg/L. This study confirmed that statistical approaches can be successfully applied as practical tools in improving single-step production of pravastatin by Penicillium brefeldianum ESF21P.</t>
  </si>
  <si>
    <t>[Seydametova, E.; Zainol, N.] Univ Malaysia Pahang, Coll Engn, Lebuhraya Tun Razak, Kuantan 26300, Pahang, Malaysia; [Seydametova, E.] Acad Sci Uzbek, Inst Microbiol, Tashkent 100128, Uzbekistan; [Convey, P.] NERC, British Antarctic Survey, Cambridge CB3 0ET, England; [Convey, P.] Univ Johannesburg, Dept Zool, ZA-2006 Auckland Pk, South Africa</t>
  </si>
  <si>
    <t>Universiti Malaysia Pahang Al-Sultan Abdullah (UMPSA); Academy of Sciences of Uzbekistan; Institute of Microbiology, Uzbekistan; UK Research &amp; Innovation (UKRI); Natural Environment Research Council (NERC); NERC British Antarctic Survey; University of Johannesburg</t>
  </si>
  <si>
    <t>Seydametova, E (corresponding author), Univ Malaysia Pahang, Coll Engn, Lebuhraya Tun Razak, Kuantan 26300, Pahang, Malaysia.;Seydametova, E (corresponding author), Acad Sci Uzbek, Inst Microbiol, Tashkent 100128, Uzbekistan.</t>
  </si>
  <si>
    <t>dr.seydametova@gmail.com</t>
  </si>
  <si>
    <t>Convey, Peter/AAV-5728-2020</t>
  </si>
  <si>
    <t>Convey, Peter/0000-0001-8497-9903</t>
  </si>
  <si>
    <t>Research and Management Center of the Universiti Malaysia Pahang [RDU100319]; NERC</t>
  </si>
  <si>
    <t>Research and Management Center of the Universiti Malaysia Pahang; NERC(UK Research &amp; Innovation (UKRI)Natural Environment Research Council (NERC))</t>
  </si>
  <si>
    <t>This investigation was supported by the grant RDU100319 from the Research and Management Center of the Universiti Malaysia Pahang. The authors would like to thank Universiti Malaysia Pahang for providing all necessary facilities for the successful completion of the research work. Convey P. was supported by NERC core funding to the BAS 'Biodiversity, Evolution and Adaptation' Team.</t>
  </si>
  <si>
    <t>RESEARCH JOURNAL BIOTECHNOLOGY</t>
  </si>
  <si>
    <t>INDORE</t>
  </si>
  <si>
    <t>SECTOR A-80, SCHEME NO 54, VIJAY NAGAR, A B ROAD, INDORE, 452 010 MP, INDIA</t>
  </si>
  <si>
    <t>2278-4535</t>
  </si>
  <si>
    <t>RES J BIOTECHNOL</t>
  </si>
  <si>
    <t>Res. J. Biotechnol.</t>
  </si>
  <si>
    <t>A5WD5</t>
  </si>
  <si>
    <t>WOS:000955814600006</t>
  </si>
  <si>
    <t>Kupriyanova, E; ten Hove, HA; Rouse, GW</t>
  </si>
  <si>
    <t>Kupriyanova, Elena; ten Hove, Harry A. A.; Rouse, Greg W. W.</t>
  </si>
  <si>
    <t>Phylogeny of Serpulidae (Annelida, Polychaeta) Inferred from Morphology and DNA Sequences, with a New Classification</t>
  </si>
  <si>
    <t>Annelida; Serpulidae; phylogeny; Bayesian analysis; maximum likelihood</t>
  </si>
  <si>
    <t>FICOPOMATUS-ENIGMATICUS FAUVEL; OPERCULAR INSERTION; CHARACTER; EVOLUTION; SABELLIDAE; ALIGNMENT; PACIFIC; GULF; RDNA; DISCUSSIONS</t>
  </si>
  <si>
    <t>Serpulidae Rafinesque, 1815 is a speciose group of polychaetes that all inhabit calcareous tubes. The family was traditionally subdivided into Serpulinae, Filograninae, and Spirorbinae. Recent phylogenetic analyses have suggested that both Filograninae and Serpulinae are paraphyletic, though with limited sampling. Here we report the first phylogenetic analysis of Serpulidae based on comprehensive sampling of genera (though excluding most spirorbin genera). We include a much-needed revision of serpulid taxonomy based on a phylogenetic hypothesis derived from both morphological and molecular data. We analysed 18S, 28S, histone H3 ribosomal nuclear DNA and cytochrome b (cytb) mitochondrial sequences, combined with morphological data. The proposed new classification includes the re-formulated Serpulinae (with tribes Serpulini and Ficopomatini), Spirorbinae, and Filograninae, with apomorphies highlighted for major taxa.</t>
  </si>
  <si>
    <t>[Kupriyanova, Elena] Australian Museum Res Inst, Australian Museum, 1 William St, Sydney, NSW 2010, Australia; [Kupriyanova, Elena] Macquarie Univ, Dept Biol Sci, N Ryde, NSW 2109, Australia; [ten Hove, Harry A. A.] Nat Biodivers Ctr, POB 5917, NL-2300 RA Leiden, Netherlands; [Rouse, Greg W. W.] South Australian Museum, North Terrace, Adelaide, SA 5000, Australia; [Rouse, Greg W. W.] Univ Calif San Diego, Scripps Inst Oceanog, La Jolla, CA 92093 USA</t>
  </si>
  <si>
    <t>Australian Museum; Macquarie University; Naturalis Biodiversity Center; South Australian Museum; University of California System; University of California San Diego; Scripps Institution of Oceanography</t>
  </si>
  <si>
    <t>Kupriyanova, E (corresponding author), Australian Museum Res Inst, Australian Museum, 1 William St, Sydney, NSW 2010, Australia.;Kupriyanova, E (corresponding author), Macquarie Univ, Dept Biol Sci, N Ryde, NSW 2109, Australia.</t>
  </si>
  <si>
    <t>elena.kupriyanova@australian.museum; harry.tenhove@naturalis.nl; grouse@ucsd.edu</t>
  </si>
  <si>
    <t>Rouse, Gregory/AAW-1494-2021</t>
  </si>
  <si>
    <t>Rouse, Gregory/0000-0001-9036-9263; Kupriyanova, Elena/0000-0003-0336-4718</t>
  </si>
  <si>
    <t>Australian Research Council (ARC) [DP0558736]; Japan Society for the Promotion of Science (JSPS) [S42300038]; Australian Biological Resource Study (ABRS) grant [RG18-21]; National Science Foundation [ANT-1043749]; Australian Research Council [DP0558736] Funding Source: Australian Research Council</t>
  </si>
  <si>
    <t>Australian Research Council (ARC)(Australian Research Council); Japan Society for the Promotion of Science (JSPS)(Ministry of Education, Culture, Sports, Science and Technology, Japan (MEXT)Japan Society for the Promotion of Science); Australian Biological Resource Study (ABRS) grant; National Science Foundation(National Science Foundation (NSF)); Australian Research Council(Australian Research Council)</t>
  </si>
  <si>
    <t>This research was funded by the Australian Research Council (ARC), grant DP0558736 to G.W.R, as well as Japan Society for the Promotion of Science (JSPS) grant S42300038 and Australian Biological Resource Study (ABRS) grant RG18-21 to E.K. Antarctic serpulids were collected on expeditions funded by the National Science Foundation (ANT-1043749) to G.W.R and others.</t>
  </si>
  <si>
    <t>10.3390/d15030398</t>
  </si>
  <si>
    <t>D4JM7</t>
  </si>
  <si>
    <t>WOS:000968410200001</t>
  </si>
  <si>
    <t>Khan, CB; Goetz, KT; Cubaynes, HC; Robinson, C; Murnane, E; Aldrich, T; Sackett, M; Clarke, PJ; LaRue, MA; White, T; Leonard, K; Ortiz, A; Ferres, J</t>
  </si>
  <si>
    <t>Khan, Christin B.; Goetz, Kimberly T.; Cubaynes, Hannah C.; Robinson, Caleb; Murnane, Erin; Aldrich, Tyler; Sackett, Meredith; Clarke, Penny J.; LaRue, Michelle A.; White, Timothy; Leonard, Kathleen; Ortiz, Anthony; Ferres, Juan M. Lavista M.</t>
  </si>
  <si>
    <t>A Biologist's Guide to the Galaxy: Leveraging Artificial Intelligence and Very High-Resolution Satellite Imagery to Monitor Marine Mammals from Space</t>
  </si>
  <si>
    <t>very high-resolution satellite imagery; artificial intelligence; machine learning; remote sensing; marine mammal; cetacean; annotation; collaborative innovation; open-source; Geospatial Artificial Intelligence for Animals</t>
  </si>
  <si>
    <t>ABUNDANCE; KEY</t>
  </si>
  <si>
    <t>Monitoring marine mammals is of broad interest to governments and individuals around the globe. Very high-resolution (VHR) satellites hold the promise of reaching remote and challenging locations to fill gaps in our knowledge of marine mammal distribution. The time has come to create an operational platform that leverages the increased resolution of satellite imagery, proof-of-concept research, advances in cloud computing, and machine learning to monitor the world's oceans. The Geospatial Artificial Intelligence for Animals (GAIA) initiative was formed to address this challenge with collaborative innovation from government agencies, academia, and the private sector. In this paper, we share lessons learned, challenges faced, and our vision for how VHR satellite imagery can enhance our understanding of cetacean distribution in the future.</t>
  </si>
  <si>
    <t>[Khan, Christin B.; Aldrich, Tyler; Sackett, Meredith] NOAA, Northeast Fisheries Sci Ctr, Natl Marine Fisheries Serv, Woods Hole, MA 02543 USA; [Goetz, Kimberly T.] NOAA, Marine Mammal Lab, Alaska Fisheries Sci Ctr, Natl Marine Fisheries Serv, Seattle, WA 98115 USA; [Cubaynes, Hannah C.; Clarke, Penny J.] British Antarctic Survey, Madingley Rd, Cambridge CB3 0ET, England; [Robinson, Caleb; Ortiz, Anthony; Ferres, Juan M. Lavista M.] Microsoft Good Res Lab, 1 Microsoft Way, Redmond, WA 98052 USA; [Murnane, Erin] Naval Ctr Space Technol NCST, Naval Res Lab, Washington, DC 20375 USA; [Clarke, Penny J.] Univ Edinburgh, Sch Engn, Sanderson Bldg,Robert Stevenson Rd,Kings Bldg, Edinburgh EH9 3FB, Scotland; [LaRue, Michelle A.] Univ Canterbury, Sch Earth &amp; Environm, Christchurch 8140, New Zealand; [LaRue, Michelle A.] Univ Minnesota, Dept Earth &amp; Environm Sci, Minneapolis, MN 55455 USA; [White, Timothy] Bur Ocean Energy Management, Environm Studies Program, Sterling, VA 20166 USA; [Leonard, Kathleen] NOAA, Protected Resources Div, Alaska Reg Off, Natl Marine Fisheries Serv, Anchorage, AK 99513 USA</t>
  </si>
  <si>
    <t>National Oceanic Atmospheric Admin (NOAA) - USA; National Oceanic Atmospheric Admin (NOAA) - USA; UK Research &amp; Innovation (UKRI); Natural Environment Research Council (NERC); NERC British Antarctic Survey; Microsoft; United States Department of Defense; United States Navy; Naval Research Laboratory; University of Edinburgh; University of Canterbury; University of Minnesota System; University of Minnesota Twin Cities; National Oceanic Atmospheric Admin (NOAA) - USA</t>
  </si>
  <si>
    <t>Khan, CB (corresponding author), NOAA, Northeast Fisheries Sci Ctr, Natl Marine Fisheries Serv, Woods Hole, MA 02543 USA.</t>
  </si>
  <si>
    <t>christin.khan@noaa.gov; kim.goetz@noaa.gov</t>
  </si>
  <si>
    <t>Khan, Christin/0000-0001-9608-5632; Goetz, Kimberly/0000-0002-1356-0512; Clarke, Penny/0000-0002-2648-9639</t>
  </si>
  <si>
    <t>U.S. Naval Research Laboratory; Microsoft; National Oceanographic Partnership Program; National Protected Species Toolbox initiative; NOAA's High Performance Computing and Communications IT Incubator; Marine Mammal Commission [MMC21-043]; Ecosystems component of the British Antarctic Survey - Natural Environment Research council (NERC)</t>
  </si>
  <si>
    <t>U.S. Naval Research Laboratory; Microsoft(Microsoft); National Oceanographic Partnership Program; National Protected Species Toolbox initiative; NOAA's High Performance Computing and Communications IT Incubator; Marine Mammal Commission; Ecosystems component of the British Antarctic Survey - Natural Environment Research council (NERC)</t>
  </si>
  <si>
    <t>This research was funded by the U.S. Naval Research Laboratory, Microsoft, the National Oceanographic Partnership Program, the National Protected Species Toolbox initiative, NOAA's High Performance Computing and Communications IT Incubator, the Marine Mammal Commission (project MMC21-043), and the Ecosystems component of the British Antarctic Survey, funded by the Natural Environment Research council (NERC).</t>
  </si>
  <si>
    <t>10.3390/jmse11030595</t>
  </si>
  <si>
    <t>D4JL2</t>
  </si>
  <si>
    <t>gold, Green Accepted, Green Published</t>
  </si>
  <si>
    <t>WOS:000968408700001</t>
  </si>
  <si>
    <t>McNamara, JC; Maraschi, AC; Tapella, F; Romero, MC</t>
  </si>
  <si>
    <t>McNamara, John Campbell; Maraschi, Anieli Cristina; Tapella, Federico; Romero, Maria Carolina</t>
  </si>
  <si>
    <t>Evolutionary trade-offs in osmotic and ionic regulation and expression of gill ion transporter genes in high latitude, cold clime Neotropical crabs from the ?end of the world?</t>
  </si>
  <si>
    <t>JOURNAL OF EXPERIMENTAL BIOLOGY</t>
  </si>
  <si>
    <t>KEY WORDS; Evolutionary physiology; Ecological physiology; Na plus; K plus -ATPase; K plus; 2Cl-symporter; Sub-Antarctic crabs; Salinity challenge; Beagle Channel</t>
  </si>
  <si>
    <t>HALICARCINUS-PLANATUS BRACHYURA; MACROBRACHIUM-AMAZONICUM DECAPODA; MESSENGER-RNA EXPRESSION; NA+/K+-ATPASE ACTIVITY; FRESH-WATER CRAB; FIDDLER-CRABS; EURYHALINE CRABS; CARCINUS-MAENAS; BEAGLE CHANNEL; OSMOREGULATORY ACCLIMATION</t>
  </si>
  <si>
    <t>Osmoregulatory findings on crabs from high Neotropical latitudes are entirely lacking. Seeking to identify the consequences of evolution at low temperature, we examined hyperosmotic/hypo-osmotic and ionic regulation and gill ion transporter gene expression in two sub-Antarctic Eubrachyura from the Beagle Channel, Tierra del Fuego. Despite sharing the same osmotic niche, Acanthocyclus albatrossis tolerates a wider salinity range (2-65%0 S) than Halicarcinus planatus (5-60%0 S); their respective lower and upper critical salinities are 4%0 and 12%0 S, and 63%0 and 50%0 S. Acanthocyclus albatrossis is a weak hyperosmotic regulator, while H. planatus hyperosmoconforms; isosmotic points are 1380 and similar to 1340 mOsm kg-1 H2O, respectively. Both crabs hyper/hypo-regulate [Cl-] well with iso-chloride points at 452 and 316 mmol l-1 Cl-, respectively. [Na+] is hyper-regulated at all salinities. mRNA expression of gill Na*/K*-ATPase is salinity sensitive in A. albatrossis, increasing similar to 1.9-fold at 5%0 compared with 30%0 S, decreasing at 40-60%0 S. Expression in H. planatus is very low salinity sensitive, increasing similar to 4.7-fold over 30%0 S, but decreasing at 50%0 S. V-ATPase expression decreases in A. albatrossis at low and high salinities as in H. planatus. Na*/K*/ 2Cl- symporter expression in A. albatrossis increases 2.6-fold at 5%0 S, but decreases at 60%0 S versus 30%0 S. Chloride uptake may be mediated by increased Na*/K*/2Cl- expression but Cl- secretion is independent of symporter expression. These unrelated eubrachyurans exhibit similar systemic osmoregulatory characteristics and are better adapted to dilute media; however, the expression of genes underlying ion uptake and secretion shows marked interspecific divergence. Cold clime crabs may limit osmoregulatory energy expenditure by hyper/hypo-regulating hemolymph [Cl-] alone, apportioning resources for other energy-demanding processes.</t>
  </si>
  <si>
    <t>[McNamara, John Campbell; Maraschi, Anieli Cristina] Univ Sao Paulo, Fac Filosofia Ciencias &amp; Letras Ribeirao Preto, Dept Biol, BR-14040901 Ribeirao Preto, SP, Brazil; [McNamara, John Campbell] Univ Sao Paulo, Ctr Biol Marinha, BR-11600000 Sao Sebastiao, SP, Brazil; [Tapella, Federico; Romero, Maria Carolina] Consejo Nacl Invest Cientif &amp; Teecn, Ctr Austral Invest Cientif, Bernardo A Houssay 200, RA-V9410CAB Ushuaia, Tierra Del Fueg, Argentina</t>
  </si>
  <si>
    <t>Universidade de Sao Paulo; Universidade de Sao Paulo</t>
  </si>
  <si>
    <t>McNamara, JC (corresponding author), Univ Sao Paulo, Fac Filosofia Ciencias &amp; Letras Ribeirao Preto, Dept Biol, BR-14040901 Ribeirao Preto, SP, Brazil.;McNamara, JC (corresponding author), Univ Sao Paulo, Ctr Biol Marinha, BR-11600000 Sao Sebastiao, SP, Brazil.</t>
  </si>
  <si>
    <t>mcnamara@ffclrp.usp.br</t>
  </si>
  <si>
    <t>Maraschi, Anieli/B-1364-2018; Maraschi, Anieli/ABB-5762-2020; McNamara, John Campbell/B-9823-2012</t>
  </si>
  <si>
    <t>Maraschi, Anieli/0000-0001-8653-9709; McNamara, John Campbell/0000-0002-6530-8706; Romero, Maria Carolina/0000-0001-5130-6569</t>
  </si>
  <si>
    <t>Fundacao de Amparo a Pesquisa do Estado de Sao Paulo (FAPESP) [2015/00131-3, 2013/23906-5]; Conselho Nacional de Desenvolvimento Cientifico e Tecnologico (CNPq) [300564/2013-9, 305421/2021-2]; Coordenacao de Aperfeicoamento de Pessoal de Nivel Superior [CAPES 33002029031P8, 001]; Consejo Nacional de Investigaciones Cientificas y Tecnicas [CONICET PIP 0335, ANPCYT PICT 12-2368]</t>
  </si>
  <si>
    <t>Fundacao de Amparo a Pesquisa do Estado de Sao Paulo (FAPESP)(Fundacao de Amparo a Pesquisa do Estado de Sao Paulo (FAPESP)); Conselho Nacional de Desenvolvimento Cientifico e Tecnologico (CNPq)(Conselho Nacional de Desenvolvimento Cientifico e Tecnologico (CNPQ)); Coordenacao de Aperfeicoamento de Pessoal de Nivel Superior(Coordenacao de Aperfeicoamento de Pessoal de Nivel Superior (CAPES)); Consejo Nacional de Investigaciones Cientificas y Tecnicas(Consejo Nacional de Investigaciones Cientificas y Tecnicas (CONICET))</t>
  </si>
  <si>
    <t>This investigation was financed in part by the Fundacao de Amparo a Pesquisa do Estado de Sao Paulo (FAPESP grant 2015/00131-3 to J.C.M., and PhD scholarship 2013/23906-5 to A.C.M.), the Conselho Nacional de Desenvolvimento Cientifico e Tecnologico (CNPq, Excellence in Research Scholarship 300564/2013-9 and 305421/2021-2 to J.C.M.) and the Coordenacao de Aperfeicoamento de Pessoal de Nivel Superior (CAPES 33002029031P8, finance code 001 to J.C.M.). Financing in Argentina was provided by the Consejo Nacional de Investigaciones Cientificas y Tecnicas (CONICET PIP 0335 and ANPCYT PICT 12-2368) to F.T.</t>
  </si>
  <si>
    <t>COMPANY BIOLOGISTS LTD</t>
  </si>
  <si>
    <t>BIDDER BUILDING, STATION RD, HISTON, CAMBRIDGE CB24 9LF, ENGLAND</t>
  </si>
  <si>
    <t>0022-0949</t>
  </si>
  <si>
    <t>1477-9145</t>
  </si>
  <si>
    <t>J EXP BIOL</t>
  </si>
  <si>
    <t>J. Exp. Biol.</t>
  </si>
  <si>
    <t>jeb244129</t>
  </si>
  <si>
    <t>10.1242/jeb.244129</t>
  </si>
  <si>
    <t>C4YA1</t>
  </si>
  <si>
    <t>WOS:000961975500009</t>
  </si>
  <si>
    <t>Weeks, JH; Fung, F; Harrison, BJ; Palmer, MD</t>
  </si>
  <si>
    <t>Weeks, Jennifer H.; Fung, Fai; Harrison, Benjamin J.; Palmer, Matthew D.</t>
  </si>
  <si>
    <t>The evolution of UK sea-level projections</t>
  </si>
  <si>
    <t>ENVIRONMENTAL RESEARCH COMMUNICATIONS</t>
  </si>
  <si>
    <t>sea-level projections; climate change; IPCC AR6; UK climate projections; UKCP18; coastal climate services</t>
  </si>
  <si>
    <t>ANTARCTIC ICE-SHEET; CLIMATE; RISE; SIMULATIONS; UNCERTAINTY</t>
  </si>
  <si>
    <t>The methods used to generate process-based global and local mean sea-level projections have evolved substantially over the last fifteen years, including improved process understanding, advances in ice-sheet modelling, the use of emulators and further development of high-end scenarios. During this time, two sets of UK national sea-level projections have been generated as part of the UK Climate Projections in 2009 (UKCP09; Lowe et al 2009) and in 2018 (UKCP18; Palmer et al 2018b). UKCP18 presented local mean sea-level projections for the UK coastline for the 21st century rooted in Coupled Model Intercomparison Project Phase 5 (CMIP5) models and in methods used in the Intergovernmental Panel on Climate Change (IPCC) Fifth Assessment Report (AR5), with an emulator-based methodology to provide extended projections to 2300 (Palmer et al 2018a; 2020). We compare UKCP18 global and local mean sea-level projections with those presented in the IPCC Sixth Assessment Report (AR6, IPCC 2021a). We find the likely range projections (characterising the central two-thirds of the distribution) are broadly similar at 2150 to within 0.1 m, except at Edinburgh, where the maximum difference is 0.22 m under medium emissions. Differences arise due to higher contributions from sterodynamic processes and the Antarctic ice sheet, and higher or lower vertical land movement, in AR6 compared to UKCP18. We also compare high-end sea-level rise estimates, presented in AR6 and UKCP09, finding reasonable global and UK local agreement over the 21st century. We explore future paths for UK sea-level science considering both user needs for information and developments in modelling capability. Future UK sea-level projections would benefit from updated high-end sea-level rise scenarios which extend beyond 2100 and continued efforts to build understanding of observed sea-level change drivers. Alongside close collaboration with user groups this would enhance the utility of local sea-level projections by UK coastal practitioners and decision-makers.</t>
  </si>
  <si>
    <t>[Weeks, Jennifer H.; Fung, Fai; Harrison, Benjamin J.; Palmer, Matthew D.] Met Off, FitzRoy Rd, Exeter EX1 3PB, England; [Fung, Fai; Palmer, Matthew D.] Univ Bristol, Bristol BS8 1UH, England</t>
  </si>
  <si>
    <t>Met Office - UK; University of Bristol</t>
  </si>
  <si>
    <t>Weeks, JH (corresponding author), Met Off, FitzRoy Rd, Exeter EX1 3PB, England.</t>
  </si>
  <si>
    <t>jennifer.weeks@metoffice.gov.uk</t>
  </si>
  <si>
    <t>Harrison, Benjamin/0000-0002-0007-6043; Fung, Fai/0000-0003-4367-151X; Weeks, Jennifer/0000-0002-9929-8147</t>
  </si>
  <si>
    <t>Met Office Hadley Centre Climate Programme - BEIS</t>
  </si>
  <si>
    <t>This work was supported by the Met Office Hadley Centre Climate Programme funded by BEIS. We are grateful to Earth Observatory Singapore for hosting a secondment for JHW, where the final stages of this work were completed. We thank the projection authors for developing and making the sea-level rise projections available (Lowe et al 2009, Met Office Hadley Centre 2017, Palmer et al 2018b, Met Office Hadley Centre 2018, Fox-Kemper et al 2021, Garner et al 2021, Garner et al, in prep), multiple funding agencies for supporting the development of the projections, and the NASA Sea-Level Change Team for developing and hosting the IPCC AR6 Sea-Level Projection Tool. We thank the two reviewers who provided insightful comments and suggestions to help improve the manuscript.</t>
  </si>
  <si>
    <t>2515-7620</t>
  </si>
  <si>
    <t>ENVIRON RES COMMUN</t>
  </si>
  <si>
    <t>Environ. Res. Commun.</t>
  </si>
  <si>
    <t>10.1088/2515-7620/acc020</t>
  </si>
  <si>
    <t>C8GO2</t>
  </si>
  <si>
    <t>WOS:000964239700001</t>
  </si>
  <si>
    <t>Wilson, J; Jung, TM; Bazile, E; Bromwich, D; Casati, B; Day, J; De Coning, E; Eayrs, C; Grumbine, R; Ioue, J; Khalsa, SJS; Kristiansen, J; Lamers, M; Liggett, D; Olsen, SM; Perovich, D; Renfrew, I; Smolyanitsky, V; Svensson, G; Sun, QZ; Uttal, T; Yang, QH</t>
  </si>
  <si>
    <t>Wilson, Jeff; Jung, Thomas; Bazile, Eric; Bromwich, David; Casati, Barbara; Day, Jonathan; De Coning, Estelle; Eayrs, Clare; Grumbine, Robert; Ioue, Jun; Khalsa, Siri Jodha S.; Kristiansen, Jorn; Lamers, Machiel; Liggett, Daniela; Olsen, Steffen M.; Perovich, Donald; Renfrew, Ian; Smolyanitsky, Vasily; Svensson, Gunilla; Sun, Qizhen; Uttal, Taneil; Yang, Qinghua</t>
  </si>
  <si>
    <t>The YOPP Final Summit Assessing Past and Forecasting Future Polar Prediction Research</t>
  </si>
  <si>
    <t>Antarctica; Arctic; Atmosphere-ocean interaction; Forecast verification; skill; Data assimilation; Numerical weather prediction; forecasting</t>
  </si>
  <si>
    <t>[Wilson, Jeff] AWI, Anglesea, Vic, Australia; [Jung, Thomas] Alfred Wegener Inst, Bremerhaven, Germany; [Bazile, Eric] CNRM, Meteo France, CNRS UMR 3589, Toulouse, France; [Bromwich, David] Ohio State Univ, Byrd Polar &amp; Climate Res Ctr, Columbus, OH USA; [Casati, Barbara] Environm &amp; Climate Change Canada, Meteorol Res Div, Dorval, PQ, Canada; [Day, Jonathan] European Ctr Medium Range Weather Forecasts, Reading, England; [De Coning, Estelle] World Meteorol Org, Geneva, Switzerland; [Eayrs, Clare] Korea Polar Res Inst, Incheon, South Korea; [Grumbine, Robert] Natl Ctr Weather &amp; Climate Predict, College Pk, MD USA; [Ioue, Jun] Natl Inst Polar Res, Tokyo, Japan; [Khalsa, Siri Jodha S.] Univ Colorado Boulder, Boulder, CO USA; [Kristiansen, Jorn] Norwegian Meteorol Inst, Oslo, Norway; [Lamers, Machiel] Wageningen Univ, Wageningen, Netherlands; [Liggett, Daniela] Univ Canterbury, Christchurch, New Zealand; [Olsen, Steffen M.] Danish Meteorol Inst, Copenhagen, Denmark; [Perovich, Donald] Cold Reg Res &amp; Engn Lab, Hanover, NH USA; [Renfrew, Ian] Univ East Anglia, Sch Environm Sci, Norwich, England; [Smolyanitsky, Vasily] Arctic &amp; Antarctic Res Inst, St Petersburg, Russia; [Svensson, Gunilla] Stockholm Univ, Dept Meteorol, Stockholm, Sweden; [Sun, Qizhen] Natl Marine Environm Forecasting Ctr, Beijing, Peoples R China; [Uttal, Taneil] NOAA, Phys Sci Div, Boulder, CO USA; [Yang, Qinghua] Sun Yat sen Univ, Huhai Campus, Zhuhai, Guangdong, Peoples R China</t>
  </si>
  <si>
    <t>Helmholtz Association; Alfred Wegener Institute, Helmholtz Centre for Polar &amp; Marine Research; Centre National de la Recherche Scientifique (CNRS); CNRS - National Institute for Earth Sciences &amp; Astronomy (INSU); Meteo France; University System of Ohio; Ohio State University; Environment &amp; Climate Change Canada; European Centre for Medium-Range Weather Forecasts (ECMWF); Korea Polar Research Institute (KOPRI); Research Organization of Information &amp; Systems (ROIS); National Institute of Polar Research (NIPR) - Japan; University of Colorado System; University of Colorado Boulder; Norwegian Meteorological Institute; Wageningen University &amp; Research; University of Canterbury; Danish Meteorological Institute DMI; United States Department of Defense; United States Army; U.S. Army Corps of Engineers; U.S. Army Engineer Research &amp; Development Center (ERDC); Cold Regions Research &amp; Engineering Laboratory (CRREL); University of East Anglia; Arctic &amp; Antarctic Research Institute; Stockholm University; National Marine Environmental Forecasting Center; National Oceanic Atmospheric Admin (NOAA) - USA; Sun Yat Sen University</t>
  </si>
  <si>
    <t>Jung, TM (corresponding author), Alfred Wegener Inst, Bremerhaven, Germany.</t>
  </si>
  <si>
    <t>thomas.jung@awi.de</t>
  </si>
  <si>
    <t>Jung, Thomas/J-5239-2012; Eayrs, Clare/T-7969-2019; Sun, Qizhen/JCE-6070-2023; Khalsa, Siri Jodha Singh/A-9338-2009</t>
  </si>
  <si>
    <t>Jung, Thomas/0000-0002-2651-1293; Eayrs, Clare/0000-0003-3129-7604; Khalsa, Siri Jodha Singh/0000-0001-9217-5550; Grumbine, Robert/0000-0003-1058-193X</t>
  </si>
  <si>
    <t>PPP Trust Fund</t>
  </si>
  <si>
    <t>We acknowledge Neil Gordon for verifying the accuracy of this summary. We thank all participants for their contributions and acknowledge the generous financial assistance provided by the PPP Trust Fund contributors (Canada, United Kingdom, United States, Norway, Australia), Alfred Wegener Institute (AWI), Norwegian Meteorological Institute, EUMETSAT, Arctic Passion, MEOPAR, Hurtigruten Expeditions, and all in-kind support. Thanks are also extended to the coorganizers (WMO, AWI, and Canadian Meteorological and Oceanographic Society and Event Managers) and to Environment and Climate Change Canada for hosting the event. Finally our thanks to the YOPP Final Summit organizing committee of Barbara Casati, Thomas Jung, Jim Abraham, Lynn Buckley, Estelle de Coning, Dany Dumont, Clare Eayrs, Gordon Griffith, Nadine Hillenbrand, Jorn Kristiansen, Machiel Lamers, Gita Ljubicic, Greg Smith, Kirstin Werner, Jeff Wilson, and Louraine Youds.</t>
  </si>
  <si>
    <t>E660</t>
  </si>
  <si>
    <t>E665</t>
  </si>
  <si>
    <t>10.1175/BAMS-D-22-0282.1</t>
  </si>
  <si>
    <t>C2SO5</t>
  </si>
  <si>
    <t>Green Published, Bronze</t>
  </si>
  <si>
    <t>WOS:000960479200002</t>
  </si>
  <si>
    <t>Jiménez-Rincón, JA; Cianca, A; Ferrero-Martín, C; Izquierdo, A</t>
  </si>
  <si>
    <t>Jimenez-Rincon, Juan Alberto; Cianca, Andres; Ferrero-Martin, Carmen; Izquierdo, Alfredo</t>
  </si>
  <si>
    <t>A Glider View of the Spreading and Mixing Processes of Antarctic Intermediate Water in the Northeastern Subtropical Atlantic</t>
  </si>
  <si>
    <t>AAIW; water mass; glider; canary basin; mixing; Atlantic Ocean; mesoscale; submesoscale</t>
  </si>
  <si>
    <t>THERMOHALINE INTRUSIONS; MASSES; CIRCULATION; VARIABILITY; SYSTEM; EAST</t>
  </si>
  <si>
    <t>The Antarctic Intermediate Water (AAIW), one of the most important global intermediate water masses, spreads over the world ocean. Its propagation limit at the Northeast Subtropical Atlantic is characterized by its encounter with the Mediterranean Water (MW), which presents dissimilar thermohaline properties. Previous studies of the AAIW in this region have been based on traditional oceanographic cruise observations, which were later complemented by observations using autonomous systems such as ARGO floats. However, these observations present limitations for the study of processes occurring at mesoscale and smaller scales. In this study, we used high-resolution observations made by cutting edge platforms such as underwater gliders. Specifically, a meridional glider section realized in spring 2016 between the islands of Madeira and Gran Canaria has been used. The temperature, salinity and dissolved oxygen minima have allowed the detection of the AAIW signal north of the Canarian archipelago and significantly westward from its main northward propagation pathway in this region. The results of this work have shown that the encounter of AAIW and MW generates thermohaline intrusions or interleaving layers. It is suggested that double diffusion processes may play a role in the development of these structures, which may be important for water masses mixing and, therefore, in determining the northward spreading boundary of AAIW. The use of the high-resolution glider observations combined with other data products is essential for the study of water masses and dynamics when relevant processes have a wide range of scales.</t>
  </si>
  <si>
    <t>[Jimenez-Rincon, Juan Alberto; Ferrero-Martin, Carmen; Izquierdo, Alfredo] Univ Cadiz, Marine Res Inst INMAR, Fac Marine &amp; Environm Sci, Dept Appl Phys,Int Campus Excellence Sea CEI MAR, Cadiz 11510, Spain; [Cianca, Andres] Plataforma Ocean Canarias, Telde 35214, Spain</t>
  </si>
  <si>
    <t>Universidad de Cadiz</t>
  </si>
  <si>
    <t>Izquierdo, A (corresponding author), Univ Cadiz, Marine Res Inst INMAR, Fac Marine &amp; Environm Sci, Dept Appl Phys,Int Campus Excellence Sea CEI MAR, Cadiz 11510, Spain.</t>
  </si>
  <si>
    <t>alfredo.izquierdo@uca.es</t>
  </si>
  <si>
    <t>Izquierdo, Alfredo/AAN-8936-2020</t>
  </si>
  <si>
    <t>Izquierdo, Alfredo/0000-0003-3842-1460; Jimenez Rincon, Juan Alberto/0000-0001-6934-1514</t>
  </si>
  <si>
    <t>Optimising and Enhancing the Integrated Atlantic Ocean Observing Systems (AtlantOS) project [H2020-BG-2014-2/BG-08-2014]; Vulnerability of Littoral Cultural Heritage to environmental agents: impact of Climate Change (VOLICHE) project [PID2020-117812RB-I00]</t>
  </si>
  <si>
    <t>Optimising and Enhancing the Integrated Atlantic Ocean Observing Systems (AtlantOS) project; Vulnerability of Littoral Cultural Heritage to environmental agents: impact of Climate Change (VOLICHE) project</t>
  </si>
  <si>
    <t>This research was funded by Optimising and Enhancing the Integrated Atlantic Ocean Observing Systems (AtlantOS) project, grant number H2020-BG-2014-2/BG-08-2014 and Vulnerability of Littoral Cultural Heritage to environmental agents: impact of Climate Change (VOLICHE) project, grant number PID2020-117812RB-I00.</t>
  </si>
  <si>
    <t>10.3390/jmse11030576</t>
  </si>
  <si>
    <t>C0EM3</t>
  </si>
  <si>
    <t>WOS:000958755800001</t>
  </si>
  <si>
    <t>Krebs, N; Tebben, J; Bock, C; Mark, FC; Lucassen, M; Lannig, G; Pörtner, HO</t>
  </si>
  <si>
    <t>Krebs, Nina; Tebben, Jan; Bock, Christian; Mark, Felix C.; Lucassen, Magnus; Lannig, Gisela; Poertner, Hans-Otto</t>
  </si>
  <si>
    <t>Protein Synthesis Determined from Non-Radioactive Phenylalanine Incorporated by Antarctic Fish</t>
  </si>
  <si>
    <t>METABOLITES</t>
  </si>
  <si>
    <t>polar fish; isotopic labelling; 13C-phenylalanine; slow metabolism; somatic growth</t>
  </si>
  <si>
    <t>IN-VIVO; GROWTH; RATES; TEMPERATURE; METABOLISM; TURNOVER; TISSUES</t>
  </si>
  <si>
    <t>Direct measurements of temperature-dependent weight gains are experimentally challenging and time-consuming in long-lived/slow-growing organisms such as Antarctic fish. Here, we reassess methodology to quantify the in vivo protein synthesis rate from amino acids, as a key component of growth. We tested whether it is possible to avoid hazardous radioactive materials and whether the analytical pathway chosen is robust against analytical errors. In the eelpout, Pachycara brachycephalum, (C9H11N1O2)-C-13-N-15 phenylalanine was injected intraperitoneally and muscle tissue was sampled before injection and at 1.5 h time intervals up to 6 h thereafter. The incorporation of (CN)-C-13-N-15-labeled-phenylalanine into muscle was monitored by quantification of bound and free phenylalanine through liquid chromatography-mass spectrometry. We found an increase in the pool of labeled, free phenylalanine in the cytosolic fraction that leveled off after 4.5 h. The labeled phenylalanine bound in the proteins increased linearly over time. The resulting protein synthesis rate (Ks) for P. brachycephalum was as low as 0.049 +/- 0.021% day(-1). This value and its variability were in good agreement with literature data obtained from studies using radioactive labels, indicating that this methodology is well suited for characterizing growth in polar fish under in situ conditions in remote areas or on research vessels.</t>
  </si>
  <si>
    <t>[Krebs, Nina; Bock, Christian; Mark, Felix C.; Lucassen, Magnus; Lannig, Gisela; Poertner, Hans-Otto] Alfred Wegener Inst, Helmholtz Ctr Polar &amp; Marine Res, Dept Integrat Ecophysiol, Handelshafen 12, D-27570 Bremerhaven, Germany; [Tebben, Jan] Alfred Wegener Inst, Helmholtz Ctr Polar &amp; Marine Res, Dept Ecol Chem, Handelshafen 12, D-27570 Bremerhaven, Germany</t>
  </si>
  <si>
    <t>Helmholtz Association; Alfred Wegener Institute, Helmholtz Centre for Polar &amp; Marine Research; Helmholtz Association; Alfred Wegener Institute, Helmholtz Centre for Polar &amp; Marine Research</t>
  </si>
  <si>
    <t>Krebs, N; Pörtner, HO (corresponding author), Alfred Wegener Inst, Helmholtz Ctr Polar &amp; Marine Res, Dept Integrat Ecophysiol, Handelshafen 12, D-27570 Bremerhaven, Germany.</t>
  </si>
  <si>
    <t>nina.krebs@awi.de; hans.poertner@awi.de</t>
  </si>
  <si>
    <t>Mark, Felix Christopher/P-4759-2016; Bock, Christian/B-4421-2017; Portner, Hans-O./K-9429-2016</t>
  </si>
  <si>
    <t>Mark, Felix Christopher/0000-0002-5586-6704; Bock, Christian/0000-0003-0052-3090; Portner, Hans-O./0000-0001-6535-6575; Krebs, Nina/0000-0003-4067-8484; Tebben, Jan/0000-0002-2780-2236</t>
  </si>
  <si>
    <t>2218-1989</t>
  </si>
  <si>
    <t>Metabolites</t>
  </si>
  <si>
    <t>10.3390/metabo13030338</t>
  </si>
  <si>
    <t>C0QE9</t>
  </si>
  <si>
    <t>WOS:000959061400001</t>
  </si>
  <si>
    <t>Krüger, L</t>
  </si>
  <si>
    <t>Kruger, Lucas</t>
  </si>
  <si>
    <t>Decreasing Trends of Chinstrap Penguin Breeding Colonies in a Region of Major and Ongoing Rapid Environmental Changes Suggest Population Level Vulnerability</t>
  </si>
  <si>
    <t>Antarctic Peninsula; Pygoscelis antarcticus; population status; red list criteria</t>
  </si>
  <si>
    <t>KING GEORGE ISLAND; SOUTH SHETLAND; KRILL; VARIABILITY; RESPONSES; REVEALS</t>
  </si>
  <si>
    <t>The bulk of the chinstrap penguin (Pygoscelis antarcticus) global population inhabits the Antarctic Peninsula and Scotia Sea, which is a region undergoing rapid environmental changes. Consequently, regional level decreases for this species are widespread. This study aimed to evaluate the level of breeding colony changes in the Antarctic Peninsula and South Orkney Islands, which, roughly, hold 60% of the global chinstrap penguin population. The results indicated that within a period of 40 to 50 years, 62% of colonies underwent decreases, and the majority of colonies experienced decreases over 50%, which is represented by numbers in the range of 2000 to 40,000 pairs. Within three generations' time, the whole population for the area had experienced decreases of around 30%. These levels of decrease add to the fact that the suspected causes are not likely reversible in the short- to mid-term, calling for increased concern about the conservation of this species.</t>
  </si>
  <si>
    <t>[Kruger, Lucas] Inst Antart Chileno, Pl Munoz Gamero 1055, Punta Arenas 200000 6, Chile; [Kruger, Lucas] Inst Milenio Biodivers Ecosistemas Antart &amp; Suban, Las Palmeras 3425, Santiago 800003 7, Chile</t>
  </si>
  <si>
    <t>Krüger, L (corresponding author), Inst Antart Chileno, Pl Munoz Gamero 1055, Punta Arenas 200000 6, Chile.;Krüger, L (corresponding author), Inst Milenio Biodivers Ecosistemas Antart &amp; Suban, Las Palmeras 3425, Santiago 800003 7, Chile.</t>
  </si>
  <si>
    <t>lkruger@inach.cl</t>
  </si>
  <si>
    <t>Kruger, Lucas/O-8912-2015</t>
  </si>
  <si>
    <t>Kruger, Lucas/0000-0003-4637-5302</t>
  </si>
  <si>
    <t>Instituto Antartico Chileno Programa AMP [24 03 052]; ANID-Millennium Science Initiative Program [ICN2021_002]</t>
  </si>
  <si>
    <t>Instituto Antartico Chileno Programa AMP; ANID-Millennium Science Initiative Program</t>
  </si>
  <si>
    <t>This research was funded by Instituto Antartico Chileno Programa AMP (24 03 052) and by ANID-Millennium Science Initiative Program-ICN2021_002.</t>
  </si>
  <si>
    <t>10.3390/d15030327</t>
  </si>
  <si>
    <t>A9GQ7</t>
  </si>
  <si>
    <t>WOS:000958133900001</t>
  </si>
  <si>
    <t>Bravo, G; Kaminsky, J; Bagur, M; Alonso, CP; Rodríguez, M; Fraysse, C; Lovrich, G; Bigatti, G</t>
  </si>
  <si>
    <t>Bravo, Gonzalo; Kaminsky, Julieta; Bagur, Maria; Alonso, Cecilia Paula; Rodriguez, Mariano; Fraysse, Cintia; Lovrich, Gustavo; Bigatti, Gregorio</t>
  </si>
  <si>
    <t>Roving Diver Survey as a Rapid and Cost-Effective Methodology to Register Species Richness in Sub-Antarctic Kelp Forests</t>
  </si>
  <si>
    <t>benthic species; scuba diving; Becasses Islands; iNaturalist; Patagonia; underwater photography; biodiversity; rocky reefs</t>
  </si>
  <si>
    <t>TIERRA-DEL-FUEGO; MACROCYSTIS-PYRIFERA; BEAGLE CHANNEL; SOUTH-AMERICA; SP-NOV; ASSEMBLAGES; HOLDFASTS; ABUNDANCE; DYNAMICS; MAGELLAN</t>
  </si>
  <si>
    <t>Underwater sampling needs to strike a balance between time-efficient and standardized data that allow comparison with different areas and times. The roving diver survey involves divers meandering and actively searching for species and has been useful for producing fish species lists but has seldom been implemented for benthic taxa. In this study, we used this non-destructive technique to register species associated with kelp forests at the sub-Antarctic Becasses Island (Beagle Channel, Argentina), detecting numerous species while providing the first multi-taxa inventory for the area, including macroalgae, invertebrates, and fish, with supporting photographs of each observation hosted on the citizen science platform iNaturalist. This research established a timely and cost-effective methodology for surveys with scuba diving in cold waters, promoting the obtention of new records, data sharing, and transparency of the taxonomic curation. Overall, 160 taxa were found, including 41 not reported previously for this area and three records of southernmost distribution. Other studies in nearby areas with extensive sampling efforts arrived at similar richness estimations. Our findings reveal that the roving diver survey using photographs is a good approach for creating inventories of marine species, which will serve for a better understanding of underwater biodiversity and future long-term monitoring to assess the health of kelp environments.</t>
  </si>
  <si>
    <t>[Bravo, Gonzalo; Bigatti, Gregorio] Inst Biol Organismos Marinos IBIOMAR CCTCONICET C, Bvd Brown 2825,U9120ACF, Puerto Madryn, Argentina; [Bravo, Gonzalo; Bigatti, Gregorio] Univ Nacl Patagonia San Juan Bosco UNPSJB, Fac Ciencias Nat, Bvd Brown 3051,U9120ACE, Puerto Madryn, Argentina; [Kaminsky, Julieta; Bagur, Maria; Fraysse, Cintia; Lovrich, Gustavo] Ctr Austral Invest Cient CADIC CONICET, Bernardo Houssay 200,V9410CAB, Ushuaia, Argentina; [Alonso, Cecilia Paula; Rodriguez, Mariano] Univ Nacl Tierra Fuego ICPA UNTDF, Inst Ciencias Polares Ambiente &amp; Recursos Nat, Fuegia Basket 251,V9410BXE, Ushuaia, Argentina; [Bigatti, Gregorio] Univ Especialidades Espiritu Santo, Escuela Ciencias Ambientales, Ave Samborondon, Guayaquil 09230, Ecuador</t>
  </si>
  <si>
    <t>Universidad Nacional de la Patagonia San Juan Bosco; Consejo Nacional de Investigaciones Cientificas y Tecnicas (CONICET); Universidad de Especialidades Espiritu Santo</t>
  </si>
  <si>
    <t>Bravo, G (corresponding author), Inst Biol Organismos Marinos IBIOMAR CCTCONICET C, Bvd Brown 2825,U9120ACF, Puerto Madryn, Argentina.;Bravo, G (corresponding author), Univ Nacl Patagonia San Juan Bosco UNPSJB, Fac Ciencias Nat, Bvd Brown 3051,U9120ACE, Puerto Madryn, Argentina.;Kaminsky, J; Bagur, M (corresponding author), Ctr Austral Invest Cient CADIC CONICET, Bernardo Houssay 200,V9410CAB, Ushuaia, Argentina.</t>
  </si>
  <si>
    <t>gonzalobravoargentina@gmail.com; kaminsky.julieta@gmail.com; mariabagur@conicet.gov.ar</t>
  </si>
  <si>
    <t>Bagur, Maria/0000-0003-1170-097X; Lovrich, Gustavo/0000-0001-8424-6566; Fraysse, Cintia/0000-0002-0254-2263; Bravo, Gonzalo/0000-0001-9380-6668; Kaminsky, Julieta/0000-0001-9094-5304</t>
  </si>
  <si>
    <t>Agencia Nacional de Promocion Cientifica y Tecnica [PICT 2017-2731, PICT 2018-0969]; CONICET fellowships</t>
  </si>
  <si>
    <t>Agencia Nacional de Promocion Cientifica y Tecnica(ANPCyT); CONICET fellowships(Consejo Nacional de Investigaciones Cientificas y Tecnicas (CONICET))</t>
  </si>
  <si>
    <t>This research was funded by Agencia Nacional de Promocion Cientifica y Tecnica to M.B. (PICT 2017-2731) and G.B. (Gregorio Bigatti) (PICT 2018-0969). G.B. (Gonzalo Bravo) and J.K. are supported by CONICET fellowships.</t>
  </si>
  <si>
    <t>10.3390/d15030354</t>
  </si>
  <si>
    <t>A6ZT0</t>
  </si>
  <si>
    <t>WOS:000956589900001</t>
  </si>
  <si>
    <t>Shi, F; Luo, YY; Wu, RH; Yang, QH; Chen, RY; Wang, CY; Lin, YC; Chen, D</t>
  </si>
  <si>
    <t>Shi, Fei; Luo, Yiyong; Wu, Renhao; Yang, Qinghua; Chen, Ruiyi; Wang, Chuanyin; Lin, Yichen; Chen, Dake</t>
  </si>
  <si>
    <t>Contrasting trends in short-lived and long-lived mesoscale eddies in the Southern Ocean since the 1990s</t>
  </si>
  <si>
    <t>Southern Ocean; mesoscale eddies; climate change; trends</t>
  </si>
  <si>
    <t>ANTARCTIC CIRCUMPOLAR CURRENT; KINETIC-ENERGY; TRANSPORT; VARIABILITY; VENTILATION; IMPACT</t>
  </si>
  <si>
    <t>Mesoscale eddies play an important role in the transport of heat, carbon, and nutrients in the Southern Ocean. Previous studies have documented an increasing intensity of the Southern Ocean eddy field during recent decades; however, it remains unclear whether the mesoscale eddies with different lifetimes have different temporal variations. Using satellite altimeter observations from 1993 to 2020, we found that the increasing trend in the intensity of eddies is dominated by long-lived eddies (with lifetimes &gt;= 90 d), whose amplitude has increased at a rate of similar to 2.8% per decade; the increase is concentrated downstream of topography. In contrast, short-lived eddies (with lifetimes &lt; 90 d) do not appear to have a significant trend in their amplitudes since the early 1990s. An energy conversion analysis indicates that the increased baroclinic instabilities of the mean flows associated with topography are responsible for the amplitude increase of the long-lived eddies. This study highlights the need for a better understanding of the changes in mesoscale eddies owing to their importance in the transport of heat, carbon, and nutrients.</t>
  </si>
  <si>
    <t>[Shi, Fei; Wu, Renhao; Yang, Qinghua; Wang, Chuanyin; Lin, Yichen; Chen, Dake] Sun Yat Sen Univ, Sch Atmospher Sci, Zhuhai, Peoples R China; [Shi, Fei; Wu, Renhao; Yang, Qinghua; Wang, Chuanyin; Lin, Yichen; Chen, Dake] Southern Marine Sci &amp; Engn Guangdong Lab Zhuhai, Zhuhai, Peoples R China; [Luo, Yiyong; Chen, Ruiyi] Ocean Univ China, Frontier Sci Ctr Deep Ocean Multispheres &amp; Earth, Phys Oceanog Lab, Qingdao 266100, Peoples R China; [Luo, Yiyong; Chen, Ruiyi] Ocean Univ China, Coll Ocean &amp; Atmospher Sci, Qingdao 266100, Peoples R China</t>
  </si>
  <si>
    <t>Sun Yat Sen University; Southern Marine Science &amp; Engineering Guangdong Laboratory; Southern Marine Science &amp; Engineering Guangdong Laboratory (Zhuhai); Ocean University of China; Ocean University of China</t>
  </si>
  <si>
    <t>Wu, RH (corresponding author), Sun Yat Sen Univ, Sch Atmospher Sci, Zhuhai, Peoples R China.;Wu, RH (corresponding author), Southern Marine Sci &amp; Engn Guangdong Lab Zhuhai, Zhuhai, Peoples R China.</t>
  </si>
  <si>
    <t>wurenhao@mail.sysu.edu.cn</t>
  </si>
  <si>
    <t>CHEN, MINGWEI/KHT-6744-2024</t>
  </si>
  <si>
    <t>Shi, Fei/0000-0001-6362-7386</t>
  </si>
  <si>
    <t>National Natural Science Foundation of China [42230405, 41976006, 42006029]; Southern Marine Science and Engineering Guangdong Laboratory (Zhuhai) [SML2021SP302]; Program of Marine Economy Development Special Fund (Six Marine Industries) under Department of Natural Resources of Guangdong Province [GDNRC [2022]18]; National Key R&amp;D Program of China [2019YFC1509102]</t>
  </si>
  <si>
    <t>National Natural Science Foundation of China(National Natural Science Foundation of China (NSFC)); Southern Marine Science and Engineering Guangdong Laboratory (Zhuhai); Program of Marine Economy Development Special Fund (Six Marine Industries) under Department of Natural Resources of Guangdong Province; National Key R&amp;D Program of China</t>
  </si>
  <si>
    <t>This work was supported by the National Natural Science Foundation of China (No. 42230405, 41976006 and 42006029), the Southern Marine Science and Engineering Guangdong Laboratory (Zhuhai) (Grant SML2021SP302), the Program of Marine Economy Development Special Fund (Six Marine Industries) under Department of Natural Resources of Guangdong Province, (Project No. GDNRC [2022]18), the National Key R&amp;D Program of China (Grant No. 2019YFC1509102).</t>
  </si>
  <si>
    <t>10.1088/1748-9326/acbf6b</t>
  </si>
  <si>
    <t>9S1JY</t>
  </si>
  <si>
    <t>WOS:000946102800001</t>
  </si>
  <si>
    <t>Cordone, A; Selci, M; Barosa, B; Bastianoni, A; Bastoni, D; Bolinesi, F; Capuozzo, R; Cascone, M; Correggia, M; Corso, D; Di Iorio, L; Misic, C; Montemagno, F; Ricciardelli, A; Saggiomo, M; Tonietti, L; Mangoni, O; Giovannelli, D</t>
  </si>
  <si>
    <t>Cordone, Angelina; Selci, Matteo; Barosa, Bernardo; Bastianoni, Alessia; Bastoni, Deborah; Bolinesi, Francesco; Capuozzo, Rosaria; Cascone, Martina; Correggia, Monica; Corso, Davide; Di Iorio, Luciano; Misic, Cristina; Montemagno, Francesco; Ricciardelli, Annarita; Saggiomo, Maria; Tonietti, Luca; Mangoni, Olga; Giovannelli, Donato</t>
  </si>
  <si>
    <t>Surface Bacterioplankton Community Structure Crossing the Antarctic Circumpolar Current Fronts</t>
  </si>
  <si>
    <t>MICROORGANISMS</t>
  </si>
  <si>
    <t>bacterioplankton diversity; Southern Ocean; 16S rRNA sequencing; primary productivity</t>
  </si>
  <si>
    <t>FERTILIZED PHYTOPLANKTON BLOOM; SOUTHERN-OCEAN; CLASS FLAVOBACTERIA; WATER-COLUMN; POLAR FRONT; CARBON; IRON; DISPERSAL; DIVERSITY; DYNAMICS</t>
  </si>
  <si>
    <t>The Antarctic Circumpolar Current (ACC) is the major current in the Southern Ocean, isolating the warm stratified subtropical waters from the more homogeneous cold polar waters. The ACC flows from west to east around Antarctica and generates an overturning circulation by fostering deep-cold water upwelling and the formation of new water masses, thus affecting the Earth's heat balance and the global distribution of carbon. The ACC is characterized by several water mass boundaries or fronts, known as the Subtropical Front (STF), Subantarctic Front (SAF), Polar Front (PF), and South Antarctic Circumpolar Current Front (SACCF), identified by typical physical and chemical properties. While the physical characteristics of these fronts have been characterized, there is still poor information regarding the microbial diversity of this area. Here we present the surface water bacterioplankton community structure based on 16S rRNA sequencing from 13 stations sampled in 2017 between New Zealand to the Ross Sea crossing the ACC Fronts. Our results show a distinct succession in the dominant bacterial phylotypes present in the different water masses and suggest a strong role of sea surface temperatures and the availability of Carbon and Nitrogen in controlling community composition. This work represents an important baseline for future studies on the response of Southern Ocean epipelagic microbial communities to climate change.</t>
  </si>
  <si>
    <t>[Cordone, Angelina; Selci, Matteo; Barosa, Bernardo; Bastianoni, Alessia; Bastoni, Deborah; Bolinesi, Francesco; Capuozzo, Rosaria; Cascone, Martina; Correggia, Monica; Corso, Davide; Di Iorio, Luciano; Montemagno, Francesco; Ricciardelli, Annarita; Tonietti, Luca; Mangoni, Olga; Giovannelli, Donato] Univ Naples Federico II, Dept Biol, I-80126 Naples, Italy; [Misic, Cristina] Univ Genoa, Dipartimento Sci Terra Ambiente &amp; Vita, I-16132 Genoa, Italy; [Saggiomo, Maria] Stn Zool Anton Dohrn, I-80121 Naples, Italy; [Tonietti, Luca] Univ Naples Parthenope, Dept Sci &amp; Technol, I-80143 Naples, Italy; [Mangoni, Olga] Consorzio Nazl Interuniv Sci Mare CoNISMa, I-00196 Rome, Italy; [Giovannelli, Donato] CNR, Inst Marine Biol Resources &amp; Biotechnol, I-60125 Ancona, Italy; [Giovannelli, Donato] Tokyo Inst Technol, Earth Life Sci Inst, Tokyo 1528552, Japan; [Giovannelli, Donato] Rutgers State Univ, Dept Marine &amp; Coastal Sci, New Brunswick, NJ 08901 USA; [Giovannelli, Donato] Woods Hole Oceanog Inst, Marine Chem &amp; Geol Dept, Woods Hole, MA 02540 USA</t>
  </si>
  <si>
    <t>University of Naples Federico II; University of Genoa; Stazione Zoologica Anton Dohrn di Napoli; Parthenope University Naples; CoNISMa; Consiglio Nazionale delle Ricerche (CNR); Tokyo Institute of Technology; Rutgers University System; Rutgers University New Brunswick; Woods Hole Oceanographic Institution</t>
  </si>
  <si>
    <t>Cordone, A (corresponding author), Univ Naples Federico II, Dept Biol, I-80126 Naples, Italy.</t>
  </si>
  <si>
    <t>angelina.cordone@unina.it</t>
  </si>
  <si>
    <t>Cordone, Angelina/ACF-5367-2022</t>
  </si>
  <si>
    <t>Cordone, Angelina/0000-0002-6131-3145; Barosa, Bernardo/0009-0002-9779-3571; MANGONI, Olga/0000-0001-7789-0820; Correggia, Monica/0009-0007-9740-3939; Bastianoni, Alessia/0000-0003-0314-1610; Ricciardelli, Annarita/0000-0003-2084-0579</t>
  </si>
  <si>
    <t>2076-2607</t>
  </si>
  <si>
    <t>Microorganisms</t>
  </si>
  <si>
    <t>10.3390/microorganisms11030702</t>
  </si>
  <si>
    <t>C0FU5</t>
  </si>
  <si>
    <t>WOS:000958790100001</t>
  </si>
  <si>
    <t>Egorova, ES; Mironov, YU</t>
  </si>
  <si>
    <t>Egorova, Elizaveta S.; Mironov, Yevgeny U.</t>
  </si>
  <si>
    <t>Assessment of the Seasonal and Multiyear Variability in the Sea Ice Volume Export via the Fram Strait</t>
  </si>
  <si>
    <t>INTERNATIONAL JOURNAL OF OFFSHORE AND POLAR ENGINEERING</t>
  </si>
  <si>
    <t>Shanghai; (virtual); KEY WORDS; Fram Strait; ice volume flux; ice thickness; ice age com-position; ice ridge</t>
  </si>
  <si>
    <t>SATELLITE; THICKNESS</t>
  </si>
  <si>
    <t>This paper presents an assessment of the seasonal and interannual variability of the ice volume and ice age exported through the Fram Strait for the winter months of 1979-2021. Two methods for determining the ice volume exported via the strait site are compared: the isobaric drift model and sea ice motion data obtained from the National Snow and Ice Data Center (NSIDC); each method differs in the way the component of its drift velocity is considered. The ice volume exported along the Fram Strait has a clearly defined seasonal cycle, with a maximum in March-April and a minimum in October. The average total value of ice exported is 2,721 km3 according to the NSIDC data and 2,945 km3 according to the isobaric drift model. The year-to-year assessments of the volume of ice exported do not show a significant trend, contrary to other studies. A peak in ice volume export in late winter corresponds to the maximum of ice thickness.</t>
  </si>
  <si>
    <t>[Egorova, Elizaveta S.; Mironov, Yevgeny U.] Arctic &amp; Antarctic Res Inst, Sea Ice Regime &amp; Forecast Dept, St Petersburg, Russia</t>
  </si>
  <si>
    <t>Egorova, ES (corresponding author), Arctic &amp; Antarctic Res Inst, Sea Ice Regime &amp; Forecast Dept, St Petersburg, Russia.</t>
  </si>
  <si>
    <t>Egorova, Elizaveta/JRX-1701-2023; Mironov, Yevgeny Uarovich/ADV-4713-2022</t>
  </si>
  <si>
    <t>Egorova, Elizaveta/0000-0001-7207-6002; Mironov, Yevgeny Uarovich/0000-0001-8390-8011</t>
  </si>
  <si>
    <t>Russian Science Foundation [22-27-00443]</t>
  </si>
  <si>
    <t>ACKNOWLEDGEMENTS The work was supported by the Russian Science Foundation within the framework of Scientific Project No. 22-27-00443.</t>
  </si>
  <si>
    <t>INT SOC OFFSHORE POLAR ENGINEERS</t>
  </si>
  <si>
    <t>CUPERTINO</t>
  </si>
  <si>
    <t>PO BOX 189, CUPERTINO, CA 95015-0189 USA</t>
  </si>
  <si>
    <t>1053-5381</t>
  </si>
  <si>
    <t>INT J OFFSHORE POLAR</t>
  </si>
  <si>
    <t>Int. J. Offshore Polar Eng.</t>
  </si>
  <si>
    <t>10.17736/ijope.2023.ik11</t>
  </si>
  <si>
    <t>Engineering, Civil; Engineering, Ocean; Engineering, Mechanical</t>
  </si>
  <si>
    <t>A9HH5</t>
  </si>
  <si>
    <t>WOS:000958150700001</t>
  </si>
  <si>
    <t>Qian, YY; Luo, YH; Zhou, HJ; Yang, TP; Xi, L; Si, FQ</t>
  </si>
  <si>
    <t>Qian, Yuanyuan; Luo, Yuhan; Zhou, Haijin; Yang, Taiping; Xi, Liang; Si, Fuqi</t>
  </si>
  <si>
    <t>First Retrieval of Total Ozone Columns from EMI-2 Using the DOAS Method</t>
  </si>
  <si>
    <t>EMI-2; total ozone columns; DOAS; ozone hole</t>
  </si>
  <si>
    <t>ABSORPTION CROSS-SECTIONS; TEMPERATURE-DEPENDENCE; DEPLETION; RECOVERY; CLIMATE; GOME; CIRCULATION; ULTRAVIOLET; MISSION; TRENDS</t>
  </si>
  <si>
    <t>The Environmental Trace Gases Monitoring Instrument 2 (EMI-2), a second-generation Chinese hyperspectral satellite-based spectrometer, was launched on 7 September 2021. The total ozone column (TOC) product, which is one of the most important elements of the EMI-2 mission, is required for monitoring the Antarctic ozone hole and regional tropospheric ozone pollution. The first EMI-2 TOC results using the differential optical absorption spectroscopy (DOAS) method are presented in this study. Significant improvements, such as the fitting interval, reference spectrum, and iterative air mass factor (AMF) calculation scheme, were implemented in the EMI-2 TOC retrieval in comparison with the EMI DOAS TOC algorithm, thus generating more accurate reads. The monthly average EMI-2 DOAS TOCs in November 2021 were compared with the TROPOspheric Monitoring Instrument (TROPOMI) TOCs, and the results showed a good correlation (R = 0.99). The EMI-2 TOCs showed similar global spatial distributions to those of TROPOMI, with an overall mean relative bias and mean standard deviation of 0.16% and 2.38%, respectively. However, large differences (up to 7%) appeared in some polar areas near the coastline, which were mainly caused by different surface albedo algorithms. Furthermore, ground-based measurements from 20 stations across different latitudes derived from the World Ozone and Ultraviolet Radiation Data Center dataset were used to assess the accuracy of the EMI-2 DOAS TOCs, and they had a mean relative bias and mean standard deviation of 0.70% and 3.65%, respectively. These results indicate that the EMI-2 DOAS TOC algorithm can yield reliable global TOCs and monitor daily Antarctic TOCs for assessing the healing of ozone holes.</t>
  </si>
  <si>
    <t>[Qian, Yuanyuan; Luo, Yuhan; Zhou, Haijin; Yang, Taiping; Xi, Liang; Si, Fuqi] Chinese Acad Sci, Anhui Inst Opt &amp; Fine Mech, Hefei Inst Phys Sci, Key Lab Environm Opt &amp; Technol, Hefei 230031, Peoples R China; [Qian, Yuanyuan] Grad Sch USTC, Sci Isl Branch, Hefei 230026, Peoples R China</t>
  </si>
  <si>
    <t>Chinese Academy of Sciences; Hefei Institutes of Physical Science, CAS; Anhui Institute of Optics &amp; Fine Mechanics (AIOFM), CAS</t>
  </si>
  <si>
    <t>Si, FQ (corresponding author), Chinese Acad Sci, Anhui Inst Opt &amp; Fine Mech, Hefei Inst Phys Sci, Key Lab Environm Opt &amp; Technol, Hefei 230031, Peoples R China.</t>
  </si>
  <si>
    <t>sifuqi@aiofm.ac.cn</t>
  </si>
  <si>
    <t>Zhou, Haijin/ABE-5081-2020; 钱, 园园/IUM-5648-2023</t>
  </si>
  <si>
    <t>钱, 园园/0000-0001-5870-9467; Luo, Yuhan/0000-0003-4568-6336; Yang, Taiping/0000-0002-8181-9661</t>
  </si>
  <si>
    <t>National Natural Science Foundation of China [41941011, 41676184]; Youth Innovation Promotion Association of CAS [2020439]</t>
  </si>
  <si>
    <t>National Natural Science Foundation of China(National Natural Science Foundation of China (NSFC)); Youth Innovation Promotion Association of CAS</t>
  </si>
  <si>
    <t>This research was funded by the National Natural Science Foundation of China (Grant Nos. 41941011 and 41676184) and the Youth Innovation Promotion Association of CAS (Grant No. 2020439).</t>
  </si>
  <si>
    <t>10.3390/rs15061665</t>
  </si>
  <si>
    <t>C1QV4</t>
  </si>
  <si>
    <t>WOS:000959756500001</t>
  </si>
  <si>
    <t>Wu, SH; Shi, LJ; Zou, B; Zeng, T; Dong, ZQ; Lu, DW</t>
  </si>
  <si>
    <t>Wu, Suhui; Shi, Lijian; Zou, Bin; Zeng, Tao; Dong, Zhaoqing; Lu, Dunwang</t>
  </si>
  <si>
    <t>Daily Sea Ice Concentration Product over Polar Regions Based on Brightness Temperature Data from the HY-2B SMR Sensor</t>
  </si>
  <si>
    <t>sea ice concentration; HY-2B; bootstrap; Arctic; Antarctic</t>
  </si>
  <si>
    <t>SATELLITE PASSIVE MICROWAVE; SHIP OBSERVATIONS; CLIMATE; ALGORITHMS; PARAMETERS; RETRIEVAL; SUMMER; CHARTS; EXTENT; SSM/I</t>
  </si>
  <si>
    <t>Polar sea ice profoundly affects atmospheric and oceanic circulation and plays a significant role in climate change. Sea ice concentration (SIC) is a key geophysical parameter used to quantify these changes. In this study, we determined SIC products for the Arctic and Antarctic from 2019 to 2021 using data from the Chinese marine satellite Haiyang 2B (HY-2B) with an improved bootstrap algorithm. Then the results were compared with similar operational SIC products and ship-based data. Our findings demonstrate the effectiveness of the improved algorithm for accurately determining SIC in polar regions. Additionally, the results of the study demonstrate that the SIC product obtained through the improved bootstrap algorithm has a high correlation with other similar SIC products. The daily average SIC of the different products showed similar inter-annual trends for both the Arctic and Antarctic regions. Comparison of the different SIC products showed that the Arctic BT-SMR SIC was slightly lower than the BT-SSMIS and BT-AMSR2 SIC products, while the difference between Antarctic SIC products was more pronounced. The lowest MAE was between the BT-SSMIS SIC and BT-SMR SIC in both regions, while the largest MAE was between the NT-SMR and BT-SMR in the Arctic, and between the NT-SSMIS and BT-SMR in the Antarctic. The SIE and SIA time series showed consistent trends, with a greater difference in SIA than SIC and a slight difference in SIA between the BT-AMSR2 and BT-SMR in the Arctic. Evaluation of the different SIC products using ship-based observation data showed a high correlation between the BT-SMR SIC and the ship-based SIC of approximately 0.85 in the Arctic and 0.88 in the Antarctic. The time series of dynamic tie-points better reflected the seasonal variation in sea ice radiation characteristics. This study lays the foundation for the release of long-term SIC product series from the Chinese autonomous HY-2B satellite, which will ensure the continuity of polar sea ice records over the past 40 years despite potential interruptions.</t>
  </si>
  <si>
    <t>[Wu, Suhui; Lu, Dunwang] Natl Marine Environm Forecasting Ctr, Beijing 100081, Peoples R China; [Wu, Suhui; Shi, Lijian; Zou, Bin; Zeng, Tao; Lu, Dunwang] Natl Satellite Ocean Applicat Serv, Beijing 100081, Peoples R China; [Wu, Suhui; Shi, Lijian; Zou, Bin; Zeng, Tao; Lu, Dunwang] Minist Nat Resources, Key Lab Space Ocean Remote Sensing &amp; Applicat, Beijing 100081, Peoples R China; [Dong, Zhaoqing] Hohai Univ, Coll Oceanog, Nanjing 210098, Peoples R China</t>
  </si>
  <si>
    <t>National Marine Environmental Forecasting Center; National Satellite Ocean Application Service; Ministry of Natural Resources of the People's Republic of China; Hohai University</t>
  </si>
  <si>
    <t>Shi, LJ (corresponding author), Natl Satellite Ocean Applicat Serv, Beijing 100081, Peoples R China.;Shi, LJ (corresponding author), Minist Nat Resources, Key Lab Space Ocean Remote Sensing &amp; Applicat, Beijing 100081, Peoples R China.</t>
  </si>
  <si>
    <t>Jia, Li/JVN-3095-2024; yang, kun/JGM-4169-2023; wang, xueting/JPY-2782-2023; Chen, Chao/JHS-6563-2023; Wang, Chao/JHT-6081-2023; Zhang, Lijun/JEZ-7925-2023</t>
  </si>
  <si>
    <t>Shi, Lijian/0000-0003-1046-3984; Wu, Suhui/0000-0002-4455-8060</t>
  </si>
  <si>
    <t>National Key Research and Development of China [2021YFC2803300, 2022YFC2807003, 2018YFC1407200, IRASCC2020-2022-No.01-01-03]</t>
  </si>
  <si>
    <t>National Key Research and Development of China</t>
  </si>
  <si>
    <t>This research was funded by the National Key Research and Development of China grant numbers 2021YFC2803300, 2022YFC2807003, 2018YFC1407200, and IRASCC2020-2022-No.01-01-03.</t>
  </si>
  <si>
    <t>10.3390/rs15061692</t>
  </si>
  <si>
    <t>A9YN6</t>
  </si>
  <si>
    <t>WOS:000958600500001</t>
  </si>
  <si>
    <t>Xu, CJ; Wang, ZX; Zhai, XC; Lin, WM; He, YJ</t>
  </si>
  <si>
    <t>Xu, Changjing; Wang, Zhixiong; Zhai, Xiaochun; Lin, Wenming; He, Yijun</t>
  </si>
  <si>
    <t>SVM-Based Sea Ice Extent Retrieval Using Multisource Scatterometer Measurements</t>
  </si>
  <si>
    <t>multisource scatterometer; radar backscatter measurements; sea ice extent; support vector machine; classification</t>
  </si>
  <si>
    <t>C-BAND SCATTEROMETER; QUIKSCAT; IDENTIFICATION; ALGORITHM</t>
  </si>
  <si>
    <t>This study aims to explore the joint usage of multisource scatterometer measurements in polar sea water and ice discrimination. All radar backscatter measurements from current operating satellite scatterometers are considered, including the C-band ASCAT scatterometer on board the MetOp series satellites, the Ku-band scatterometer on board the HY-2B satellite (HSCAT), and the Ku-band scatterometer on board the CFOSAT satellite (CSCAT). By performing seven experiments that use the same support vector machine (SVM) classifier method but with different input data, we find that the SVM model with all available HSCAT, CSCAT, and ASCAT scatterometer data as inputs gives the best performance. In addition to the SVM outputs, we employ the image erosion/dilation techniques and area growth method to reduce misclassifications of sea water and ice. The sea ice extent obtained in this study shows a good agreement with the National Snow and Ice Data Center (NSIDC) sea ice concentration data from the years 2019 to 2021. More specifically, the sea ice areas are closer to the sea ice areas calculated using 15% as the threshold for NSIDC sea ice concentration data in both Arctic and Antarctic. The sea ice edges acquired by the multisource scatterometer show a close correlation with sea ice edges from the Sentinel-1 Synthetic Aperture Radar (SAR) images. In addition, we found that the coverage of multisource scatterometer data in a half-day is usually above 97%, and more importantly, the sea ice areas obtained on the basis of half-day and daily multisource scatterometer data are very close to each other. The presented work can serve as guidance on the usage of all available scatterometer measurements in sea ice monitoring.</t>
  </si>
  <si>
    <t>[Xu, Changjing; Wang, Zhixiong; Lin, Wenming; He, Yijun] Nanjing Univ Informat Sci &amp; Technol, Sch Marine Sci, Nanjing 210044, Peoples R China; [Wang, Zhixiong; Lin, Wenming; He, Yijun] Key Lab Space Ocean Remote Sensing &amp; Applicat MNR, Beijing 100081, Peoples R China; [Zhai, Xiaochun] China Meteorol Adm, Natl Satellite Meteorol Ctr, Beijing 100081, Peoples R China</t>
  </si>
  <si>
    <t>Nanjing University of Information Science &amp; Technology; China Meteorological Administration</t>
  </si>
  <si>
    <t>Wang, ZX (corresponding author), Nanjing Univ Informat Sci &amp; Technol, Sch Marine Sci, Nanjing 210044, Peoples R China.;Wang, ZX (corresponding author), Key Lab Space Ocean Remote Sensing &amp; Applicat MNR, Beijing 100081, Peoples R China.</t>
  </si>
  <si>
    <t>wangzhixiong@nuist.edu.cn</t>
  </si>
  <si>
    <t>He, Yijun/0000-0002-1531-5262</t>
  </si>
  <si>
    <t>10.3390/rs15061630</t>
  </si>
  <si>
    <t>C0FQ0</t>
  </si>
  <si>
    <t>WOS:000958785600001</t>
  </si>
  <si>
    <t>Siegel, P; Baker, KG; Low-Décarie, E; Geider, RJ</t>
  </si>
  <si>
    <t>Siegel, Philipp; Baker, Kirralee G.; Low-Decarie, Etienne; Geider, Richard J.</t>
  </si>
  <si>
    <t>Phytoplankton competition and resilience under fluctuating temperature</t>
  </si>
  <si>
    <t>climate change; diatom; disturbance; heatwaves; nitrogen limitation; Phaeodactylum tricornutum; Thalassiosira pseudonana; thermal threshold; thermal variability; tipping point</t>
  </si>
  <si>
    <t>PHYSIOLOGICAL PERFORMANCE; MARINE HEATWAVES; CLIMATE-CHANGE; OCEAN; SEA; VARIABILITY; COEXISTENCE; ORGANISMS; IMPACTS; MAINTENANCE</t>
  </si>
  <si>
    <t>Environmental variability is an inherent feature of natural systems which complicates predictions of species interactions. Primarily, the complexity in predicting the response of organisms to environmental fluctuations is in part because species' responses to abiotic factors are non-linear, even in stable conditions. Temperature exerts a major control over phytoplankton growth and physiology, yet the influence of thermal fluctuations on growth and competition dynamics is largely unknown. To investigate the limits of coexistence in variable environments, stable mixed cultures with constant species abundance ratios of the marine diatoms, Phaeodactylum tricornutum and Thalassiosira pseudonana, were exposed to different temperature fluctuation regimes (n = 17) under high and low nitrogen (N) conditions. Here we demonstrate that phytoplankton exhibit substantial resilience to temperature variability. The time required to observe a shift in the species abundance ratio decreased with increasing fluctuations, but coexistence of the two model species under high N conditions was disrupted only when amplitudes of temperature fluctuation were high (+/- 8.2 degrees C). N limitation caused the thermal amplitude for disruption of species coexistence to become lower (+/- 5.9 degrees C). Furthermore, once stable conditions were reinstated, the two species differed in their ability to recover from temperature fluctuations. Our findings suggest that despite the expectation of unequal effect of fluctuations on different competitors, cycles in environmental conditions may reduce the rate of species replacement when amplitudes remain below a certain threshold. Beyond these thresholds, competitive exclusion could, however, be accelerated, suggesting that aquatic heatwaves and N availability status are likely to lead to abrupt and unpredictable restructuring of phytoplankton community composition .</t>
  </si>
  <si>
    <t>[Siegel, Philipp; Baker, Kirralee G.; Low-Decarie, Etienne; Geider, Richard J.] Univ Essex, Sch Life Sci, Colchester Campus, Colchester, Essex, England; [Baker, Kirralee G.] Univ Tasmania, Inst Marine &amp; Antarctic Studies, Hobart, Tas 7001, Australia; [Low-Decarie, Etienne] Govt Canada, Agr &amp; Agrifoods Canada, Biol Informat Ctr Expertise, Montreal, PQ, Canada</t>
  </si>
  <si>
    <t>University of Essex; University of Tasmania</t>
  </si>
  <si>
    <t>Baker, KG (corresponding author), Univ Tasmania, Inst Marine &amp; Antarctic Studies, Hobart, Tas 7001, Australia.</t>
  </si>
  <si>
    <t>kirralee.baker@utas.edu.au</t>
  </si>
  <si>
    <t>Low-Decarie, Etienne/R-4305-2019; Baker, Kirralee/IUN-3388-2023</t>
  </si>
  <si>
    <t>Low-Decarie, Etienne/0000-0002-0413-567X; Baker, Kirralee/0000-0003-3008-2513; Geider, Richard/0000-0003-3276-047X</t>
  </si>
  <si>
    <t>NERC [NE/P002374/1]; University of Essex School of Life Sciences</t>
  </si>
  <si>
    <t>NERC(UK Research &amp; Innovation (UKRI)Natural Environment Research Council (NERC)); University of Essex School of Life Sciences</t>
  </si>
  <si>
    <t>The authors thank all the lab technicians at the University of Essex that contributed to the set-up of this work and the running of lab facilities, especially Tania Cresswell-Maynard, Amanda Clements, John Green, and Dr. Phil Davey. The work was made possible through the University of Essex School of Life Sciences start-up grant awarded to Etienne Low-Decarie. Kirralee G. Baker was supported by NERC grant NE/P002374/1 awarded to Richard J. Geider. We also thank two anonymous reviewers and the editor for their valuable input on this manuscript.</t>
  </si>
  <si>
    <t>e9851</t>
  </si>
  <si>
    <t>10.1002/ece3.9851</t>
  </si>
  <si>
    <t>A3VG9</t>
  </si>
  <si>
    <t>WOS:000954435600001</t>
  </si>
  <si>
    <t>Pennino, S; Scamardella, A</t>
  </si>
  <si>
    <t>Pennino, Silvia; Scamardella, Antonio</t>
  </si>
  <si>
    <t>Motions Assessment Using a Time Domain Approach for a Research Ship in Antarctic Waters</t>
  </si>
  <si>
    <t>Cummins equations; onboard motions measurements; weather forecast data; vertical motions assessment; time-domain simulations</t>
  </si>
  <si>
    <t>DESIGN; ACCELERATION; LOADS</t>
  </si>
  <si>
    <t>An approach combining frequency and time domain analysis is introduced in this study for ship motions assessment. The open-source NEMOH code is utilized to compute the excitation forces and the hydrodynamic coefficients, while heave and pitch motions time histories are determined by solving the Cummins equations in the time domain. The study compares the numerical outcomes for the heave, pitch, and vertical acceleration at the center of gravity with data obtained from a smartphone onboard during an oceanographic expedition in the Antarctic Ocean in early 2020 on the Laura Bassi research vessel. In order to validate the proposed method, weather forecast data from the global-WAM (GWAM) model are utilized. The comparison reveals a good agreement between numerical results and onboard measurements, with differences in motion values remaining below 10% and accelerations below 15%. Therefore, the developed code, taking into account its future improvements, represents an initial step towards creating a promising tool for an accurate estimation of ship motions and accelerations.</t>
  </si>
  <si>
    <t>[Pennino, Silvia; Scamardella, Antonio] Univ Naples Parthenope, Ctr Direz Isola C4, Dept Sci &amp; Technol, I-80143 Naples, Italy</t>
  </si>
  <si>
    <t>Parthenope University Naples</t>
  </si>
  <si>
    <t>Pennino, S (corresponding author), Univ Naples Parthenope, Ctr Direz Isola C4, Dept Sci &amp; Technol, I-80143 Naples, Italy.</t>
  </si>
  <si>
    <t>silvia.pennino@uniparthenope.it</t>
  </si>
  <si>
    <t>Project TME Processo automatico per l'implementazione di Tecnologie per la Mobilita Efficiente Navale, Fondo per la Crescita Sostenibile-Sportello Fabbrica intelligente PON IC 2014-2020 [CUP B66G2100090005]</t>
  </si>
  <si>
    <t>Project TME Processo automatico per l'implementazione di Tecnologie per la Mobilita Efficiente Navale, Fondo per la Crescita Sostenibile-Sportello Fabbrica intelligente PON IC 2014-2020</t>
  </si>
  <si>
    <t>The research was funded within the Project TME Processo automatico per l'implementazione di Tecnologie per la Mobilita Efficiente Navale CUP B66G2100090005, Fondo per la Crescita Sostenibile-Sportello Fabbrica intelligente PON I &amp; C 2014-2020, D.M. 5 marzo 2018 Capo III.</t>
  </si>
  <si>
    <t>10.3390/jmse11030558</t>
  </si>
  <si>
    <t>A9QT1</t>
  </si>
  <si>
    <t>WOS:000958397900001</t>
  </si>
  <si>
    <t>Collins, GE; Young, MR; Convey, P; Chown, SL; Cary, SC; Adams, BJ; Wall, DH; Hogg, ID</t>
  </si>
  <si>
    <t>Collins, Gemma. E. E.; Young, Monica. R. R.; Convey, Peter; Chown, Steven. L. L.; Cary, S. Craig; Adams, Byron. J. J.; Wall, Diana. H. H.; Hogg, Ian. D. D.</t>
  </si>
  <si>
    <t>Biogeography and Genetic Diversity of Terrestrial Mites in the Ross Sea Region, Antarctica</t>
  </si>
  <si>
    <t>speciation; geographic isolation; Acari; Antarctic conservation; DNA barcoding</t>
  </si>
  <si>
    <t>SOUTHERN VICTORIA LAND; R PACKAGE; ACARI; COLLEMBOLA; SPRINGTAILS; NANORCHESTES; VARIABILITY; PENINSULA; PATTERNS; DIFFERENTIATION</t>
  </si>
  <si>
    <t>Free-living terrestrial mites (Acari) have persisted through numerous glacial cycles in Antarctica. Very little is known, however, of their genetic diversity and distribution, particularly within the Ross Sea region. To redress this gap, we sampled mites throughout the Ross Sea region, East Antarctica, including Victoria Land and the Queen Maud Mountains (QMM), covering a latitudinal range of 72-85 degrees S, as well as Lauft Island near Mt. Siple (73 degrees S) in West Antarctica and Macquarie Island (54(o)S) in the sub-Antarctic. We assessed genetic diversity using mitochondrial cytochrome c oxidase subunit I gene sequences (COI-5P DNA barcode region), and also morphologically identified voucher specimens. We obtained 130 sequences representing four genera: Nanorchestes (n = 30 sequences), Stereotydeus (n = 46), Coccorhagidia (n = 18) and Eupodes (n = 36). Tree-based analyses (maximum likelihood) revealed 13 genetic clusters, representing as many as 23 putative species indicated by barcode index numbers (BINs) from the Barcode of Life Datasystems (BOLD) database. We found evidence for geographically-isolated cryptic species, e.g., within Stereotydeus belli and S. punctatus, as well as unique genetic groups occurring in sympatry (e.g., Nanorchestes spp. in QMM). Collectively, these data confirm high genetic divergence as a consequence of geographic isolation over evolutionary timescales. From a conservation perspective, additional targeted sampling of understudied areas in the Ross Sea region should be prioritised, as further diversity is likely to be found in these short-range endemic mites.</t>
  </si>
  <si>
    <t>[Collins, Gemma. E. E.; Cary, S. Craig; Hogg, Ian. D. D.] Univ Waikato, Sch Sci, Hamilton 3240, New Zealand; [Collins, Gemma. E. E.] Senckenberg Biodivers &amp; Climate Res Ctr, LOEWE Ctr Translat Biodivers Genom, D-60325 Frankfurt, Germany; [Young, Monica. R. R.] Agr &amp; Agrifood Canada, Canadian Natl Collect Insects Arachnids &amp; Nematod, Ottawa, ON K1A 0C6, Canada; [Convey, Peter] British Antarctic Survey, Cambridge CB3 OET, England; [Convey, Peter] Univ Johannesburg, Dept Zool, ZA-2006 Auckland Pk, South Africa; [Convey, Peter] Univ Austral Chile, BASE, Millennium Inst Biodivers Antarctic &amp; Subantarcti, Valdivia 5090000, Chile; Monash Univ, Sch Biol Sci, Securing Antarcticas Environm Future, Melbourne, Vic 3800, Australia; [Adams, Byron. J. J.] Brigham Young Univ, Dept Biol, Evolutionary Ecol Labs, Provo, UT 84602 USA; [Adams, Byron. J. J.] Brigham Young Univ, Monte L Bean Museum, Provo, UT 84602 USA; [Wall, Diana. H. H.] Colorado State Univ, Dept Biol, Ft Collins, CO 80523 USA; [Wall, Diana. H. H.] Colorado State Univ, Sch Global Environm Sustainabil, Ft Collins, CO 80523 USA; [Hogg, Ian. D. D.] Polar Knowledge Canada, Canadian High Arctic Res Stn, Cambridge Bay, NU X0B 0C0, Canada; [Collins, Gemma. E. E.] Landcare Res Manaaki Whenua, Tamaki Campus, Auckland 1142, New Zealand</t>
  </si>
  <si>
    <t>University of Waikato; Senckenberg Gesellschaft fur Naturforschung (SGN); Senckenberg Biodiversitat &amp; Klima- Forschungszentrum (BiK-F); Agriculture &amp; Agri Food Canada; UK Research &amp; Innovation (UKRI); Natural Environment Research Council (NERC); NERC British Antarctic Survey; University of Johannesburg; Universidad Austral de Chile; Melbourne Genomics Health Alliance; Monash University; Brigham Young University; Brigham Young University; Colorado State University; Colorado State University; Landcare Research - New Zealand</t>
  </si>
  <si>
    <t>Collins, GE; Hogg, ID (corresponding author), Univ Waikato, Sch Sci, Hamilton 3240, New Zealand.;Collins, GE (corresponding author), Senckenberg Biodivers &amp; Climate Res Ctr, LOEWE Ctr Translat Biodivers Genom, D-60325 Frankfurt, Germany.;Hogg, ID (corresponding author), Polar Knowledge Canada, Canadian High Arctic Res Stn, Cambridge Bay, NU X0B 0C0, Canada.;Collins, GE (corresponding author), Landcare Res Manaaki Whenua, Tamaki Campus, Auckland 1142, New Zealand.</t>
  </si>
  <si>
    <t>CollinsG@landcareresearch.co.nz; ian.hogg@polar-polaire.gc.ca</t>
  </si>
  <si>
    <t>Chown, Steven/ABD-7646-2021; Convey, Peter/AAV-5728-2020; Adams, Byron/C-3808-2009</t>
  </si>
  <si>
    <t>Convey, Peter/0000-0001-8497-9903; Collins, Gemma/0000-0002-3626-7845; Adams, Byron/0000-0002-7815-3352; Hogg, Ian D./0000-0002-6685-0089; Young, Monica R/0000-0002-7388-8202</t>
  </si>
  <si>
    <t>10.3390/genes14030606</t>
  </si>
  <si>
    <t>A5JB4</t>
  </si>
  <si>
    <t>WOS:000955471700001</t>
  </si>
  <si>
    <t>Veas-Mattheos, K; Almendras, K; Pezoa, M; Muster, C; Orlando, J</t>
  </si>
  <si>
    <t>Veas-Mattheos, Karla; Almendras, Katerin; Pezoa, Matias; Muster, Cecilia; Orlando, Julieta</t>
  </si>
  <si>
    <t>High Andean Steppes of Southern Chile Contain Little-Explored Peltigera Lichen Symbionts</t>
  </si>
  <si>
    <t>Andean steppes; Chile; cyanobiont; lichen; mycobiont; Nostoc; Peltigera; phylogeny</t>
  </si>
  <si>
    <t>MULTIPLE SEQUENCE ALIGNMENT; GENUS PELTIGERA; SPECIES RICHNESS; PHYLOGENETIC ANALYSES; FORMING FUNGI; RIBOSOMAL-RNA; LARGE SUBUNIT; ASCOMYCOTA; PATTERNS; SPECIFICITY</t>
  </si>
  <si>
    <t>Peltigera lichens can colonize extreme habitats, such as high-elevation ecosystems, but their biodiversity is still largely unknown in these environments, especially in the southern hemi- sphere. We assessed the genetic diversity of mycobionts and cyanobionts of 60 Peltigera lichens collected in three high Andean steppes of southern Chile using LSU, beta-tubulin, COR3 and ITS loci for mycobionts, and SSU and rbcLX loci for cyanobionts. We obtained 240 sequences for the different mycobiont markers and 118 for the cyanobiont markers, including the first report of beta-tubulin sequences of P. patagonica through modifying a previously designed primer. Phylogenetic analyses, ITS scrutiny and variability of haplotypes were used to compare the sequences with those previously reported. We found seven mycobiont species and eleven cyanobiont haplotypes, including considerable novel symbionts. This was reflected by similar to 30% of mycobionts and similar to 20% of cyanobionts haplotypes that yielded less than 99% BLASTn sequence identity, 15 new sequences of the ITS1-HR, and a putative new Peltigera species associated with 3 Nostoc haplotypes not previously reported. Our results suggest that high Andean steppe ecosystems are habitats of unknown or little-explored lichen species and thus valuable environments to enhance our understanding of global Peltigera biodiversity.</t>
  </si>
  <si>
    <t>[Veas-Mattheos, Karla; Almendras, Katerin; Pezoa, Matias; Muster, Cecilia; Orlando, Julieta] Univ Chile, Fac Sci, Dept Ecol Sci, Lab Microbial Ecol, Santiago 7800003, Chile; [Veas-Mattheos, Karla; Almendras, Katerin; Orlando, Julieta] Millennium Inst Biodivers Antarctic &amp; Subantarct E, Santiago 7800003, Chile</t>
  </si>
  <si>
    <t>Universidad de Chile</t>
  </si>
  <si>
    <t>Orlando, J (corresponding author), Univ Chile, Fac Sci, Dept Ecol Sci, Lab Microbial Ecol, Santiago 7800003, Chile.;Orlando, J (corresponding author), Millennium Inst Biodivers Antarctic &amp; Subantarct E, Santiago 7800003, Chile.</t>
  </si>
  <si>
    <t>jorlando@uchile.cl</t>
  </si>
  <si>
    <t>Orlando, Julieta/E-1399-2014</t>
  </si>
  <si>
    <t>Orlando, Julieta/0000-0002-2902-8870; Almendras, Katerin/0009-0008-8729-4617</t>
  </si>
  <si>
    <t>10.3390/jof9030372</t>
  </si>
  <si>
    <t>A5RG2</t>
  </si>
  <si>
    <t>WOS:000955684900001</t>
  </si>
  <si>
    <t>Klocker, A; Garabato, ACN; Roquet, F; de Lavergne, C; Rintoul, SR</t>
  </si>
  <si>
    <t>Klocker, A.; Naveira Garabato, A. C.; Roquet, F.; de Lavergne, C.; Rintoul, S. R.</t>
  </si>
  <si>
    <t>Generation of the Internal Pycnocline in the Subpolar Southern Ocean by Wintertime Sea Ice Melting</t>
  </si>
  <si>
    <t>pycnocline; ice-ocean interaction; sea ice; Southern Ocean</t>
  </si>
  <si>
    <t>OVERTURNING CIRCULATION; MIXED-LAYER; MODEL; WATER; THERMOCLINE; STRATIFICATION; VENTILATION; STABILITY; TRANSPORT; DYNAMICS</t>
  </si>
  <si>
    <t>The ocean's internal pycnocline is a layer of elevated stratification that separates the well-ventilated upper ocean from the more slowly renewed deep ocean. Despite its pivotal role in organizing ocean circulation, the processes governing the formation of the internal pycnocline remain little understood. Classical theories on pycnocline formation have been couched in terms of temperature and it is not clear how the theory applies in the high-latitude Southern Ocean, where stratification is dominated by salinity. Here we assess the mechanisms generating the internal pycnocline at southern high latitudes through the analysis of a high-resolution, realistic, global sea ice-ocean model. We show evidence suggesting that the internal pycnocline's formation is associated with sea ice-ocean interactions in two distinct ice-covered regions, fringing the Antarctic continental slope and the winter sea-ice edge. In both areas, winter-persistent sea-ice melt creates strong, salinity-based stratification at the base of the winter mixed layer. The resulting sheets of high stratification subsequently descend into the ocean interior at fronts of the Antarctic Circumpolar Current, and connect seamlessly to the internal pycnocline in areas further north in which pycnocline stratification is determined by temperature. Our findings thus suggest an important role of localized sea ice-ocean interactions in configuring the vertical structure of the Southern Ocean.</t>
  </si>
  <si>
    <t>[Klocker, A.] Univ Tasmania, Inst Marine &amp; Antarctic Studies, Hobart, Tas, Australia; [Naveira Garabato, A. C.] Univ Tasmania, Australian Res Council Ctr Excellence Climate Extr, Hobart, Tas, Australia; [Klocker, A.] NORCE Norwegian Res Ctr, Bjerknes Ctr Climate Res, Bergen, Norway; [Naveira Garabato, A. C.] Univ Southampton, Natl Oceanog Ctr, Ocean &amp; Earth Sci, Southampton, Hampshire, England; [Roquet, F.] Univ Gothenburg, Dept Marine Sci, Gothenburg, Sweden; [de Lavergne, C.] Sorbonne Univ, LOCEAN Lab, CNRS, IRD,MNHN, Paris, France; [Rintoul, S. R.] Commonwealth Sci &amp; Ind Res Org Environm, Hobart, Tas, Australia; [Rintoul, S. R.] CSIRO, Ctr Southern Hemisphere Oceans Res, Hobart, Tas, Australia; [Rintoul, S. R.] Univ Tasmania, Australian Antarctic Program Partnership, Hobart, Tas, Australia</t>
  </si>
  <si>
    <t>University of Tasmania; University of Tasmania; Norwegian Research Centre (NORCE); Bjerknes Centre for Climate Research; NERC National Oceanography Centre; University of Southampton; University of Gothenburg; Sorbonne Universite; Institut de Recherche pour le Developpement (IRD); Centre National de la Recherche Scientifique (CNRS); Museum National d'Histoire Naturelle (MNHN); Commonwealth Scientific &amp; Industrial Research Organisation (CSIRO); University of Tasmania</t>
  </si>
  <si>
    <t>Klocker, A (corresponding author), Univ Tasmania, Inst Marine &amp; Antarctic Studies, Hobart, Tas, Australia.</t>
  </si>
  <si>
    <t>ankl@norceresearch.no</t>
  </si>
  <si>
    <t>; Klocker, Andreas/E-4632-2011</t>
  </si>
  <si>
    <t>de Lavergne, Casimir/0000-0001-9267-7390; Klocker, Andreas/0000-0002-2038-7922</t>
  </si>
  <si>
    <t>Australian Government; Australian Research Council's Special Research Initiative for Antarctic Gateway Partnership [SR140300001]; Australian Government as part of the Antarctic Science Collaboration Initiative program; Australian Antarctic Program Partnership</t>
  </si>
  <si>
    <t>Australian Government(Australian Government); Australian Research Council's Special Research Initiative for Antarctic Gateway Partnership(Australian Research Council); Australian Government as part of the Antarctic Science Collaboration Initiative program(Australian Government); Australian Antarctic Program Partnership</t>
  </si>
  <si>
    <t>The authors thank the Consortium for Ocean-Sea Ice Modeling in Australia (COSIMA; ) for making the ACCESS-OM2 suite of models available at . Model runs were undertaken with the assistance of resources from the National Computational Infrastructure (NCI), which is supported by the Australian Government. This research was supported under Australian Research Council's Special Research Initiative for Antarctic Gateway Partnership (Project ID SR140300001). This project received grant funding from the Australian Government as part of the Antarctic Science Collaboration Initiative program. The work was supported in part by the Centre for Southern Hemisphere Oceans Research, a partnership between CSIRO, the Qingdao National Laboratory for Marine Science and Technology, the University of New South Wales and the University of Tasmania and by the Australian Antarctic Program Partnership.</t>
  </si>
  <si>
    <t>e2022JC019113</t>
  </si>
  <si>
    <t>10.1029/2022JC019113</t>
  </si>
  <si>
    <t>A7NZ1</t>
  </si>
  <si>
    <t>WOS:000956962000001</t>
  </si>
  <si>
    <t>Nastac, L; Dediu, L; Cretu, M; Rimniceanu, C; Docan, A; Grecu, I; Dima, FM; Stroe, MD; Vizireanu, C</t>
  </si>
  <si>
    <t>Nastac, Lacramioara (Gradinariu); Dediu, Lorena; Cretu, Mirela; Rimniceanu, Cristian; Docan, Angelica; Grecu, Iulia; Dima, Floricel Maricel; Stroe, Maria Desimira; Vizireanu, Camelia</t>
  </si>
  <si>
    <t>The Protective Effects of Korill Product on Carp Fingerlings Reared in High Densities and Challenged with Albendazole Treatment</t>
  </si>
  <si>
    <t>density stress; albendazole; krill oil; oxidative stress; hepatotoxicity</t>
  </si>
  <si>
    <t>HIGH STOCKING DENSITY; SERUM BIOCHEMICAL PARAMETERS; INNATE IMMUNE PARAMETERS; GROWTH-PERFORMANCE; ANTARCTIC KRILL; STRESS-RESPONSE; HEMATOLOGICAL PARAMETERS; DEVELOPMENTAL TOXICITY; ANTIOXIDANT STATUS; GILTHEAD SEABREAM</t>
  </si>
  <si>
    <t>The objectives of the present study were to evaluate the potential of the Korill (KO), a product based on krill oil, supplemented in fish feed (5 g/kg feed) to alleviate density-induced stress in carp fingerlings, and its protective capacity in case of anthelmintic drug administration (ABZ-albendazole). Thus, the fish were divided into four groups: LD (low density with normal feed), LD-KO (low density with KO supplementation feed), HD (high density with normal feed), and HD-KO (high density with KO supplementation feed). During the first trial, the fish held under different densities were fed normal feed and KO feed for two months, following a 2 x 2 factorial experimental design. In the second trial, seven fish per tank were subjected, for one week, to albendazole treatment (administered daily by an oral dose of 5 mg/kg body weight). For both trials, blood and plasma samples were used to quantify hematological and biochemical parameters. The results showed that the KO diet alleviated the negative impact of ABZ treatment on liver function and the metabolic profile of carp fingerlings reared in high densities. In addition, KO feeding improved lysozyme activity (LZM) and therefore the immune status of the fish, and reduced oxidative damage in the liver, demonstrated by a decrease of malondialdehyde (MDA) content and an increase of total antioxidant capacity (TAC).</t>
  </si>
  <si>
    <t>[Nastac, Lacramioara (Gradinariu); Dediu, Lorena; Cretu, Mirela; Rimniceanu, Cristian; Docan, Angelica; Grecu, Iulia; Vizireanu, Camelia] Dunarea de Jos Univ Galati, Fac Food Sci &amp; Engn, Galati 800008, Romania; [Dima, Floricel Maricel; Stroe, Maria Desimira] Res &amp; Dev Inst Aquat Ecol Fishing &amp; Aquaculture, 54 Portului St, Galati 800008, Romania</t>
  </si>
  <si>
    <t>Dunarea De Jos University Galati</t>
  </si>
  <si>
    <t>Dediu, L (corresponding author), Dunarea de Jos Univ Galati, Fac Food Sci &amp; Engn, Galati 800008, Romania.</t>
  </si>
  <si>
    <t>lorena.dediu@ugal.ro</t>
  </si>
  <si>
    <t>Stroe, Maria Desimira/JNE-7473-2023; DIMA, Floricel Maricel/CAF-3940-2022; VIZIREANU, Camelia/IAP-9921-2023; DIMA, Floricel Maricel/JCO-3989-2023; Grecu, Iulia Rodica/AFU-0001-2022</t>
  </si>
  <si>
    <t>Stroe, Maria Desimira/0000-0002-5201-5904; DIMA, Floricel Maricel/0000-0002-0977-9941; DIMA, Floricel Maricel/0000-0002-0977-9941; Cretu, Mirela/0000-0003-1269-4647; Dediu, Lorena/0000-0003-1063-793X; Vizireanu, Camelia/0000-0002-8704-2662; Docan, Angelica/0009-0000-6052-6416; GRECU, Iulia/0000-0002-7558-8916</t>
  </si>
  <si>
    <t>10.3390/fishes8030153</t>
  </si>
  <si>
    <t>A5HZ1</t>
  </si>
  <si>
    <t>WOS:000955443400001</t>
  </si>
  <si>
    <t>Brown, JW; Moser, DE; Emanuelsson, DB; Thomas, ER</t>
  </si>
  <si>
    <t>Brown, Joseph W.; Moser, Dorothea E.; Emanuelsson, Daniel B.; Thomas, Elizabeth R.</t>
  </si>
  <si>
    <t>Visual Stratigraphy-Based Age Scale Developed for the Shallow Mount Siple Firn Core, Antarctica</t>
  </si>
  <si>
    <t>Sub-Antarctic; Ice Cores; Melting; Visual Stratigraphy</t>
  </si>
  <si>
    <t>ICE CORES; MINERAL DUST; LAYERS; SHEET; OCEAN</t>
  </si>
  <si>
    <t>Here we present a case study for using visual stratigraphy to date a shallow firn core from coastal West Antarctica. The Mount Siple ice core has the potential to reconstruct climate in this data-sparse region over recent decades. Line scanned images of the 24 m firn core were used to generate a grey-scale, which displays variability consistent with annual cycles. The resulting Mount Siple age scale spans from 1998 +/- 1 to 2017 CE. This study demonstrates that the seasonal changes in the grey-scale record provide an independent method of dating firn cores. However, the presence of melt layers at this site has introduced an error of +/- 1 year. Visual line stratigraphy has the unique advantage over traditional annual layer counting, based on chemical or isotopic species, of being non-destructive and relatively inexpensive. Visual line stratigraphy has proved to be an effective dating method for this site.</t>
  </si>
  <si>
    <t>[Brown, Joseph W.] Univ Cambridge, Dept Earth Sci, Cambridge CB2 3ET, England; [Moser, Dorothea E.; Emanuelsson, Daniel B.; Thomas, Elizabeth R.] British Antarctic Survey, Cambridge CB2 3ET, England</t>
  </si>
  <si>
    <t>University of Cambridge; UK Research &amp; Innovation (UKRI); Natural Environment Research Council (NERC); NERC British Antarctic Survey</t>
  </si>
  <si>
    <t>Brown, JW (corresponding author), Univ Cambridge, Dept Earth Sci, Cambridge CB2 3ET, England.</t>
  </si>
  <si>
    <t>jwb59@cantab.ac.uk</t>
  </si>
  <si>
    <t>Thomas, Elizabeth Ruth/ADF-3660-2022</t>
  </si>
  <si>
    <t>Thomas, Elizabeth Ruth/0000-0002-3010-6493; Moser, Dorothea Elisabeth/0000-0001-9085-9713; Brown, Joseph William/0000-0002-9377-9038; Emanuelsson, B. Daniel/0000-0002-9373-6951</t>
  </si>
  <si>
    <t>10.3390/geosciences13030085</t>
  </si>
  <si>
    <t>A4XH9</t>
  </si>
  <si>
    <t>WOS:000955166200001</t>
  </si>
  <si>
    <t>Zank, PD; Cerveira, MM; dos Santos, VB; Klein, VP; de Souza, TT; Bueno, DT; Poletti, T; Leitzke, AF; Giongo, JL; Carreño, NLV; Mansilla, A; Astorga-España, MS; de Pereira, CMP; Vaucher, RD</t>
  </si>
  <si>
    <t>Zank, Patricia Daiane; Cerveira, Milena Mattes; dos Santos, Victor Barboza; Klein, Vitor Pereira; de Souza, Thobias Toniolo; Bueno, Danielle Tapia; Poletti, Tais; Leitzke, Amanda Fonseca; Giongo, Janice Luehring; Carreno, Neftali Lenin Villarreal; Mansilla, Andres; Astorga-Espana, Maria Soledad; de Pereira, Claudio Martin Pereira; Vaucher, Rodrigo de Almeida</t>
  </si>
  <si>
    <t>Carrageenan from Gigartina skottsbergii: A Novel Molecular Probe to Detect SARS-CoV-2</t>
  </si>
  <si>
    <t>BIOSENSORS-BASEL</t>
  </si>
  <si>
    <t>COVID-19; macroalga; carrageenan; probe; qRT-PCR; RT-LAMP</t>
  </si>
  <si>
    <t>ANTIOXIDANT ACTIVITY; KAPPAPHYCUS-ALVAREZII; KAPPA-CARRAGEENAN; POLYSACCHARIDES; IDENTIFICATION; NANOCOMPOSITE; SPECTROSCOPY; CAPACITY; FTIR</t>
  </si>
  <si>
    <t>The COVID-19 pandemic has caused an unprecedented health and economic crisis, highlighting the importance of developing new molecular tools to monitor and detect SARS-CoV-2. Hence, this study proposed to employ the carrageenan extracted from Gigartina skottsbergii algae as a probe for SARS-CoV-2 virus binding capacity and potential use in molecular methods. G. skottsbergii specimens were collected in the Chilean subantarctic ecoregion, and the carrageenan was extracted -using a modified version of Webber's method-, characterized, and quantified. After 24 h of incubation with an inactivated viral suspension, the carrageenan's capacity to bind SARS-CoV-2 was tested. The probe-bound viral RNA was quantified using the reverse transcription and reverse transcription loop-mediated isothermal amplification (RT-LAMP) methods. Our findings showed that carrageenan extraction from seaweed has a similar spectrum to commercial carrageenan, achieving an excellent proportion of binding to SARS-CoV-2, with a yield of 8.3%. Viral RNA was also detected in the RT-LAMP assay. This study shows, for the first time, the binding capacity of carrageenan extracted from G. skottsbergii, which proved to be a low-cost and highly efficient method of binding to SARS-CoV-2 viral particles.</t>
  </si>
  <si>
    <t>[Zank, Patricia Daiane; Cerveira, Milena Mattes; dos Santos, Victor Barboza; Klein, Vitor Pereira; de Souza, Thobias Toniolo; Giongo, Janice Luehring; de Pereira, Claudio Martin Pereira; Vaucher, Rodrigo de Almeida] Univ Fed Pelotas, Dept Chem Pharmaceut &amp; Food Sci, Microorganism Biochem &amp; Mol Biol Res Lab LAPEBBIO, BR-96010610 Pelotas, RS, Brazil; [Bueno, Danielle Tapia; Poletti, Tais; Leitzke, Amanda Fonseca] Univ Fed Pelotas, Dept Chem Pharmaceut &amp; Food Sci, Lab Lipid &amp; Bioorgan Res, Bioforens Res Grp, BR-96010610 Pelotas, RS, Brazil; [Carreno, Neftali Lenin Villarreal] Univ Fed Pelotas, Technol Dev Ctr, Mat Sci &amp; Engn Grad Program, Novonano Lab, BR-96010610 Pelotas, RS, Brazil; [Mansilla, Andres] Univ Magallanes, Antarctic &amp; Subantarctic Macroalgae Lab, Punta Arenas 01855, Chile; [Astorga-Espana, Maria Soledad] Univ Magallanes, Dept Sci &amp; Nat Resources, Magallanes Reg &amp; Chilean Antarctic, Punta Arenas 01855, Chile</t>
  </si>
  <si>
    <t>Universidade Federal de Pelotas; Universidade Federal de Pelotas; Universidade Federal de Pelotas; Universidad de Magallanes; Universidad de Magallanes</t>
  </si>
  <si>
    <t>de Pereira, CMP; Vaucher, RD (corresponding author), Univ Fed Pelotas, Dept Chem Pharmaceut &amp; Food Sci, Microorganism Biochem &amp; Mol Biol Res Lab LAPEBBIO, BR-96010610 Pelotas, RS, Brazil.</t>
  </si>
  <si>
    <t>claudiochemistry@gmail.com; rodvaucher@hotmail.com</t>
  </si>
  <si>
    <t>Carreño, Neftali Lenin Villarreal/C-2100-2016</t>
  </si>
  <si>
    <t>Carreño, Neftali Lenin Villarreal/0000-0002-5780-817X; Toniolo de Souza, Thobias/0000-0003-1543-7320; Mansilla, Andres/0000-0003-3505-7018; VAUCHER, RODRIGO/0000-0002-8306-9243; Mattes Cerveira, Milena/0000-0003-4235-1717</t>
  </si>
  <si>
    <t>2079-6374</t>
  </si>
  <si>
    <t>Biosensors-Basel</t>
  </si>
  <si>
    <t>10.3390/bios13030378</t>
  </si>
  <si>
    <t>Chemistry, Analytical; Nanoscience &amp; Nanotechnology; Instruments &amp; Instrumentation</t>
  </si>
  <si>
    <t>Chemistry; Science &amp; Technology - Other Topics; Instruments &amp; Instrumentation</t>
  </si>
  <si>
    <t>A3MT4</t>
  </si>
  <si>
    <t>WOS:000954213900001</t>
  </si>
  <si>
    <t>Chen, SJ; Ai, ST</t>
  </si>
  <si>
    <t>Chen ShuaiJun; Ai SongTao</t>
  </si>
  <si>
    <t>Response of Antarctic tide gauge stations to global earthquake-caused tsunamis</t>
  </si>
  <si>
    <t>CHINESE JOURNAL OF GEOPHYSICS-CHINESE EDITION</t>
  </si>
  <si>
    <t>Chinese</t>
  </si>
  <si>
    <t>Antarctica; Tidal harmonic analysis; Residual water level; Earthquake-caused tsunami; Responsiveness</t>
  </si>
  <si>
    <t>The existing research on Antarctic tides mainly focuses on sea level changes, elevation conversion, and conventional harmonic analysis. The analysis of sea level anomalies at Antarctic tide gauge stations is still rare. This article focuses on the sea level anomalies in the data of Antarctic tide gauge stations, extracts global earthquake-caused tsunami events reaching Antarctica, and analyses the responding capabilities of different stations in Antarctica to global earthquake-caused tsunami events. This article first uses tide harmonic analysis to remove the trend items in the sea level data, analyses the larger sea level anomaly signals in the residual water level, and then compares different methods and selects 2. 5 times of the standard deviation to extract the global earthquake-caused tsunami events reaching Antarctica. After picking up the sea level anomaly points, this article compares the relationship between the different tide-gaugestations' responses to earthquake-caused tsunami events and their locations. It is concluded that the tide gauge stations in the Wilkes Land of East Antarctica and the Antarctic Peninsula and its nearby islands are more responsive. Eight stations including the Great Wall Station are suitable for responding and recording of global earthquake-caused tsunami events.</t>
  </si>
  <si>
    <t>[Chen ShuaiJun; Ai SongTao] Wuhan Univ, Chinese Antarctic Ctr Surveying &amp; Mapping, Wuhan 430079, Peoples R China; [Ai SongTao] Hubei Luojia Lab, Wuhan 430079, Peoples R China; [Chen ShuaiJun; Ai SongTao] Minist Nat Resources, Key Lab Polar Surveying &amp; Mapping Sci, Wuhan 430079, Peoples R China</t>
  </si>
  <si>
    <t>Wuhan University; Ministry of Natural Resources of the People's Republic of China</t>
  </si>
  <si>
    <t>Ai, ST (corresponding author), Wuhan Univ, Chinese Antarctic Ctr Surveying &amp; Mapping, Wuhan 430079, Peoples R China.;Ai, ST (corresponding author), Hubei Luojia Lab, Wuhan 430079, Peoples R China.;Ai, ST (corresponding author), Minist Nat Resources, Key Lab Polar Surveying &amp; Mapping Sci, Wuhan 430079, Peoples R China.</t>
  </si>
  <si>
    <t>csj_data@whu.edu.cn; ast@whu.edu.cn</t>
  </si>
  <si>
    <t>0001-5733</t>
  </si>
  <si>
    <t>CHINESE J GEOPHYS-CH</t>
  </si>
  <si>
    <t>Chinese J. Geophys.-Chinese Ed.</t>
  </si>
  <si>
    <t>10.6038/cjg2022P0723</t>
  </si>
  <si>
    <t>9Q5KX</t>
  </si>
  <si>
    <t>WOS:000945003800012</t>
  </si>
  <si>
    <t>Cimoli, L; Gebbie, G; Purkey, SG; Smethie, WM</t>
  </si>
  <si>
    <t>Cimoli, Laura; Gebbie, Geoffrey; Purkey, Sarah G.; Smethie, William M.</t>
  </si>
  <si>
    <t>Annually Resolved Propagation of CFCs and SF6 in the Global Ocean Over Eight Decades</t>
  </si>
  <si>
    <t>ANTARCTIC BOTTOM WATER; ATLANTIC DEEP-WATER; TOTAL GEOSTROPHIC CIRCULATION; TRANSIT-TIME DISTRIBUTIONS; WESTERN BOUNDARY CURRENT; ANTHROPOGENIC CO2; SOUTHERN-OCEAN; FLOW PATTERNS; SULFUR-HEXAFLUORIDE; VENTILATION</t>
  </si>
  <si>
    <t>Oceanic transient tracers, such as chlorofluorocarbons (CFCs) and sulfur-hexafluoride (SF6), trace the propagation of intermediate-to-abyssal water masses in the ocean interior. Their temporal and spatial sparsity, however, has limited their utility in quantifying the global ocean circulation and its decadal variability. The Time-Correction Method (TCM) presented here is a new approach to leverage the available CFCs and SF6 observations to solve for the Green's functions (GFs) describing the steady-state transport from the surface to the ocean interior. From the GFs, we reconstruct global tracer concentrations (and associated uncertainties) in the ocean interior at annual resolution (1940-2021). The spatial resolution includes 50 neutral density levels that span the water column along World Ocean Circulation Experiment/Global Ocean Ship-Based Hydrographic Investigations Program lines. The reconstructed tracer concentrations return a global view of CFCs and SF6 spreading into new regions of the interior ocean, such as the deep north-western Pacific. For example, they capture the southward spreading and equatorial recirculation of distinct North Atlantic Deep Water components, and the spreading of CFC-rich Antarctic Bottom Water out of the Southern Ocean and into the North Pacific, East Indian, and West Atlantic. The reconstructed tracer concentrations fit the data in most locations (similar to 75%), indicating that a steady-state circulation holds for the most part. Discrepancies between the reconstructed and observed concentrations offer insight into ventilation rate changes on decadal timescales. As an example, we infer decadal changes in Subantartic Mode Water (SAMW) and find an increase in SAMW ventilation from 1992 to 2014, highlighting the skill of the TCM in leveraging the sparse tracer observations. Plain Language Summary The penetration of chlorofluorocarbons (CFCs) and sulfur-hexaflouride (SF6) into the oceans represents an opportunity to estimate the ventilation rate of the global ocean more directly than other seawater properties. Properties like temperature and salinity are nearly in balance with the ocean circulation and thus are challenging for finding rates of motion, but CFCs and SF6 are transiently evolving due to a great increase in atmospheric concentrations since 1940. However, the analysis of CFCs and SF6 also poses challenges, as they are observed infrequently and they have not had time to permeate the entire global ocean. Here, we analyze over similar to 10(6) CFC and SF6 observations that have been taken over four decades, permitting the largest fraction to date of the global ocean to be analyzed using these tracers. A Time-Correction Method is developed to address the temporal sparsity of the observations and an eight-decade annually resolved picture of CFCs and SF6 evolution is produced. Roughly 75% of the observations can be explained by the large-scale, statistically steady ocean circulation acting on the anthropogenically driven time varying atmospheric concentration.</t>
  </si>
  <si>
    <t>[Cimoli, Laura; Purkey, Sarah G.] Univ Calif San Diego, Scripps Inst Oceanog, San Diego, CA 92103 USA; [Cimoli, Laura] Univ Cambridge, Dept Appl Math &amp; Theoret Phys, Cambridge, England; [Gebbie, Geoffrey] Woods Hole Oceanog Inst, Woods Hole, MA USA; [Smethie, William M.] Columbia Univ, Lamont Doherty Earth Observ, Palisades, NY USA</t>
  </si>
  <si>
    <t>University of California System; University of California San Diego; Scripps Institution of Oceanography; University of Cambridge; Woods Hole Oceanographic Institution; Columbia University</t>
  </si>
  <si>
    <t>Cimoli, L (corresponding author), Univ Calif San Diego, Scripps Inst Oceanog, San Diego, CA 92103 USA.</t>
  </si>
  <si>
    <t>laura.cimoli@damtp.cam.ac.uk</t>
  </si>
  <si>
    <t>Purkey, Sarah G/K-1983-2012</t>
  </si>
  <si>
    <t>Cimoli, Laura/0000-0002-0720-8985; Purkey, Sarah/0000-0002-1893-6224; Smethie, William/0000-0001-7580-8918</t>
  </si>
  <si>
    <t>NSF Award [OCE-1850753]; U.S. GO-SHIP NSF [1850772]; [2023545]</t>
  </si>
  <si>
    <t>NSF Award(National Science Foundation (NSF)); U.S. GO-SHIP NSF;</t>
  </si>
  <si>
    <t>We would like to thank all those who participated in the collection and curation of the thousands of CFCs and SF6 bottles sampled and analyzed through the international GO-SHIP and WOCE programs. We thank Rolf Sonnerup and an anonymous reviewer, whose useful comments improved this manuscript. This work was supported by NSF Award 1850772, NSF Award OCE-1850753, and the U.S. GO-SHIP NSF award 2023545.</t>
  </si>
  <si>
    <t>e2022JC019337</t>
  </si>
  <si>
    <t>10.1029/2022JC019337</t>
  </si>
  <si>
    <t>A2UR5</t>
  </si>
  <si>
    <t>WOS:000953740000001</t>
  </si>
  <si>
    <t>Liu, JY; Cui, ZS; Hao, T; Li, YC; Luan, X; Feng, K; Zheng, L</t>
  </si>
  <si>
    <t>Liu, Jinyan; Cui, Zhisong; Hao, Tong; Li, Yingchao; Luan, Xiao; Feng, Ke; Zheng, Li</t>
  </si>
  <si>
    <t>Characterization and Hydrocarbon Degradation Potential of Variovorax sp. Strain N23 Isolated from the Antarctic Soil</t>
  </si>
  <si>
    <t>MICROBIOLOGY RESEARCH</t>
  </si>
  <si>
    <t>polycyclic aromatic hydrocarbons; psychrophilic bacteria; genomics; chemotaxis; biodegradation</t>
  </si>
  <si>
    <t>SP NOV.; MICROBIAL GENOMES; BIODEGRADATION; SEQUENCES; GENES; BIOREMEDIATION; MICROORGANISMS; DIOXYGENASE; DATABASE; COMPLEX</t>
  </si>
  <si>
    <t>Increasing pollution has significantly threatened the Antarctic ecosystem. The contamination of hydrocarbons has drawn a considerable amount of attention owing to their toxicity, recalcitrance, and persistence. Considering the Antarctic Treaty, only indigenous species are allowed to bioremediate the contaminated environment. However, the knowledge of the ecological role, physiology, function, and genomics of endemic hydrocarbon consumers is still limited. Here, we investigated the dynamics of phenanthrene-consuming communities derived from the Antarctic soil and found that Variovorax, Rhodocyclaceae, and Hydrogenophaga were differentiated in all the phenanthrene-consuming subcultures. We isolated a pure culture of the key hydrocarbon consumer Variovorax sp. strain N23. Moreover, the result of the polyphasic approach suggested that strain N23 represents a novel species of the genus Variovorax. In addition, the genomic characteristics of this strain revealed incomplete degradation pathways for diverse hydrocarbons. Overall, this study reveals the relatively weak hydrocarbon-degrading potential of the indigenous bacteria and suggests the need for more careful protection of the Antarctic ecosystem.</t>
  </si>
  <si>
    <t>[Liu, Jinyan; Cui, Zhisong; Li, Yingchao; Feng, Ke; Zheng, Li] Minist Nat Resources China, Inst Oceanog 1, Marine Bioresource &amp; Environm Res Ctr, Key Lab Marine Eco Environm Sci &amp; Technol, Qingdao 266061, Peoples R China; [Cui, Zhisong; Zheng, Li] Qingdao Natl Lab Marine Sci &amp; Technol, Lab Marine Ecol &amp; Environm Sci, Qingdao 266071, Peoples R China; [Hao, Tong] Shandong Univ Sci &amp; Technol, Coll Safety &amp; Environm Engn, Qingdao 266590, Peoples R China; [Luan, Xiao] China Inst Water Resources &amp; Hydropower Res, State Key Lab Simulat &amp; Regulat Water Cycle River, Beijing 100048, Peoples R China</t>
  </si>
  <si>
    <t>Ministry of Natural Resources of the People's Republic of China; Laoshan Laboratory; Shandong University of Science &amp; Technology; China Institute of Water Resources &amp; Hydropower Research</t>
  </si>
  <si>
    <t>Cui, ZS (corresponding author), Minist Nat Resources China, Inst Oceanog 1, Marine Bioresource &amp; Environm Res Ctr, Key Lab Marine Eco Environm Sci &amp; Technol, Qingdao 266061, Peoples R China.;Cui, ZS (corresponding author), Qingdao Natl Lab Marine Sci &amp; Technol, Lab Marine Ecol &amp; Environm Sci, Qingdao 266071, Peoples R China.</t>
  </si>
  <si>
    <t>czs@fio.org.cn</t>
  </si>
  <si>
    <t>chang, yu/KFB-2822-2024; LIU, HUI/JPX-8014-2023; Li, jiaqi/JOZ-6395-2023; Zhang, Yuyao/KEH-7175-2024; Yang, Mei/JNS-2225-2023; Liu, Yilin/JWP-9153-2024; Li, Kun/JLL-6505-2023; Liu, yujing/JQI-7225-2023; WANG, HUI/JFA-9683-2023; Yu, Yue/JWP-9103-2024; wang, yixuan/JGM-3893-2023; Ding, Yang/JUV-4842-2023; Wang, Hao/ABB-8923-2020; yang, yue/KCK-7870-2024; yi, li/KFR-6141-2024; Wang, Xintong/JJE-1189-2023; Wang, Minghao/JMD-0670-2023; zhang, zheng/KBQ-7815-2024; Chen, Chao/JHS-6563-2023; wang, wenxin/JOZ-3291-2023; zhou, han/JUV-0193-2023; luo, yuan/JLS-6416-2023; liu, huan/JEO-4705-2023; zheng, yan/JKJ-3632-2023; liu, huan/JKI-3764-2023; WANG, Bin/JGM-2639-2023; wang, hao/JKH-5890-2023; zhang, yueqi/JXM-4287-2024; zhang, hao/JOJ-7093-2023; wang, hang/JND-8481-2023; Li, Jiawei/JOJ-9277-2023; Chen, Xin/JDN-2017-2023; yang, kun/JGM-4169-2023; Wang, Weiyi/JZC-7841-2024</t>
  </si>
  <si>
    <t>Liu, Yilin/0000-0002-7581-3933; Li, Kun/0000-0002-3638-2974; Wang, Hao/0000-0001-9109-6017;</t>
  </si>
  <si>
    <t>2036-7481</t>
  </si>
  <si>
    <t>MICROBIOL RES-ITALY</t>
  </si>
  <si>
    <t>Microbiol. Res.</t>
  </si>
  <si>
    <t>10.3390/microbiolres14010009</t>
  </si>
  <si>
    <t>A8ML4</t>
  </si>
  <si>
    <t>WOS:000957602600001</t>
  </si>
  <si>
    <t>Yang, T; Liang, Q; Zheng, L; Li, T; Chen, ZQ; Hui, FM; Cheng, X</t>
  </si>
  <si>
    <t>Yang, Tian; Liang, Qi; Zheng, Lei; Li, Teng; Chen, Zhuoqi; Hui, Fengming; Cheng, Xiao</t>
  </si>
  <si>
    <t>Mass Balance of the Antarctic Ice Sheet in the Early 21st Century</t>
  </si>
  <si>
    <t>mass balance; ice discharge; Antarctic Ice Sheet; input-output method</t>
  </si>
  <si>
    <t>AMUNDSEN SEA EMBAYMENT; EAST ANTARCTICA; SURFACE; CLIMATE; VARIABILITY; THICKNESS; DISCHARGE; DRIVERS; GLACIER; SHELVES</t>
  </si>
  <si>
    <t>Mass loss from the Antarctic Ice Sheet (AIS) is an important contributor to global sea level rise. To examine the recent ice loss, we estimated the mass budget of the AIS from 2000 to 2020 using multiple ice velocity datasets, state-of-the-art ice thickness datasets, and extended surface mass balance (SMB) records. The AIS lost mass at an average rate of -89 +/- 99 Gt/yr over the study period. The East Antarctic Ice Sheet (EAIS) showed a slightly positive mass balance, while the West Antarctic Ice Sheet (WAIS) experienced a significant acceleration in mass loss. The ice discharge from the AIS increased from 1792 +/- 47 Gt/yr in 2000 to 1940 +/- 37 Gt/yr in 2017-2020, with the increase in the discharge from the WAIS being three to four times higher than that from the EAIS. Moreover, the average mass balance for 2017-2020 was -99 +/- 93 Gt/yr, slightly more negative than the average for the early 21st Century. During this recent period, the ice discharge decreased in the East Indian Ocean sector, in contrast to its rapid increase from 2000 to 2013-2017. However, the discharge in the Amundsen Sea sector still greatly increased from 2013-2017 to 2017-2020. Overall, our results are in agreement with recent mass balance estimates for the AIS based on gravimetry and altimetry. Our assessments of the recent AIS mass balance with the mass budget method (input-output method) will contribute to the understanding of ice dynamic processes and provide insights into the stability of the AIS.</t>
  </si>
  <si>
    <t>[Yang, Tian; Liang, Qi; Zheng, Lei; Li, Teng; Chen, Zhuoqi; Hui, Fengming; Cheng, Xiao] Sun Yat sen Univ, Sch Geospatial Engn &amp; Sci, Southern Marine Sci &amp; Engn, Guangdong Lab Zhuhai, Zhuhai 519082, Peoples R China</t>
  </si>
  <si>
    <t>Liang, Q (corresponding author), Sun Yat sen Univ, Sch Geospatial Engn &amp; Sci, Southern Marine Sci &amp; Engn, Guangdong Lab Zhuhai, Zhuhai 519082, Peoples R China.</t>
  </si>
  <si>
    <t>liangq57@mail.sysu.edu.cn</t>
  </si>
  <si>
    <t>Liang, Qi/AAI-4973-2020</t>
  </si>
  <si>
    <t>Cheng, Xiao/0000-0001-6910-6565; Li, Teng/0000-0002-5620-3662; Liang, Qi/0000-0002-6766-9361</t>
  </si>
  <si>
    <t>10.3390/rs15061677</t>
  </si>
  <si>
    <t>A9KP8</t>
  </si>
  <si>
    <t>WOS:000958238300001</t>
  </si>
  <si>
    <t>Xin, MJ; Li, XC; Zhu, J; Song, CT; Zhou, Y; Wang, WZ; Hou, YR</t>
  </si>
  <si>
    <t>Xin, Meijiao; Li, Xichen; Zhu, Jiang; Song, Chentao; Zhou, Yi; Wang, Wenzhu; Hou, Yurong</t>
  </si>
  <si>
    <t>Characteristic Features of the Antarctic Surface Air Temperature with Different Reanalyses and In Situ Observations and Their Uncertainties</t>
  </si>
  <si>
    <t>Antarctic surface air temperature; reanalysis datasets; in situ observations; combined maximum covariance analysis; southern annular mode; Pacific South American pattern</t>
  </si>
  <si>
    <t>SOUTHERN ANNULAR MODE; SEA-ICE; HEMISPHERE; PENINSULA; TRENDS; OCEAN</t>
  </si>
  <si>
    <t>Antarctic surface air temperature (SAT) variability is characterized by strong seasonality and regionality, which are associated with the tropical-polar teleconnections and the radiative forcing caused by the concentration changes in ozone and other greenhouse gases. Nevertheless, the sparse in situ observations and the strong disagreement between different reanalysis datasets hinder coherent conclusions about Antarctic SAT variability. In this study, we use a newly developed statistical method, combined maximum covariance analysis (CMCA), to retrieve coherent SAT modes from six reanalysis datasets and 26 station observations. The results show that the Antarctic SAT variability may be dominated by a continental-wide warming/cooling mode, an East-West Antarctic seesaw mode, and a dipole SAT mode around West Antarctica. These SAT modes are strongly associated with three principal modes of Antarctic atmospheric circulation. Furthermore, all six reanalyses can represent these SAT modes well, compared with the observations, despite a clear deviation over the Antarctic Peninsula associated with the biases in the Foehn wind, which may not be clearly reproduced in a low-resolution reanalysis. This study provides an effective means by which to extract coherent signals from all reanalyses and observations to represent the Antarctic SAT variability, and to improve its predictability and projection.</t>
  </si>
  <si>
    <t>[Xin, Meijiao; Li, Xichen; Zhu, Jiang; Song, Chentao; Zhou, Yi; Wang, Wenzhu; Hou, Yurong] Chinese Acad Sci, Inst Atmospher Phys, Beijing 100029, Peoples R China; [Xin, Meijiao; Song, Chentao; Zhou, Yi; Wang, Wenzhu; Hou, Yurong] Univ Chinese Acad Sci, Beijing 100049, Peoples R China</t>
  </si>
  <si>
    <t>Chinese Academy of Sciences; Institute of Atmospheric Physics, CAS; Chinese Academy of Sciences; University of Chinese Academy of Sciences, CAS</t>
  </si>
  <si>
    <t>Li, Xichen/ISB-4663-2023</t>
  </si>
  <si>
    <t>National Key Research and Development Program of China [2018YFA0605703]; National Natural Science Foundation of China [42176243, 41976193, 41676190]</t>
  </si>
  <si>
    <t>This work is supported by the National Key Research and Development Program of China (2018YFA0605703) and the National Natural Science Foundation of China (No. 42176243, No. 41976193 and Grant No. 41676190).</t>
  </si>
  <si>
    <t>10.3390/atmos14030464</t>
  </si>
  <si>
    <t>A3LY8</t>
  </si>
  <si>
    <t>WOS:000954193300001</t>
  </si>
  <si>
    <t>Flowerdew, MJ; Fleming, EJ; Chew, DM; Morton, AC; Frei, D; Benedictus, A; Omma, J; Riley, TR; Badenszki, E; Whitehouse, MJ</t>
  </si>
  <si>
    <t>Flowerdew, Michael J.; Fleming, Edward J.; Chew, David M.; Morton, Andrew C.; Frei, Dirk; Benedictus, Aukje; Omma, Jenny; Riley, Teal. R.; Badenszki, Eszter; Whitehouse, Martin J.</t>
  </si>
  <si>
    <t>The Importance of Eurekan Mountains on Cenozoic Sediment Routing on the Western Barents Shelf</t>
  </si>
  <si>
    <t>source-to-sink; sediment provenance; Eocene; Paleogene; Spitsbergen fold-and-thrust belt; Central Tertiary Basin; Torsk Formation</t>
  </si>
  <si>
    <t>ARCTIC NORWEGIAN CALEDONIDES; NATURAL REFERENCE MATERIAL; TERTIARY CENTRAL BASIN; PB ISOTOPE COMPOSITION; PRINS KARLS FORLAND; OLD RED SANDSTONE; WANDEL SEA BASIN; U-PB; DETRITAL ZIRCON; SORVESTSNAGET BASIN</t>
  </si>
  <si>
    <t>The importance of topography generated by Eocene Eurekan deformation as a sediment source for sandstones deposited on the western Barents Shelf margin is evaluated through a sediment provenance study conducted on wellbore materials retrieved from Spitsbergen and from the Vestbakken Volcanic Province and the Sorvestsnaget Basin in the southwest Barents Sea. A variety of complementary techniques record a provenance change across the Paleocene-Eocene boundary in wellbore BH 10-2008, which samples Paleogene strata of the Central Tertiary Basin in Spitsbergen. Sandstones containing K-feldspar with radiogenic Pb isotopic compositions, chrome spinel in the heavy mineral assemblage, and detrital zircons and rutiles with prominent Palaeoproterozoic and Late Palaeozoic-Early Mesozoic U-Pb age populations are up-section replaced by sandstone containing albitic plagioclase feldspar, metasedimentary schist rock fragments, a heavy mineral assemblage with abundant chloritoid, metamorphic apatite with low REE contents, metapelitic rutile with Silurian U-Pb ages and zircons with predominantly Archaean and Palaeoproterozoic U-Pb age populations. Our results clearly demonstrate the well-known regional change in source area from an exposed Barents Shelf terrain east of the Central Tertiary Basin during the Paleocene to the emerging Eurekan mountains west and north of the Central Tertiary Basin during the Eocene. Eocene sandstones deposited in the marginal basins of the southwestern Barents Shelf, which were sampled in wellbores 7316/5-1 and 7216/11-1S, contain elements of both the Eurekan and the eastern Barents Shelf provenance signatures. The mixing of the two sand types and delivery to the southwest margin of the Barents Shelf is consistent with a fill and spill model for the Central Teritary Basin, with transport of Eurekan-derived sediment east then south hundreds of kilometres across the Shelf.</t>
  </si>
  <si>
    <t>[Flowerdew, Michael J.; Fleming, Edward J.; Morton, Andrew C.] CASP, Madingley Rise, Madingley Rd, Cambridge CB3 0UD, England; [Fleming, Edward J.] Mott MacDonald Grp Ltd, 22 Stn Rd, Cambridge CB1 2JD, England; [Chew, David M.] Trinity Coll Dublin, Sch Nat Sci, Dept Geol, Dublin, Ireland; [Morton, Andrew C.] Univ Aberdeen, Kings Coll, Dept Geol &amp; Geophys, Aberdeen AB24 3UE, Scotland; [Frei, Dirk] Univ Western Cape, Dept Earth Sci, P-Bag X17, ZA-7530 Bellville, South Africa; [Benedictus, Aukje; Omma, Jenny] Magdalen Ctr, Rocktype, Robert Robinson Ave, Oxford OX4 4GA, England; [Riley, Teal. R.] British Antarctic Survey, High Cross, Madingley Rd, Cambridge CB3 0ET, England; [Badenszki, Eszter] Univ Coll Dublin, UCD Sch Earth Sci, Dublin, Ireland; [Whitehouse, Martin J.] Swedish Museum Nat Hist, POB 50 007, SE-10405 Stockholm, Sweden</t>
  </si>
  <si>
    <t>University of Cambridge; The Mott MacDonald Group; Trinity College Dublin; University of Aberdeen; University of the Western Cape; UK Research &amp; Innovation (UKRI); Natural Environment Research Council (NERC); NERC British Antarctic Survey; University College Dublin; Swedish Museum of Natural History</t>
  </si>
  <si>
    <t>Flowerdew, MJ (corresponding author), CASP, Madingley Rise, Madingley Rd, Cambridge CB3 0UD, England.</t>
  </si>
  <si>
    <t>michael.flowerdew@casp.org.uk</t>
  </si>
  <si>
    <t>Whitehouse, Martin J/E-1425-2013; Chew, David M/B-7828-2008</t>
  </si>
  <si>
    <t>Chew, David M/0000-0002-6940-1035; Flowerdew, Michael/0000-0002-9710-2593; Frei, Dirk/0000-0002-3734-737X; Riley, Teal/0000-0002-3333-5021; Morton, Andrew/0000-0001-5649-4183; Omma, Jenny/0000-0003-3265-2719; Fleming, Edward/0000-0003-2581-322X</t>
  </si>
  <si>
    <t>10.3390/geosciences13030091</t>
  </si>
  <si>
    <t>A6CT8</t>
  </si>
  <si>
    <t>WOS:000955988800001</t>
  </si>
  <si>
    <t>Fang, S; Cong, BL; Zhao, LL; Liu, CL; Zhang, ZH; Liu, SH</t>
  </si>
  <si>
    <t>Fang, Shuo; Cong, Bailin; Zhao, Linlin; Liu, Chenlin; Zhang, Zhaohui; Liu, Shenghao</t>
  </si>
  <si>
    <t>Genome-Wide Analysis of Long Non-Coding RNAs Related to UV-B Radiation in the Antarctic Moss Pohlia nutans</t>
  </si>
  <si>
    <t>lncRNA; bryophytes; flavonoids; metabolome; transcriptome; UV-B</t>
  </si>
  <si>
    <t>ULTRAVIOLET-RADIATION; RESPONSES; METABOLITES; ANNOTATION; PERCEPTION; FRUIT</t>
  </si>
  <si>
    <t>Antarctic organisms are consistently suffering from multiple environmental pressures, especially the strong UV radiation caused by the loss of the ozone layer. The mosses and lichens dominate the vegetation of the Antarctic continent, which grow and propagate in these harsh environments. However, the molecular mechanisms and related regulatory networks of these Antarctic plants against UV-B radiation are largely unknown. Here, we used an integrated multi-omics approach to study the regulatory mechanism of long non-coding RNAs (lncRNAs) of an Antarctic moss (Pohlia nutans) in response to UV-B radiation. We identified a total of 5729 lncRNA sequences by transcriptome sequencing, including 1459 differentially expressed lncRNAs (DELs). Through functional annotation, we found that the target genes of DELs were significantly enriched in plant-pathogen interaction and the flavonoid synthesis pathway. In addition, a total of 451 metabolites were detected by metabonomic analysis, and 97 differentially change metabolites (DCMs) were found. Flavonoids account for 20% of the total significantly up-regulated metabolites. In addition, the comprehensive transcriptome and metabolome analyses revealed the co-expression pattern of DELs and DCMs of flavonoids. Our results provide insights into the regulatory network of lncRNA under UV-B radiation and the adaptation of Antarctic moss to the polar environments.</t>
  </si>
  <si>
    <t>[Fang, Shuo; Cong, Bailin; Zhao, Linlin; Liu, Chenlin; Zhang, Zhaohui; Liu, Shenghao] Minist Nat Resources, Inst Oceanog 1, Key Lab Marine Ecoenvironm Sci &amp; Technol, Qingdao 266061, Peoples R China; [Zhao, Linlin; Zhang, Zhaohui; Liu, Shenghao] Pilot Natl Lab Marine Sci &amp; Technol Qingdao, Lab Marine Ecol &amp; Environm Sci, Qingdao 266061, Peoples R China</t>
  </si>
  <si>
    <t>First Institute of Oceanography, Ministry of Natural Resources; Ministry of Natural Resources of the People's Republic of China; Laoshan Laboratory</t>
  </si>
  <si>
    <t>Liu, SH (corresponding author), Minist Nat Resources, Inst Oceanog 1, Key Lab Marine Ecoenvironm Sci &amp; Technol, Qingdao 266061, Peoples R China.;Liu, SH (corresponding author), Pilot Natl Lab Marine Sci &amp; Technol Qingdao, Lab Marine Ecol &amp; Environm Sci, Qingdao 266061, Peoples R China.</t>
  </si>
  <si>
    <t>shliu@fio.org.cn</t>
  </si>
  <si>
    <t>Liu, Shenghao/ISU-3076-2023</t>
  </si>
  <si>
    <t>Liu, Shenghao/0000-0002-1449-3526</t>
  </si>
  <si>
    <t>National Natural Science Foundation of China [41976225]; Natural Science Foundation of Shandong Province [ZR2022MC075]</t>
  </si>
  <si>
    <t>National Natural Science Foundation of China(National Natural Science Foundation of China (NSFC)); Natural Science Foundation of Shandong Province(Natural Science Foundation of Shandong Province)</t>
  </si>
  <si>
    <t>This research was funded by the National Natural Science Foundation of China (41976225), and the Natural Science Foundation of Shandong Province (ZR2022MC075).</t>
  </si>
  <si>
    <t>10.3390/ijms24065757</t>
  </si>
  <si>
    <t>A5NO8</t>
  </si>
  <si>
    <t>WOS:000955589300001</t>
  </si>
  <si>
    <t>Charlton-Howard, HS; Bond, AL; Rivers-Auty, J; Lavers, JL</t>
  </si>
  <si>
    <t>Charlton-Howard, Hayley S.; Bond, Alexander L.; Rivers-Auty, Jack; Lavers, Jennifer L.</t>
  </si>
  <si>
    <t>'Plasticosis': Characterising macro- and microplastic-associated fibrosis in seabird tissues</t>
  </si>
  <si>
    <t>Flesh-footed Shearwater; Histopathology; Masson?s trichrome; Plastic pollution; Scar tissue; Stomach</t>
  </si>
  <si>
    <t>POLYSTYRENE NANOPARTICLES; ENVIRONMENT; METABOLISM; MECHANISMS; PHYSIOLOGY; PARTICLES; INGESTION; TRANSPORT; BEHAVIOR</t>
  </si>
  <si>
    <t>As biota are increasingly exposed to plastic pollution, there is a need to closely examine the sub-lethal 'hidden' impacts of plastic ingestion. This emerging field of study has been limited to model species in controlled labo- ratory settings, with little data available for wild, free-living organisms. Highly impacted by plastic ingestion, Flesh-footed Shearwaters (Ardenna carneipes) are thus an apt species to examine these impacts in an environ- mentally relevant manner. A Masson's Trichrome stain was used to document any evidence of plastic-induced fibrosis, using collagen as a marker for scar tissue formation in the proventriculus (stomach) of 30 Flesh- footed Shearwater fledglings from Lord Howe Island, Australia. Plastic presence was highly associated with widespread scar tissue formation and extensive changes to, and even loss of, tissue structure within the mucosa and submucosa. Additionally, despite naturally occurring indigestible items, such as pumice, also being found in the gastrointestinal tract, this did not cause similar scarring. This highlights the unique pathological properties of plastics and raises concerns for other species impacted by plastic ingestion. Further, the extent and severity of fibrosis documented in this study gives support for a novel, plastic-induced fibrotic disease, which we define as 'Plasticosis,'.</t>
  </si>
  <si>
    <t>[Charlton-Howard, Hayley S.] Inst Marine &amp; Antarctic Studies, 20 Castray Esplanade, Battery Point, Tas 7004, Australia; [Bond, Alexander L.; Lavers, Jennifer L.] Nat Hist Museum, Bird Grp, Akeman St, Tring HP23 6AP, Herts, England; [Rivers-Auty, Jack] Univ Tasmania, Tasmanian Sch Med, 17 Liverpool St, Hobart, Tas 7000, Australia; [Lavers, Jennifer L.] Charles Sturt Univ, Gulbali Inst, Wagga Wagga, NSW 2678, Australia; [Lavers, Jennifer L.] Esperance Tjaltjraak Native Title Aboriginal Corp, 11A Shelden Rd, Esperance, WA 6450, Australia</t>
  </si>
  <si>
    <t>University of Tasmania; Natural History Museum London; University of Tasmania; Charles Sturt University</t>
  </si>
  <si>
    <t>Lavers, JL (corresponding author), Esperance Tjaltjraak Native Title Aboriginal Corp, 11A Shelden Rd, Esperance, WA 6450, Australia.</t>
  </si>
  <si>
    <t>jennifer.lavers1@nhm.ac.uk</t>
  </si>
  <si>
    <t>Lavers, Jennifer/IWM-5417-2023; Bond, Alexander L/A-3786-2010; Lavers, Jennifer/O-4831-2017</t>
  </si>
  <si>
    <t>Lavers, Jennifer/0000-0001-7596-6588</t>
  </si>
  <si>
    <t>Pure Ocean Fund; Natural History Museum; Detached Cultural Organization</t>
  </si>
  <si>
    <t>The authors acknowledge the traditional custodians of the land and waters where this paper was written, the muwinina people of nipaluna (Hobart, Australia), and celebrate the role that Indigenous people have played as the first scientists and conservationists of this land. Our thanks to the Pure Ocean Fund, the Natural History Museum, the Detached Cultural Organization, and Lynton Mortensen (Ocean Plastic Relay - Day of 30) for generously providing funding for this research. Logistical and field assistance was provided by the Australian Bird and Bat Banding Service, Lord Howe Island community, and the Two Hands Project (Paul Sharp and Silke Stuckenbrock) . Special thanks to Adrift Lab members, Megan Grant and Alix de Jersey, for their invaluable assistance with sample collection. Samples were collected under permit from the Lord Howe Island Board (permit no. 07/18) under the approval of the University of Tasmania Animal Ethics Committee (permit no. A18480) and New South Wales Office of Environment &amp; Heritage (licence no. SL100619) . Thanks to two anonymous reviewers who provided feed-back to improve earlier drafts.</t>
  </si>
  <si>
    <t>10.1016/j.jhazmat.2023.131090</t>
  </si>
  <si>
    <t>A1WD5</t>
  </si>
  <si>
    <t>WOS:000953095000001</t>
  </si>
  <si>
    <t>Marshall, TA; Sigman, DM; Beal, LM; Foreman, A; Martínez-García, A; Blain, S; Campbell, E; Fripiat, F; Granger, R; Harris, E; Haug, GH; Marconi, D; Oleynik, S; Rafter, PA; Roman, R; Sinyanya, K; Smart, SM; Fawcett, SE</t>
  </si>
  <si>
    <t>Marshall, Tanya A.; Sigman, Daniel M.; Beal, Lisa M.; Foreman, Alan; Martinez-Garcia, Alfredo; Blain, Stephane; Campbell, Ethan; Fripiat, Francois; Granger, Robyn; Harris, Eesaa; Haug, Gerald H.; Marconi, Dario; Oleynik, Sergey; Rafter, Patrick A.; Roman, Raymond; Sinyanya, Kolisa; Smart, Sandi M.; Fawcett, Sarah E.</t>
  </si>
  <si>
    <t>The Agulhas Current Transports Signals of Local and Remote Indian Ocean Nitrogen Cycling</t>
  </si>
  <si>
    <t>Agulhas Current; southwest Indian Ocean; nitrate isotope ratios; nitrate assimilation; N-2 fixation; nitrification</t>
  </si>
  <si>
    <t>OXYGEN-ISOTOPE FRACTIONATION; ANTARCTIC INTERMEDIATE WATER; PARTICULATE ORGANIC-MATTER; TROPICAL NORTH PACIFIC; ARABIAN SEA; RED-SEA; DIFFERENTIAL PHOTOINHIBITION; LATITUDINAL DISTRIBUTION; NITRATE ASSIMILATION; NUTRIENT TRANSPORT</t>
  </si>
  <si>
    <t>The greater Agulhas Current region is an important component of the climate system, yet its influence on carbon and nutrient cycling is poorly understood. Here, we use nitrate isotopes (delta N-15, delta O-18, delta(15-18) = delta N-15-delta O-18) to trace regional water mass circulation and investigate nitrogen cycling in the Agulhas Current and adjacent recirculating waters. The deep and intermediate waters record processes occurring remotely, including partial nitrate assimilation in the Southern Ocean and denitrification in the Arabian Sea. In the thermocline and surface, tropically sourced waters are biogeochemically distinct from adjacent subtropically sourced waters, confirming inhibited lateral mixing across the current core. (Sub)tropical thermocline nitrate delta N-15 is lower (4.9-5.8 parts per thousand) than the sub-thermocline source, Subantarctic Mode Water (6.9 parts per thousand); we attribute this difference to local N-2 fixation. Using a one-box model to simulate the newly fixed nitrate flux, we estimate a local N-2 fixation rate of 7-25 Tg N.a(-1), with the upper limit likely biased high. In the mixed layer, nitrate delta N-15 and delta O-18 rise in unison, indicating that phytoplankton nitrate assimilation dominates in surface waters, with nitrification restricted to deeper waters. Because nitrate assimilation and nitrification are vertically decoupled, the rate of nitrate assimilation plus N-2 fixation can be used to approximate carbon export. Thermocline and mixed-layer nitrate delta(15-18) is low, due to both N-2 fixation and coupled partial nitrate assimilation and nitrification. Similarly low-delta(15-18) nitrate in Agulhas rings indicates leakage of low-delta N-15 nitrogen into the South Atlantic, which should be recorded in the organic matter sinking to the seafloor, providing a potential tracer of past Agulhas leakage.</t>
  </si>
  <si>
    <t>[Marshall, Tanya A.; Granger, Robyn; Harris, Eesaa; Roman, Raymond; Sinyanya, Kolisa; Smart, Sandi M.; Fawcett, Sarah E.] Univ Cape Town, Dept Oceanog, Cape Town, South Africa; [Sigman, Daniel M.; Marconi, Dario; Oleynik, Sergey] Princeton Univ, Dept Geosci, Princeton, NJ USA; [Beal, Lisa M.; Haug, Gerald H.] Univ Miami, Rosenstiel Sch Marine &amp; Atmospher Sci, Miami, FL USA; [Foreman, Alan; Martinez-Garcia, Alfredo] Max Planck Inst Chem, Dept Climate Geochem, Mainz, Germany; [Blain, Stephane] Sorbonne Univ, Lab Oceanog Microbienne, Banyuls Sur Mer, France; [Campbell, Ethan] Univ Washington, Sch Oceanog, Seattle, WA USA; [Fripiat, Francois] Univ Libre Bruxelles, Dept Geosci Environm &amp; Soc, Brussels, Belgium; [Rafter, Patrick A.] Univ Calif Irvine, Dept Earth Syst Sci, Irvine, CA USA; [Smart, Sandi M.] Univ Alabama, Dept Geol Sci, Tuscaloosa, AL USA; [Fawcett, Sarah E.] Univ Cape Town, Marine &amp; Antarctic Res Ctr Innovat &amp; Sustainabil, Cape Town, Western Cape, South Africa</t>
  </si>
  <si>
    <t>University of Cape Town; Princeton University; University of Miami; Max Planck Society; Sorbonne Universite; University of Washington; University of Washington Seattle; Universite Libre de Bruxelles; University of California System; University of California Irvine; University of Alabama System; University of Alabama Tuscaloosa; University of Cape Town</t>
  </si>
  <si>
    <t>Marshall, TA (corresponding author), Univ Cape Town, Dept Oceanog, Cape Town, South Africa.</t>
  </si>
  <si>
    <t>mrstan001@myuct.ac.za</t>
  </si>
  <si>
    <t>Rafter, Patrick A/I-3301-2012; Martinez-Garcia, Alfredo/A-6244-2010; Foreman, Alan Dean/IAM-8847-2023; Fripiat, François/ABB-8918-2021; blain, stephane/F-6917-2010</t>
  </si>
  <si>
    <t>Martinez-Garcia, Alfredo/0000-0002-7206-5079; Foreman, Alan Dean/0000-0002-5082-5786; Fawcett, Sarah/0000-0002-0878-6496; Sigman, Daniel/0000-0002-7923-1973; blain, stephane/0000-0002-5234-2446; Fripiat, Francois/0000-0002-2591-6301; Campbell, Ethan/0000-0002-8588-7506; Marshall, Tanya/0000-0002-5982-5926</t>
  </si>
  <si>
    <t>South African National Research Foundation [130826, 115335, 129320, 116142, 1459543]; University of Cape Town; Royal Society and African Academy of Sciences; South African Department of Forestry, Fisheries; Environment and the Department of Science and Innovation's Biogeochemistry Research Infrastructure Platform; Max Planck Society; Werner Siemens Foundation; United States National Science Foundation [1851430]; Agulhas System Climate Array; [114673]; Division Of Ocean Sciences; Directorate For Geosciences [1851430] Funding Source: National Science Foundation</t>
  </si>
  <si>
    <t>South African National Research Foundation(National Research Foundation - South Africa); University of Cape Town; Royal Society and African Academy of Sciences; South African Department of Forestry, Fisheries; Environment and the Department of Science and Innovation's Biogeochemistry Research Infrastructure Platform; Max Planck Society(Max Planck Society); Werner Siemens Foundation; United States National Science Foundation(National Science Foundation (NSF)); Agulhas System Climate Array; ; Division Of Ocean Sciences; Directorate For Geosciences(National Science Foundation (NSF)NSF - Directorate for Geosciences (GEO))</t>
  </si>
  <si>
    <t>We thank the captain and crew of the R/V SA Agulhas II and R/V Marion Dufresne, and the ASCA16, IIOE2, and SWINGS cruise enablers and participants, particularly Isabelle Ansorge, Raquel Flynn, Tahlia Henry, Ashley Johnson, Tamaryn Morris, Keshnee Pillay, and David Walker. We are particularly grateful to Heather Forrer and Thomas Ryan-Keogh for sample collection during the SWINGS cruise. We are also grateful to Olivier Crispi, Barbara Hinnenberg, Mareike Schmitt, and Florian Rubach for help with sample analysis. This research was supported by the South African National Research Foundation (114673 and 130826 to T.M., 115335, 129320, and 116142 to S.F.), the University of Cape Town (T.M., S.F., and K.S.), and the Royal Society and African Academy of Sciences (FLAIR fellowship to S.F.). The authors also acknowledge the support of the South African Department of Forestry, Fisheries, and the Environment and the Department of Science and Innovation's Biogeochemistry Research Infrastructure Platform (BIOGRIP), as well as the Max Planck Society, the Werner Siemens Foundation (S/Y Eugen Seibold founding agreement to G.H.H.) and United States National Science Foundation (1459543; the Agulhas System Climate Array to L.M.B.; 1851430 to D.M.S.).</t>
  </si>
  <si>
    <t>e2022JC019413</t>
  </si>
  <si>
    <t>10.1029/2022JC019413</t>
  </si>
  <si>
    <t>9X3ER</t>
  </si>
  <si>
    <t>WOS:000949655400001</t>
  </si>
  <si>
    <t>Ade, PAR; Ahmed, Z; Amiri, M; Barkats, D; Thakur, RB; Bischoff, CA; Beck, D; Bock, JJ; Boenish, H; Bullock, E; Buza, V; Cheshire, JR; Clark, SE; Connors, J; Cornelison, J; Crumrine, M; Cukierman, A; Denison, EV; Dierickx, M; Duband, L; Eiben, M; Fatigoni, S; Filippini, JP; Fliescher, S; Giannakopoulos, C; Goeckner-Wald, N; Goldfinger, DC; Grayson, J; Grimes, P; Hall, G; Halal, G; Halpern, M; Hand, E; Harrison, S; Henderson, S; Hildebrandt, SR; Hubmayr, J; Hui, H; Irwin, KD; Kang, J; Karkare, KS; Karpel, E; Kefeli, S; Kernasovskiy, SA; Kovac, JM; Kuo, CL; Lau, K; Leitch, EM; Lennox, A; Megerian, KG; Minutolo, L; Moncelsi, L; Nakato, Y; Namikawa, T; Nguyen, HT; O'Brient, R; Ogburn, RW; Palladino, S; Petroff, MA; Prouve, T; Pryke, C; Racine, B; Reintsema, CD; Richter, S; Schillaci, A; Schwarz, R; Schmitt, BL; Sheehy, CD; Singari, B; Soliman, A; St Germaine, T; Steinbach, B; Sudiwala, RV; Teply, GP; Thompson, KL; Tolan, JE; Tucker, C; Turner, AD; Umiltà, C; Vergès, C; Vieregg, AG; Wandui, A; Weber, AC; Wiebe, DV; Willmert, J; Wong, CL; Wu, WLK; Yang, H; Yoon, KW; Young, E; Yu, C; Zeng, L; Zhang, C; Zhang, S</t>
  </si>
  <si>
    <t>Ade, P. A. R.; Ahmed, Z.; Amiri, M.; Barkats, D.; Thakur, R. Basu; Bischoff, C. A.; Beck, D.; Bock, J. J.; Boenish, H.; Bullock, E.; Buza, V.; Cheshire, J. R.; Clark, S. E.; Connors, J.; Cornelison, J.; Crumrine, M.; Cukierman, A.; Denison, E. V.; Dierickx, M.; Duband, L.; Eiben, M.; Fatigoni, S.; Filippini, J. P.; Fliescher, S.; Giannakopoulos, C.; Goeckner-Wald, N.; Goldfinger, D. C.; Grayson, J.; Grimes, P.; Hall, G.; Halal, G.; Halpern, M.; Hand, E.; Harrison, S.; Henderson, S.; Hildebrandt, S. R.; Hubmayr, J.; Hui, H.; Irwin, K. D.; Kang, J.; Karkare, K. S.; Karpel, E.; Kefeli, S.; Kernasovskiy, S. A.; Kovac, J. M.; Kuo, C. L.; Lau, K.; Leitch, E. M.; Lennox, A.; Megerian, K. G.; Minutolo, L.; Moncelsi, L.; Nakato, Y.; Namikawa, T.; Nguyen, H. T.; O'Brient, R.; Ogburn, R. W.; Palladino, S.; Petroff, M. A.; Prouve, T.; Pryke, C.; Racine, B.; Reintsema, C. D.; Richter, S.; Schillaci, A.; Schwarz, R.; Schmitt, B. L.; Sheehy, C. D.; Singari, B.; Soliman, A.; St Germaine, T.; Steinbach, B.; Sudiwala, R. V.; Teply, G. P.; Thompson, K. L.; Tolan, J. E.; Tucker, C.; Turner, A. D.; Umilta, C.; Verges, C.; Vieregg, A. G.; Wandui, A.; Weber, A. C.; Wiebe, D. V.; Willmert, J.; Wong, C. L.; Wu, W. L. K.; Yang, H.; Yoon, K. W.; Young, E.; Yu, C.; Zeng, L.; Zhang, C.; Zhang, S.</t>
  </si>
  <si>
    <t>BICEP Keck Collaboration</t>
  </si>
  <si>
    <t>BICEP/Keck. XVI. Characterizing Dust Polarization through Correlations with Neutral Hydrogen</t>
  </si>
  <si>
    <t>HIGH-VELOCITY CLOUDS; LINE-OF-SIGHT; H-I; INTERSTELLAR-MEDIUM; MAGELLANIC STREAM; MAGNETIC-FIELD; GRAVITY-WAVES; FULL-SKY; EMISSION; SPECTRA</t>
  </si>
  <si>
    <t>We characterize Galactic dust filaments by correlating BICEP/Keck and Planck data with polarization templates based on neutral hydrogen (H i) observations. Dust polarization is important for both our understanding of astrophysical processes in the interstellar medium (ISM) and the search for primordial gravitational waves in the cosmic microwave background (CMB). In the diffuse ISM, H i is strongly correlated with the dust and partly organized into filaments that are aligned with the local magnetic field. We analyze the deep BICEP/Keck data at 95, 150, and 220 GHz, over the low-column-density region of sky where BICEP/Keck has set the best limits on primordial gravitational waves. We separate the H i emission into distinct velocity components and detect dust polarization correlated with the local Galactic H i but not with the H i associated with Magellanic Stream i. We present a robust, multifrequency detection of polarized dust emission correlated with the filamentary H i morphology template down to 95 GHz. For assessing its utility for foreground cleaning, we report that the Hi morphology template correlates in B modes at a similar to 10%-65% level over the multipole range 20 &lt; l &lt; 200 with the BICEP/Keck maps, which contain contributions from dust, CMB, and noise components. We measure the spectral index of the filamentary dust component spectral energy distribution to be beta = 1.54 +/- 0.13. We find no evidence for decorrelation in this region between the filaments and the rest of the dust field or from the inclusion of dust associated with the intermediate velocity H i. Finally, we explore the morphological parameter space in the H i-based filamentary model.</t>
  </si>
  <si>
    <t>[Ade, P. A. R.; Sudiwala, R. V.; Tucker, C.] Cardiff Univ, Sch Phys &amp; Astron, Cardiff CF24 3AA, Wales; [Ahmed, Z.; Beck, D.; Clark, S. E.; Cukierman, A.; Henderson, S.; Irwin, K. D.; Kuo, C. L.; Ogburn, R. W.; Thompson, K. L.; Wu, W. L. K.; Yoon, K. W.; Young, E.] SLAC Natl Accelerator Lab, Kavli Inst Particle Astrophys &amp; Cosmol, 2575 Sand Hill Rd, Menlo Pk, CA 94025 USA; [Amiri, M.; Fatigoni, S.; Halpern, M.; Wiebe, D. V.] Univ British Columbia, Dept Phys &amp; Astron, Vancouver, BC V6T 1Z1, Canada; [Barkats, D.; Boenish, H.; Connors, J.; Cornelison, J.; Dierickx, M.; Eiben, M.; Goldfinger, D. C.; Grimes, P.; Harrison, S.; Karkare, K. S.; Kovac, J. M.; Petroff, M. A.; Racine, B.; Richter, S.; Schmitt, B. L.; St Germaine, T.; Verges, C.; Wong, C. L.; Zeng, L.] Harvard &amp; Smithsonian, Ctr Astrophys, Cambridge, MA 02138 USA; [Thakur, R. Basu; Bock, J. J.; Cukierman, A.; Hildebrandt, S. R.; Hui, H.; Kang, J.; Kefeli, S.; Minutolo, L.; Moncelsi, L.; O'Brient, R.; Schillaci, A.; Soliman, A.; Steinbach, B.; Teply, G. P.; Wandui, A.; Zhang, C.; Zhang, S.] CALTECH, Dept Phys, Pasadena, CA 91125 USA; [Bischoff, C. A.; Giannakopoulos, C.; Hand, E.; Palladino, S.; Umilta, C.] Univ Cincinnati, Dept Phys, Cincinnati, OH 45221 USA; [Beck, D.; Clark, S. E.; Cukierman, A.; Goeckner-Wald, N.; Grayson, J.; Halal, G.; Irwin, K. D.; Kang, J.; Karpel, E.; Kernasovskiy, S. A.; Kuo, C. L.; Nakato, Y.; Ogburn, R. W.; Thompson, K. L.; Tolan, J. E.; Yang, H.; Yoon, K. W.; Young, E.; Yu, C.] Stanford Univ, Dept Phys, Stanford, CA 94305 USA; [Bock, J. J.; Hildebrandt, S. R.; Megerian, K. G.; Nguyen, H. T.; O'Brient, R.; Turner, A. D.; Weber, A. C.] Jet Prop Lab, Pasadena, CA 91109 USA; [Bullock, E.; Cheshire, J. R.; Pryke, C.; Singari, B.] Univ Minnesota, Minnesota Inst Astrophys, Minneapolis, MN 55455 USA; [Buza, V.; Karkare, K. S.; Leitch, E. M.; Vieregg, A. G.] Univ Chicago, Kavli Inst Cosmol Phys, Chicago, IL 60637 USA; [Crumrine, M.; Fliescher, S.; Hall, G.; Lau, K.; Pryke, C.; Willmert, J.] Univ Minnesota, Sch Phys &amp; Astron, Minneapolis, MN 55455 USA; [Denison, E. V.; Hubmayr, J.; Irwin, K. D.; Reintsema, C. D.] NIST, Boulder, CO 80305 USA; [Duband, L.] Commissariat Energie Atom, Serv Basses Temp, F-38054 Grenoble, France; [Filippini, J. P.; Umilta, C.] Univ Illinois, Dept Phys, Urbana, IL 61801 USA; [Filippini, J. P.] Univ Illinois, Dept Astron, Urbana, IL 61801 USA; [Kovac, J. M.; St Germaine, T.; Wong, C. L.] Harvard Univ, Dept Phys, Cambridge, MA 02138 USA; [Namikawa, T.] Univ Tokyo, Kavli Inst Phys &amp; Math Universe WPI, UTIAS, Kashiwa, Chiba 2778583, Japan; [Racine, B.] Aix Marseille Univ, CPPM, CNRS IN2P3, F-13288 Marseille, France; [Reintsema, C. D.] Brookhaven Natl Lab, Phys Dept, Upton, NY 11973 USA; [Vieregg, A. G.] Univ Chicago, Enr Fermi Inst, Dept Phys, Chicago, IL 60637 USA</t>
  </si>
  <si>
    <t>Cardiff University; Stanford University; United States Department of Energy (DOE); SLAC National Accelerator Laboratory; University of British Columbia; Smithsonian Institution; California Institute of Technology; University System of Ohio; University of Cincinnati; Stanford University;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CEA; Communaute Universite Grenoble Alpes; Universite Grenoble Alpes (UGA); University of Illinois System; University of Illinois Urbana-Champaign; University of Illinois System; University of Illinois Urbana-Champaign; Harvard University; University of Tokyo; Centre National de la Recherche Scientifique (CNRS); CNRS - National Institute of Nuclear and Particle Physics (IN2P3); Aix-Marseille Universite; United States Department of Energy (DOE); Brookhaven National Laboratory; University of Chicago</t>
  </si>
  <si>
    <t>Goeckner-Wald, N (corresponding author), Stanford Univ, Dept Phys, Stanford, CA 94305 USA.</t>
  </si>
  <si>
    <t>georgech@stanford.edu</t>
  </si>
  <si>
    <t>Li, jiaqi/JOZ-6395-2023; sun, huan/JEO-7152-2023; li, yansong/JXL-5023-2024; zhang, xiang/JJD-7003-2023; Moncelsi, Lorenzo/AAU-1009-2020; liu, jianyang/JXL-6273-2024; yan, yan/JVN-1800-2024; yang, li/JGM-1009-2023; li, jiaxin/JNT-5073-2023; Yuan, Yu/KBQ-0606-2024; Chen, Shuo/JEO-6350-2023; xu, chen/JNE-5010-2023; Chen, Chao/JHS-6563-2023; Zhu, Li/JTT-9093-2023</t>
  </si>
  <si>
    <t>Moncelsi, Lorenzo/0000-0002-4242-3015; Dierickx, Marion/0000-0002-3519-8593; Tucker, Carole/0000-0002-1851-3918; Bischoff, Colin/0000-0001-9185-6514; Ahmed, Zeeshan/0000-0002-9957-448X; Clark, Susan/0000-0002-7633-3376; Halal, George/0000-0003-2221-3018; Lau, King/0000-0002-6445-2407; Irwin, Kent/0000-0002-2998-9743; Namikawa, Toshiya/0000-0003-3070-9240; Barkats, Denis/0000-0002-8971-1954; /0000-0002-5215-6993; Cheshire, James/0000-0002-1630-7854; Kovac, John/0009-0003-5432-7180</t>
  </si>
  <si>
    <t>National Science Foundation [AST-2106607, 0742818, 0742592, 1044978, 1110087, 1145172, 1145143, 1145248, 1639040, 1638957, 1638978, 1638970]; Keck Foundation; ESA Member States; NASA; Australian Government; Deutsche Forschungsgemeinschaft (DFG) [KE757/7-1, KE757/7-2, KE757/7-3]; Stanford Research Computing Center at Stanford University; FAS Science Division Research Computing Group at Harvard University; Directorate For Geosciences; Division Of Polar Programs [1110087] Funding Source: National Science Foundation</t>
  </si>
  <si>
    <t>National Science Foundation(National Science Foundation (NSF)); Keck Foundation(W.M. Keck Foundation); ESA Member States(European Space Agency); NASA(National Aeronautics &amp; Space Administration (NASA)); Australian Government(Australian Government); Deutsche Forschungsgemeinschaft (DFG)(German Research Foundation (DFG)); Stanford Research Computing Center at Stanford University; FAS Science Division Research Computing Group at Harvard University; Directorate For Geosciences; Division Of Polar Programs(National Science Foundation (NSF)NSF - Directorate for Geosciences (GEO))</t>
  </si>
  <si>
    <t>This work was supported by the National Science Foundation under grant No. AST-2106607.The BICEP/Keck projects have been made possible through a series of grants from the National Science Foundation including 0742818, 0742592, 1044978, 1110087, 1145172, 1145143, 1145248, 1639040, 1638957, 1638978, and 1638970, and by the Keck Foundation. We thank the staff of the U.S. Antarctic Program and in particular the South Pole Station and the heroic winter-overs without whose help this research would not have been possible. We also thank all those who have contributed past efforts to the BICEP/Keck series of experiments.This publication utilizes data from Planck, an ESA science mission funded by ESA Member States, NASA, and Canada.This work makes use of data from the H i4PI Survey, which is constructed from the Effelsberg-Bonn H i Survey (EBHIS), made with the 100 m radio telescope of the MPIfR at Effelsberg/Germany, and the Galactic All-Sky Survey (GASS), observed with the Parkes Radio Telescope, part of the Australia Telescope National Facility, which is funded by the Australian Government for operation as a National Facility managed by CSIRO. EBHIS was funded by the Deutsche Forschungsgemeinschaft (DFG) under the grants KE757/7-1 to 7-3.The computations in this paper were run on the Sherlock cluster, supported by the Stanford Research Computing Center at Stanford University, and on the Odyssey/Cannon cluster, supported by the FAS Science Division Research Computing Group at Harvard University.</t>
  </si>
  <si>
    <t>10.3847/1538-4357/acb64c</t>
  </si>
  <si>
    <t>9Z5LY</t>
  </si>
  <si>
    <t>WOS:000951183700001</t>
  </si>
  <si>
    <t>Rickard, GJ; Behrens, E; Dominguez, ABA; Pinkerton, MH</t>
  </si>
  <si>
    <t>Rickard, Graham J.; Behrens, Erik; Bahamondes Dominguez, Angela A.; Pinkerton, Matt H.</t>
  </si>
  <si>
    <t>An Assessment of the Oceanic Physical and Biogeochemical Components of CMIP5 and CMIP6 Models for the Ross Sea Region</t>
  </si>
  <si>
    <t>EARTH SYSTEM MODEL; EQUILIBRIUM CLIMATE SENSITIVITY; SOUTHERN-OCEAN; EMERGENT CONSTRAINTS; 21ST-CENTURY PROJECTIONS; DYNAMIC TOPOGRAPHY; DEEP CONVECTION; CHLOROPHYLL-A; CARBON; ECOSYSTEM</t>
  </si>
  <si>
    <t>The physical and biogeochemical performance of 16 CMIP5 and 16 CMIP6 Earth System models (ESM) are examined relative to present day (1976-2005) observational data sets for a Ross Sea Region (RSR) containing the Ross Gyre (RG) and the Ross Sea Continental Shelf. A relative ranking scheme using error metrics and published ESM properties (including climate sensitivity parameters and anomalous deep ocean convection statistics) enables identification of a best  ensemble of models for the RSR. Over the RSR the CMIP6 models are generally found to have improved physical representations compared to the CMIP5 set (based on our metrics for sea ice concentration, sea surface temperature, salinity, and height, and mixed layer depth), but the CMIP5 and CMIP6 biogeochemical representations remain similar. Examination of mean properties for the period 2081 to 2100 for RCP8.5 and SSP585 for CMIP5 and CMIP6, respectively, shows significant surface temperature increases, with significant decreases in sea surface salinity, sea ice concentration, and mixed layer depth across the RSR. Biogeochemically, there are generally small increases in surface values for chlorophyll, integrated primary production, and zooplankton carbon concentrations. The projections also have robust reductions in surface nitrate, phosphate, and silicate across the RSR. For that part of the RG circulation to the east of 180 &amp; DEG;E-which we refer to as the inner RG -significant barotropic transport increases are found by the end of century.</t>
  </si>
  <si>
    <t>[Rickard, Graham J.; Behrens, Erik; Bahamondes Dominguez, Angela A.; Pinkerton, Matt H.] Natl Inst Water &amp; Atmospher Res, Wellington, New Zealand</t>
  </si>
  <si>
    <t>National Institute of Water &amp; Atmospheric Research (NIWA) - New Zealand</t>
  </si>
  <si>
    <t>Rickard, GJ (corresponding author), Natl Inst Water &amp; Atmospher Res, Wellington, New Zealand.</t>
  </si>
  <si>
    <t>graham.rickard@niwa.co.nz</t>
  </si>
  <si>
    <t>Behrens, Erik/B-9631-2013</t>
  </si>
  <si>
    <t>rickard, graham/0000-0002-0169-4361; Bahamondes Dominguez, Angela/0000-0001-7994-9160</t>
  </si>
  <si>
    <t>NZ Ministry of Business, Innovation and Employment (MBIE) NIWA Strategic Investment Fund [MBIE C01X1710]; NZ Antarctic Science Platform [MBIE ANTA1801]; NeSI's collaborator institutions and through the MBIE Research Infrastructure programme</t>
  </si>
  <si>
    <t>NZ Ministry of Business, Innovation and Employment (MBIE) NIWA Strategic Investment Fund; NZ Antarctic Science Platform; NeSI's collaborator institutions and through the MBIE Research Infrastructure programme</t>
  </si>
  <si>
    <t>We are grateful to the editors and reviewers for their constructive and insightful critique of our manuscript. This work was supported by NZ Ministry of Business, Innovation and Employment (MBIE) NIWA Strategic Investment Fund, MBIE C01X1710 Ross-RAMP, and the NZ Antarctic Science Platform (MBIE ANTA1801). We also acknowledge the use of New Zealand eScience Infrastructure (NeSI) high performance computing facilities; New Zealand's national facilities are provided by NeSI and funded jointly by NeSI's collaborator institutions and through the MBIE Research Infrastructure programme (https://www.nesi.org.nz). Thanks also to the World Climate Research Programme's Working Group on Coupled Modelling, which is responsible for CMIP, and further thank the climate modelling groups (whose models are in Table 1 of this paper) for producing and making their model output available. WOA2009 data accessed via https://www.nodc.noaa.gov/OC5/WOA09/pr_woa09.html, and MLD via https://cerweb.ifremer.fr/deboyer/mld/Surface_Mixed_Layer_Depth.php. We are grateful to the Ocean Biology Processing Group for the SeaWiFS data (NASA Goddard Space Flight Center, Ocean Ecology Laboratory, Ocean Biology Processing Group; (2014): Sea-viewing Wide Field-of-view Sensor (SeaWiFS) Ocean Color Data, NASA OB.DAAC (https://doi.org/10.5067/ORBVIEW-2/SEAWIFS_OC.2014.0). Also thanks to Cliff Law for feedback on the draft manuscript. Open access publishing facilitated by National Institute of Water and Atmospheric Research, as part of the Wiley - National Institute of Water and Atmospheric Research agreement via the Council of Australian University Librarians.</t>
  </si>
  <si>
    <t>e2022JC018880</t>
  </si>
  <si>
    <t>10.1029/2022JC018880</t>
  </si>
  <si>
    <t>9X6JV</t>
  </si>
  <si>
    <t>WOS:000949874600001</t>
  </si>
  <si>
    <t>Coyle, SE; Hartinger, MD; Clauer, CR; Baker, JBH; Cnossen, I; Freeman, MP; Weygand, JM</t>
  </si>
  <si>
    <t>Coyle, S. E.; Hartinger, M. D.; Clauer, C. R.; Baker, J. B. H.; Cnossen, I.; Freeman, M. P.; Weygand, J. M.</t>
  </si>
  <si>
    <t>The 2021 Antarctic Total Eclipse: Ground Magnetometer and GNSS Wave Observations From the 40 Degree Magnetic Meridian</t>
  </si>
  <si>
    <t>eclipse; ULF waves; sunrise effect; conductivity</t>
  </si>
  <si>
    <t>GENERAL-CIRCULATION MODEL; TOTAL SOLAR ECLIPSE; ULF PULSATIONS; THERMOSPHERE; ATMOSPHERE; SYSTEM</t>
  </si>
  <si>
    <t>On 04 December 2021, a total solar eclipse occurred over west Antarctica. Nearly an hour beforehand, a geomagnetic substorm onset was observed in the northern hemisphere. Eclipses are suggested to influence magnetosphere-ionosphere (MI) coupling dynamics by altering the conductivity structure of the ionosphere by reducing photoionization. This sudden and dramatic change in conductivity is not only likely to alter global MI coupling, but it may also introduce a variety of localized instabilities that appear in both hemispheres. Global navigation satellite system (GNSS) based observations of the total electron content (TEC) in the southern high latitude ionosphere during the December 2021 eclipse show signs of wave activity coincident with the eclipse peak totality. Ground magnetic observations in the same region show similar activity, and our analysis suggest that these observations are due to an eclipse effect  rather than the prior substorm. We present the first multi-point interhemispheric study of a total south polar eclipse with local TEC observational context in support of this conclusion.</t>
  </si>
  <si>
    <t>[Coyle, S. E.; Clauer, C. R.; Baker, J. B. H.] Virginia Tech, Blacksburg, VA 24061 USA; [Hartinger, M. D.] Space Sci Inst, Boulder, CO USA; [Hartinger, M. D.; Weygand, J. M.] Univ Calif Los Angeles, Los Angeles, CA USA; [Clauer, C. R.] Natl Inst Aerosp, Hampton, VA USA; [Cnossen, I.; Freeman, M. P.] British Antarctic Survey, Cambridge, England</t>
  </si>
  <si>
    <t>Virginia Polytechnic Institute &amp; State University; University of California System; University of California Los Angeles; National Institute for Aerospace; UK Research &amp; Innovation (UKRI); Natural Environment Research Council (NERC); NERC British Antarctic Survey</t>
  </si>
  <si>
    <t>Coyle, SE (corresponding author), Virginia Tech, Blacksburg, VA 24061 USA.</t>
  </si>
  <si>
    <t>shanec1@vt.edu</t>
  </si>
  <si>
    <t>Cnossen, Ingrid/E-5809-2010; Freeman, Mervyn/E-5687-2019; Hartinger, Michael/H-9088-2012</t>
  </si>
  <si>
    <t>Cnossen, Ingrid/0000-0001-6469-7861; Baker, Joseph/0000-0001-6255-3039; Coyle, Shane/0000-0003-1730-2753</t>
  </si>
  <si>
    <t>Virginia Tech ECE Bradley Department; NSF [2027168, 1543364, 1744828, AGS-2027210]; Natural Environment Research Council (NERC) Independent Research Fellowship [NE/R015651/1]; NERC [NE/R015651/1] Funding Source: UKRI; Directorate For Geosciences; Office of Polar Programs (OPP) [1744828, 1543364] Funding Source: National Science Foundation; Div Atmospheric &amp; Geospace Sciences; Directorate For Geosciences [2027168] Funding Source: National Science Foundation</t>
  </si>
  <si>
    <t>Virginia Tech ECE Bradley Department; NSF(National Science Foundation (NSF)); Natural Environment Research Council (NERC) Independent Research Fellowship(UK Research &amp; Innovation (UKRI)Natural Environment Research Council (NERC)); NERC(UK Research &amp; Innovation (UKRI)Natural Environment Research Council (NERC)); Directorate For Geosciences; Office of Polar Programs (OPP)(National Science Foundation (NSF)NSF - Directorate for Geosciences (GEO)); Div Atmospheric &amp; Geospace Sciences; Directorate For Geosciences(National Science Foundation (NSF)NSF - Directorate for Geosciences (GEO))</t>
  </si>
  <si>
    <t>S.E. Coyle was supported by the Virginia Tech ECE Bradley Department as well as NSF Grants 1543364, 1744828, and 2027168. C.R. Clauer was supported by NSF Grants 1543364 and 1744828. M.D. Hartinger was supported by NSF Grant AGS-2027210. J.B. Baker was supported by NSF Grant 2027168. I. Cnossen was supported by a Natural Environment Research Council (NERC) Independent Research Fellowship (NE/R015651/1).</t>
  </si>
  <si>
    <t>10.1029/2022JA031142</t>
  </si>
  <si>
    <t>9W5MJ</t>
  </si>
  <si>
    <t>WOS:000949121000001</t>
  </si>
  <si>
    <t>Henderson, AF; Hindell, MA; Wotherspoon, S; Biuw, M; Lea, MA; Kelly, N; Lowther, AD</t>
  </si>
  <si>
    <t>Henderson, Angus Fleetwood; Hindell, Mark Andrew; Wotherspoon, Simon; Biuw, Martin; Lea, Mary-Anne; Kelly, Nat; Lowther, Andrew Damon</t>
  </si>
  <si>
    <t>Assessing the viability of estimating baleen whale abundance from tourist vessels</t>
  </si>
  <si>
    <t>Southern Ocean (Atlantic sector); distance sampling; density surface modeling (DSM); West Antarctic peninsula (WAP); CCAMLR; GAM (generalized additive model); Krill fishery; platforms of opportunity</t>
  </si>
  <si>
    <t>ANTARCTIC PENINSULA; MEGAPTERA-NOVAEANGLIAE; BALAENOPTERA-BONAERENSIS; SOUTHERN-OCEAN; FIN WHALES; ROSS SEA; KRILL; HUMPBACK; VARIABILITY; DENSITY</t>
  </si>
  <si>
    <t>Many populations of southern hemisphere baleen whales are recovering and are again becoming dominant consumers in the Southern Ocean. Key to understanding the present and future role of baleen whales in Southern Ocean ecosystems is determining their abundance on foraging grounds. Distance sampling is the standard method for estimating baleen whale abundance but requires specific logistic requirements which are rarely achieved in the remote Southern Ocean. We explore the potential use of tourist vessel-based sampling as a cost-effective solution for conducting distance sampling surveys for baleen whales in the Southern Ocean. We used a dataset of tourist vessel locations from the southwest Atlantic sector of the Southern Ocean and published knowledge from Southern Ocean sighting surveys to determine the number of tourist vessel voyages required for robust abundance estimates. Second, we simulated the abundance and distributions of four baleen whale species for the study area and sampled them with both standardized line transect surveys and non-standardized tourist vessel-based surveys, then compared modeled abundance and distributions from each survey to the original simulation. For the southwest Atlantic, we show that 12-22 tourist vessel voyages are likely required to estimate abundance for humpback and fin whales, with relative estimates for blue, sei, Antarctic minke, and southern right whales. Second, we show tourist vessel-based surveys outperformed standardized line transect surveys at reproducing simulated baleen whale abundances and distribution. These analyses suggest tourist vessel-based surveys are a viable method for estimating baleen whale abundance in remote regions. For the southwest Atlantic, the relatively cost-effective nature of tourist vessel-based survey and regularity of tourist vessel voyages could allow for annual and intra-annual estimates of abundance, a fundamental improvement on current methods, which may capture spatiotemporal trends in baleen whale movements on forging grounds. Comparative modeling of sampling methods provided insights into the behavior of general additive model-based abundance modeling, contributing to the development of detailed guidelines of best practices for these approaches. Through successful engagement with tourist company partners, this method has the potential to characterize abundance across a variety of marine species and spaces globally, and deliver high-quality scientific outcomes relevant to management organizations.</t>
  </si>
  <si>
    <t>[Henderson, Angus Fleetwood; Hindell, Mark Andrew; Lea, Mary-Anne; Lowther, Andrew Damon] Univ Tasmania, Inst Marine &amp; Antarctic Studies, Coll Sci &amp; Engn, Hobart, Tas, Australia; [Henderson, Angus Fleetwood; Lea, Mary-Anne] Univ Tasmania, Ctr Marine Socioecol, Hobart, Tas, Australia; [Wotherspoon, Simon; Kelly, Nat] Australian Antarctic Div, Hobart, Tas, Australia; [Biuw, Martin] Norwegian Inst Marine Res, Bergen, Norway; [Lowther, Andrew Damon] Norwegian Polar Res Inst, Biodivers Sect, Tromo, Norway</t>
  </si>
  <si>
    <t>University of Tasmania; University of Tasmania; Australian Antarctic Division; Institute of Marine Research - Norway; Norwegian Polar Institute</t>
  </si>
  <si>
    <t>Henderson, AF (corresponding author), Univ Tasmania, Inst Marine &amp; Antarctic Studies, Coll Sci &amp; Engn, Hobart, Tas, Australia.;Henderson, AF (corresponding author), Univ Tasmania, Ctr Marine Socioecol, Hobart, Tas, Australia.</t>
  </si>
  <si>
    <t>angus.henderson@utas.edu.au</t>
  </si>
  <si>
    <t>Lowther, Andrew/0000-0003-4294-3157; Kelly, Nat/0000-0002-9664-354X</t>
  </si>
  <si>
    <t>Australian Government; Antarctic Science Foundation; Antarctic Wildlife Research Foundation; University of Tasmania; Australian Antarctic Division; Norwegin Polar Institue; Insitute of Marine Science</t>
  </si>
  <si>
    <t>Australian Government(Australian Government); Antarctic Science Foundation; Antarctic Wildlife Research Foundation; University of Tasmania; Australian Antarctic Division; Norwegin Polar Institue; Insitute of Marine Science</t>
  </si>
  <si>
    <t>This work was funded by the Australian Government, Antarctic Science Foundation, and Antarctic Wildlife Research Foundation. In-kind support from University of Tasmania, Australian Antarctic Division, Norwegin Polar Institue, and Insitute of Marine Science.</t>
  </si>
  <si>
    <t>10.3389/fmars.2023.1048869</t>
  </si>
  <si>
    <t>9X4QB</t>
  </si>
  <si>
    <t>WOS:000949755500001</t>
  </si>
  <si>
    <t>Weerdesteijn, MFM; Naliboff, JB; Conrad, CP; Reusen, JM; Steffen, R; Heister, T; Zhang, JQ</t>
  </si>
  <si>
    <t>Weerdesteijn, Maaike F. M.; Naliboff, John B.; Conrad, Clinton P.; Reusen, Jesse M.; Steffen, Rebekka; Heister, Timo; Zhang, Jiaqi</t>
  </si>
  <si>
    <t>Modeling Viscoelastic Solid Earth Deformation Due To Ice Age and Contemporary Glacial Mass Changes in ASPECT</t>
  </si>
  <si>
    <t>solid Earth deformation; numerical modeling; glacial isostatic adjustment</t>
  </si>
  <si>
    <t>ISOSTATIC-ADJUSTMENT MODEL; RAPID BEDROCK UPLIFT; LATE HOLOCENE; LATERAL HETEROGENEITIES; ANTARCTIC PENINSULA; MANTLE VISCOSITY; SEA; GIA; GREENLAND; PERTURBATIONS</t>
  </si>
  <si>
    <t>The redistribution of past and present ice and ocean loading on Earth's surface causes solid Earth deformation and geoid changes, known as glacial isostatic adjustment. The deformation is controlled by elastic and viscous material parameters, which are inhomogeneous in the Earth. We present a new viscoelastic solid Earth deformation model in ASPECT (Advanced Solver for Problems in Earth's ConvecTion): a modern, massively parallel, open-source finite element code originally designed to simulate convection in the Earth's mantle. We show the performance of solid Earth deformation in ASPECT and compare solutions to TABOO, a semianalytical code, and Abaqus, a commercial finite element code. The maximum deformation and deformation rates using ASPECT agree within 2.6% for the average percentage difference with TABOO and Abaqus on glacial cycle (similar to 100 kyr) and contemporary ice melt (similar to 100 years) timescales. This gives confidence in the performance of our new solid Earth deformation model. We also demonstrate the computational efficiency of using adaptively refined meshes, which is a great advantage for solid Earth deformation modeling. Furthermore, we demonstrate the model performance in the presence of lateral viscosity variations in the upper mantle and report on parallel scalability of the code. This benchmarked code can now be used to investigate regional solid Earth deformation rates from ice age and contemporary ice melt. This is especially interesting for low-viscosity regions in the upper mantle beneath Antarctica and Greenland, where it is not fully understood how ice age and contemporary ice melting contribute to geodetic measurements of solid Earth deformation.</t>
  </si>
  <si>
    <t>[Weerdesteijn, Maaike F. M.; Conrad, Clinton P.] Univ Oslo, Ctr Earth Evolut &amp; Dynam, Oslo, Norway; [Naliboff, John B.] New Mexico Inst Min &amp; Technol, Dept Earth &amp; Environm Sci, Socorro, NM USA; [Reusen, Jesse M.] Delft Univ Technol, Fac Aerosp Engn, Delft, Netherlands; [Steffen, Rebekka] Lantmateriet, Gavle, Sweden; [Heister, Timo; Zhang, Jiaqi] Clemson Univ, Sch Math &amp; Stat Sci, Clemson, SC USA</t>
  </si>
  <si>
    <t>University of Oslo; New Mexico Institute of Mining Technology; Delft University of Technology; Clemson University</t>
  </si>
  <si>
    <t>Weerdesteijn, MFM (corresponding author), Univ Oslo, Ctr Earth Evolut &amp; Dynam, Oslo, Norway.</t>
  </si>
  <si>
    <t>m.f.m.weerdesteijn@geo.uio.no</t>
  </si>
  <si>
    <t>Conrad, Clinton/ABG-4901-2020; Naliboff, John/D-8160-2016; Steffen, Rebekka/A-1206-2014</t>
  </si>
  <si>
    <t>Naliboff, John/0000-0002-5697-7203; Zhang, Jiaqi/0000-0002-3556-1372; Steffen, Rebekka/0000-0003-4739-066X; Weerdesteijn, Maaike Francine Maria/0000-0003-1339-2077; Reusen, Jesse/0000-0002-1669-9771; Conrad, Clinton/0000-0003-4314-2351</t>
  </si>
  <si>
    <t>Norwegian Research Council [223272, 288449]; Norwegian Research Infrastructure Services (NRIS) [NN9283K/NS9029K]; National Science Foundation [EAR-0949446, EAR-1550901, OAC-1818253]; Rymdstyrelsen (Swedish National Space Agency) [2018-00140]; National Science Foundation (NSF) [DMS-2028346, OAC-2015848, EAR-1925575]; Computational Infrastructure in Geodynamics initiative (CIG), through the NSF [EAR-0949446, EAR-1550901]</t>
  </si>
  <si>
    <t>Norwegian Research Council(Research Council of Norway); Norwegian Research Infrastructure Services (NRIS); National Science Foundation(National Science Foundation (NSF)); Rymdstyrelsen (Swedish National Space Agency); National Science Foundation (NSF)(National Science Foundation (NSF)); Computational Infrastructure in Geodynamics initiative (CIG), through the NSF</t>
  </si>
  <si>
    <t>The authors thank two anonymous reviewers and Volker Klemann for their reviews, which helped us to improve the manuscript, Giorgio Spada for making TABOO open-source, Fiona Clerc and Daniel Douglas for their work on free surface deformation in ASPECT on which this study could build, and Bjoern Heyn for his work on making ASPECT and deal.II available on the HPC clusters in Norway. The authors also thank the Glacial Isostatic Adjustment Training School 2019 sponsored by SCAR-SERCE and NSF-POLENET. This work was supported by the Norwegian Research Council projects 223272 (Centre of Excellence) and 288449 (MAGPIE Project). Computations were made possible by the Norwegian Research Infrastructure Services (NRIS) via allocations NN9283K/NS9029K. We thank the Computational Infrastructure for Geodynamics (geodynamics.org), which is funded by the National Science Foundation under award EAR-0949446 and EAR-1550901, for supporting the development of ASPECT. R. Steffen is supported by a project grant from Rymdstyrelsen (Swedish National Space Agency; Grant 2018-00140). T. Heister and J. Zhang were partially supported by the National Science Foundation (NSF) award DMS-2028346, OAC-2015848, EAR-1925575, and by the Computational Infrastructure in Geodynamics initiative (CIG), through the NSF under award EAR-0949446 and EAR-1550901 and The University of California, Davis. This research is part of the Frontera computing project at the Texas Advanced Computing Center. Frontera is made possible by National Science Foundation award OAC-1818253.</t>
  </si>
  <si>
    <t>e2022GC010813</t>
  </si>
  <si>
    <t>10.1029/2022GC010813</t>
  </si>
  <si>
    <t>9W5BG</t>
  </si>
  <si>
    <t>gold, Green Submitted, Green Published</t>
  </si>
  <si>
    <t>WOS:000949091500001</t>
  </si>
  <si>
    <t>Cameron, SJS; Edwards, A; Lambert, RJ; Stroud, M; Mur, LAJ</t>
  </si>
  <si>
    <t>Cameron, Simon J. S.; Edwards, Arwyn; Lambert, Robert J.; Stroud, Mike; Mur, Luis A. J.</t>
  </si>
  <si>
    <t>Participants in the Trans-Antarctic Winter Traverse Expedition Showed Increased Bacterial Load and Diversity in Saliva but Maintained Individual Differences within Stool Microbiota and Across Metabolite Fingerprints</t>
  </si>
  <si>
    <t>salivary microbiota; stool microbiota; metabolomics; metabolite fingerprinting; isolation; longitudinal; microbiota dynamics; microbiota-metabolome integration</t>
  </si>
  <si>
    <t>STRESS; PROBIOTICS; SYMPTOMS; DATABASE; ILLNESS</t>
  </si>
  <si>
    <t>Understanding the impact of long-term physiological and environmental stress on the human microbiota and metabolome may be important for the success of space flight. This work is logistically difficult and has a limited number of available participants. Terrestrial analogies present important opportunities to understand changes in the microbiota and metabolome and how this may impact participant health and fitness. Here, we present work from one such analogy: the Transarctic Winter Traverse expedition, which we believe is the first assessment of the microbiota and metabolome from different bodily locations during prolonged environmental and physiological stress. Bacterial load and diversity were significantly higher during the expedition when compared with baseline levels (p &lt; 0.001) in saliva but not stool, and only a single operational taxonomic unit assigned to the Ruminococcaceae family shows significantly altered levels in stool (p &lt; 0.001). Metabolite fingerprints show the maintenance of individual differences across saliva, stool, and plasma samples when analysed using flow infusion electrospray mass spectrometry and Fourier transform infrared spectroscopy. Significant activity-associated changes in terms of both bacterial diversity and load are seen in saliva but not in stool, and participant differences in metabolite fingerprints persist across all three sample types.</t>
  </si>
  <si>
    <t>[Cameron, Simon J. S.] Queens Univ Belfast, Inst Global Food Secur, Sch Biol Sci, Chlorine Gardens, Belfast BT9 5DL, Antrim, North Ireland; [Edwards, Arwyn; Mur, Luis A. J.] Inst Biol Environm &amp; Rural Sci, Edward Llywd Bldg,Penglais Campus, Aberystwyth SY233FG, Dyfed, Wales; [Lambert, Robert J.] Royal Infirm Edinburgh NHS Trust, Dept Orthopaed, 51 Little France Crescent, Edinburgh EH16 4SA, Midlothian, Scotland; [Stroud, Mike] Univ Southampton, NIHR BRC Nutr, Med Sch, Southampton SO16 6YD, Hants, England</t>
  </si>
  <si>
    <t>Queens University Belfast; UK Research &amp; Innovation (UKRI); Biotechnology and Biological Sciences Research Council (BBSRC); Institute of Biological, Environmental, Rural &amp; Sciences (IBERS); Royal Infirmary of Edinburgh; University of Edinburgh; University of Southampton</t>
  </si>
  <si>
    <t>Cameron, SJS (corresponding author), Queens Univ Belfast, Inst Global Food Secur, Sch Biol Sci, Chlorine Gardens, Belfast BT9 5DL, Antrim, North Ireland.;Mur, LAJ (corresponding author), Inst Biol Environm &amp; Rural Sci, Edward Llywd Bldg,Penglais Campus, Aberystwyth SY233FG, Dyfed, Wales.</t>
  </si>
  <si>
    <t>s.cameron@qub.ac.uk; lum@aber.ac.uk</t>
  </si>
  <si>
    <t>Mur, Luis a. j./U-1052-2017</t>
  </si>
  <si>
    <t>Mur, Luis a. j./0000-0002-0961-9817; Cameron, Simon/0000-0001-9570-135X</t>
  </si>
  <si>
    <t>Antarctic Science Bursary from Antarctic Science Ltd; Aberystwyth University</t>
  </si>
  <si>
    <t>This work is supported by an Antarctic Science Bursary from Antarctic Science Ltd awarded to S.J.S.C. and by a grant awarded to L.A.J.M. by Aberystwyth University. The funders of this work had no input into the design or reporting of this study.</t>
  </si>
  <si>
    <t>10.3390/ijms24054850</t>
  </si>
  <si>
    <t>9U5ZU</t>
  </si>
  <si>
    <t>WOS:000947789400001</t>
  </si>
  <si>
    <t>Wang, Z; Yin, XL; Li, X; Li, Y; Li, R; Yang, Y; Mamuaja, JM; Pangalila, F; Kalangi, P; Gerung, G; Purwandana, A; Wardana, AK; Surinati, D; Ismail, MFA; Dirhamsyah, D; Arifin, Z; Yuan, DL</t>
  </si>
  <si>
    <t>Wang, Zheng; Yin, Xueli; Li, Xiang; Li, Yao; Li, Rui; Yang, Ya; Mamuaja, Jane M. M.; Pangalila, Fransisco; Kalangi, Patrice; Gerung, Grevo; Purwandana, Adi; Wardana, Adhitya Kusuma; Surinati, Dewi; Ismail, Mochamad Furqon Azis; Dirhamsyah, Dirham; Arifin, Zainal; Yuan, Dongliang</t>
  </si>
  <si>
    <t>Water Mass Variations in the Maluku Channel of the Indonesian Seas During the Winter of 2018-2019</t>
  </si>
  <si>
    <t>water mass; Maluku Channel; North Pacific Tropical Water; South Pacific Subsurface Water; North Pacific Intermediate Water; Antarctic Intermediate Water</t>
  </si>
  <si>
    <t>WESTERN BOUNDARY CURRENTS; INTERMEDIATE WATER; EQUATORIAL PACIFIC; MINDANAO</t>
  </si>
  <si>
    <t>An autonomous underwater glider was deployed in the Maluku Channel during 1 December 2018 through 21 February 2019 to measure temperature and salinity profiles of the upper similar to 1,000 m continuously. The measurements suggest intraseasonal variations of the Pacific water mass intrusions into the Maluku Channel, which has not been reported before. The North Pacific Tropical and Intermediate Waters are found to intrude episodically into the eastern Maluku Channel at the depths of 130-180 m and 250-300 m, respectively, during January through February of 2019, each lasting for a few days to a week. The Antarctic Intermediate Water was present in the middle and western Maluku Channel between 600 and 800 m with intraseasonal variability. The South Pacific Subsurface Water was only found to intrude into the eastern Maluku Channel between 250 and 300 m during the first two transections in early December of 2018. Concurrent meter data from three moorings in the Maluku and Talaud-Halmahera Channels are used to verify the water mass movement. The subsurface and intermediate water mass variations here are found to be closely related to the swing of the Mindanao Current near the Maluku Channel. These intraseasonal water mass intrusions are important aspects of water exchange between the western Pacific Ocean and the Indonesian seas. Indonesian Throughflow (ITF) carries a large amount of mass, heat and salt from the Pacific to the Indian Ocean, playing an important role in global ocean circulation and climate. The Maluku Channel is one of the main passages of the eastern Indonesian seas, the ocean circulation of which has been poorly observed in history. The water exchange between the Pacific and Indian Ocean through the eastern Indonesian seas is not clear so far. An autonomous underwater glider was used to collect salinity and temperature profiles of the upper 1,000 m in the Maluku Channel for nearly 3 months in the winter of 2018-2019. Three moorings were also deployed to measure the movement of the water masses. These measurements have shown for the first time that the North Pacific Intermediate Water, the Antarctic Intermediate Water, and the South Pacific Subsurface Water have intruded into the Maluku Channel, sometimes episodically. The presence of the Pacific water masses in the Indonesian seas has shed light on the pathway of the ITF, the importance of which is profound on global ocean circulation and climate change.</t>
  </si>
  <si>
    <t>[Wang, Zheng; Yin, Xueli; Li, Yao; Li, Rui; Yang, Ya] Chinese Acad Sci, Inst Oceanol, CAS Key Lab Ocean Circulat &amp; Waves, Qingdao, Peoples R China; [Wang, Zheng; Yin, Xueli; Li, Yao; Li, Rui; Yang, Ya; Yuan, Dongliang] Pilot Natl Lab Marine Sci &amp; Technol Qingdao, Lab Ocean Dynam &amp; Climate, Qingdao, Peoples R China; [Yin, Xueli; Yuan, Dongliang] Univ Chinese Acad Sci, Beijing, Peoples R China; [Li, Xiang] Southern Marine Sci &amp; Engn Guangdong Lab Zhuhai, Guangzhou, Peoples R China; [Mamuaja, Jane M. M.; Pangalila, Fransisco; Kalangi, Patrice; Gerung, Grevo] Sam Ratulangi Univ, Fac Fisheries &amp; Marine Sci, Manado, Indonesia; [Yuan, Dongliang] Minist Nat Resources, Inst Oceanog 1, Key Lab Marine Sci &amp; Numer Modeling, Qingdao, Peoples R China; [Yuan, Dongliang] Shandong Key Lab Marine Sci &amp; Numer Modeling, Qingdao, Peoples R China; [Purwandana, Adi; Wardana, Adhitya Kusuma; Surinati, Dewi; Ismail, Mochamad Furqon Azis; Dirhamsyah, Dirham; Arifin, Zainal] Natl Res &amp; Innovat Agcy RCO BRIN, Res Ctr Oceanog, Jakarta, Indonesia</t>
  </si>
  <si>
    <t>Chinese Academy of Sciences; Institute of Oceanology, CAS; Laoshan Laboratory; Chinese Academy of Sciences; University of Chinese Academy of Sciences, CAS; Southern Marine Science &amp; Engineering Guangdong Laboratory; Southern Marine Science &amp; Engineering Guangdong Laboratory (Zhuhai); Universitas Sam Ratulangi; First Institute of Oceanography, Ministry of Natural Resources; Ministry of Natural Resources of the People's Republic of China; National Research &amp; Innovation Agency of Indonesia (BRIN)</t>
  </si>
  <si>
    <t>Yuan, DL (corresponding author), Pilot Natl Lab Marine Sci &amp; Technol Qingdao, Lab Ocean Dynam &amp; Climate, Qingdao, Peoples R China.;Yuan, DL (corresponding author), Univ Chinese Acad Sci, Beijing, Peoples R China.;Yuan, DL (corresponding author), Minist Nat Resources, Inst Oceanog 1, Key Lab Marine Sci &amp; Numer Modeling, Qingdao, Peoples R China.;Yuan, DL (corresponding author), Shandong Key Lab Marine Sci &amp; Numer Modeling, Qingdao, Peoples R China.</t>
  </si>
  <si>
    <t>dyuan@fio.org.cn</t>
  </si>
  <si>
    <t>Ismail, Mochamad Furqon Azis/AAD-8063-2022; Dirhamsyah, Dirham/JLN-1881-2023; Pangalila, Fransisco P. T./AAA-6003-2021; Purwandana, Adi/JBJ-1768-2023</t>
  </si>
  <si>
    <t>Ismail, Mochamad Furqon Azis/0000-0002-5250-8039; Pangalila, Fransisco P. T./0000-0001-7385-4291; yin, xueli/0000-0002-2578-1240; Kalangi, Patrice N.I./0000-0003-0909-2610; Mamuaja, Jane/0000-0002-6496-7582; Wang, Zheng/0000-0003-2913-4697; Li, Rui/0000-0002-8134-1557</t>
  </si>
  <si>
    <t>NSFC [41876025]; Strategic Priority Research Program of CAS [XDB42000000]; National Key R&amp;D Program of China [2020YFA0608801, 2019YFC1509102]; Kunpeng Outstanding Scholar Project of the FIO/MNR of China</t>
  </si>
  <si>
    <t>NSFC(National Natural Science Foundation of China (NSFC)); Strategic Priority Research Program of CAS; National Key R&amp;D Program of China; Kunpeng Outstanding Scholar Project of the FIO/MNR of China</t>
  </si>
  <si>
    <t>This study is supported by NSFC (41876025), Strategic Priority Research Program of CAS (XDB42000000), National Key R &amp; D Program of China (2020YFA0608801, 2019YFC1509102). Dongliang Yuan is supported by the Kunpeng Outstanding Scholar Project of the FIO/MNR of China. We would like to thank the University of Sam Ratulangi team for sharing the glider data. Thanks to our international collaboration partner Research Center for Oceanography - National Research and Innovation Agency (RCO-BRIN). Thanks also go to the captain and crew on Baruna Jaya VIII who did a wonderful job and supported us a lot.</t>
  </si>
  <si>
    <t>e2022JC018731</t>
  </si>
  <si>
    <t>10.1029/2022JC018731</t>
  </si>
  <si>
    <t>9V7LA</t>
  </si>
  <si>
    <t>WOS:000948568900001</t>
  </si>
  <si>
    <t>Demchev, D; Sudakow, I; Khodos, A; Abramova, I; Lyakhov, D; Michels, D</t>
  </si>
  <si>
    <t>Demchev, Denis; Sudakow, Ivan; Khodos, Alexander; Abramova, Irina; Lyakhov, Dmitry; Michels, Dominik</t>
  </si>
  <si>
    <t>Recognizing the Shape and Size of Tundra Lakes in Synthetic Aperture Radar (SAR) Images Using Deep Learning Segmentation</t>
  </si>
  <si>
    <t>tundra lakes; synthetic aperture radar; Sentinel-1; U-Net; size distribution; Arctic; climate</t>
  </si>
  <si>
    <t>PERMAFROST LANDSCAPE; ARCTIC PERMAFROST; THERMOKARST LAKES; ICE; WETLAND; CLASSIFICATION; SUBSIDENCE; RADIOMETER; EMISSIONS; FEATURES</t>
  </si>
  <si>
    <t>Permafrost tundra contains more than twice as much carbon as is currently in the atmosphere, and it is warming six times as fast as the global mean. Tundra lakes dynamics is a robust indicator of global climate processes, and is still not well understood. Satellite data, particularly, from synthetic aperture radar (SAR) is a suitable tool for tundra lakes recognition and monitoring of their changes. However, manual analysis of lake boundaries can be slow and inefficient; therefore, reliable automated algorithms are required. To address this issue, we propose a two-stage approach, comprising instance deep-learning-based segmentation by U-Net, followed by semantic segmentation based on a watershed algorithm for separating touching and overlapping lakes. Implementation of this concept is essential for accurate sizes and shapes estimation of an individual lake. Here, we evaluated the performance of the proposed approach on lakes, manually extracted from tens of C-band SAR images from Sentinel-1, which were collected in the Yamal Peninsula and Alaska areas in the summer months of 2015-2022. An accuracy of 0.73, in terms of the Jaccard similarity index, was achieved. The lake's perimeter, area and fractal sizes were estimated, based on the algorithm framework output from hundreds of SAR images. It was recognized as lognormal distributed. The evaluation of the results indicated the efficiency of the proposed approach for accurate automatic estimation of tundra lake shapes and sizes, and its potential to be used for further studies on tundra lake dynamics, in the context of global climate change, aimed at revealing new factors that could cause the planet to warm or cool.</t>
  </si>
  <si>
    <t>[Demchev, Denis] Chalmers Univ Technol, Dept Space Earth &amp; Environm, S-41296 Gothenburg, Sweden; [Sudakow, Ivan] Open Univ, Sch Math &amp; Stat, Milton Keynes MK7 6AA, England; [Khodos, Alexander] Ctr Res &amp; Invent, Veliky Novgorod 173008, Russia; [Abramova, Irina] Arctic &amp; Antarctic Res Inst, St Petersburg 199397, Russia; [Lyakhov, Dmitry; Michels, Dominik] King Abdullah Univ Sci &amp; Technol, Visual Comp Ctr, Thuwal 23955, Saudi Arabia</t>
  </si>
  <si>
    <t>Chalmers University of Technology; Open University - UK; Arctic &amp; Antarctic Research Institute; King Abdullah University of Science &amp; Technology</t>
  </si>
  <si>
    <t>Sudakow, I (corresponding author), Open Univ, Sch Math &amp; Stat, Milton Keynes MK7 6AA, England.</t>
  </si>
  <si>
    <t>ivan.sudakow@open.ac.uk</t>
  </si>
  <si>
    <t>Michels, Dominik/AAZ-3067-2020; Lyakhov, Dmitry/AAH-6767-2021; /F-2218-2017; Demchev, Denis/K-5354-2016</t>
  </si>
  <si>
    <t>/0000-0003-2614-8794; Demchev, Denis/0000-0001-6907-1729; Lyakhov, Dmitry/0000-0001-8034-9568</t>
  </si>
  <si>
    <t>10.3390/rs15051298</t>
  </si>
  <si>
    <t>9U4LQ</t>
  </si>
  <si>
    <t>WOS:000947684900001</t>
  </si>
  <si>
    <t>Jawak, SD; Luis, AJ; Pandit, PH; Wankhede, SF; Convey, P; Fretwell, PT</t>
  </si>
  <si>
    <t>Jawak, Shridhar D.; Luis, Alvarinho J.; Pandit, Prashant H.; Wankhede, Sagar F.; Convey, Peter; Fretwell, Peter T.</t>
  </si>
  <si>
    <t>Exploratory Mapping of Blue Ice Regions in Antarctica Using Very High-Resolution Satellite Remote Sensing Data</t>
  </si>
  <si>
    <t>semi-automated classification; blue ice; WorldView-2; Antarctica; normalized spectral index ratio; very high-resolution remote sensing; supraglacial features; blue ice index</t>
  </si>
  <si>
    <t>EAST ANTARCTICA; LAMBERT GLACIER; BYRD GLACIER; ETM PLUS; AREAS; CLASSIFICATION; EXTRACTION; IMAGERY; EXTENT</t>
  </si>
  <si>
    <t>Mapping spatiotemporal changes in the distribution of blue ice regions (BIRs) in Antarctica requires repeated, precise, and high-resolution baseline maps of the blue ice extent. This study demonstrated the design and application of a newly-developed semi-automatic method to map BIRs in the Antarctic environment using very high-resolution (VHR) WorldView-2 (WV-2) satellite images. We discussed the potential of VHR satellite data for the mapping of BIRs in the Antarctic environment using a customized normalized-difference blue-ice index (NDBI) method devised using yellow, green, and near-infrared spectral bands of WV-2 data. We compared the viability of the newly developed customized NDBI approach against state-of-the-art target detection (TD), spectral processing (SP) and pixel-wise supervised (PSC) feature extraction (FE) approaches. Four semi-automatic FE approaches (three existing plus one newly developed) consisting of 16 standalone FE methods (12 existing + four customized) were evaluated using an extensive quantitative and comparative assessment for mapping BIRs in the vicinity of Schirmacher Oasis, on the continental Antarctic coastline. The results suggested that the customized NDBI approach gave a superior performance and the highest statistical stability when compared with existing FE techniques. The customized NDBI generally rendered the lowest level of misclassification (average RMSE = 654.48 +/- 58.26 m(2)), followed by TD (average RMSE = 987.81 +/- 55.05 m(2)), SP (average RMSE = 1327.09 +/- 127.83 m(2)) and PSC (average RMSE = 2259.43 +/- 115.36 m(2)) for mapping BIRs. Our results indicated that the use of the customized NDBI approach can greatly improve the semi-automatic mapping of BIRs in the Antarctic environment. This study presents the first refined map of distribution of BIRs around the Schirmacher Oasis. The total area of blue ice in the study area was estimated to be 106.875 km(2), approximately 61% of the study area. The WV-2 derived BIR map area presented in this study locally refined the existing BIR map derived using Landsat Enhanced Thematic Mapper Plus (ETM+) and the Moderate Resolution Imaging Spectroradiometer (MODIS)-based mosaic of Antarctica (MOA) dataset by similar to 31% (similar to 33.40 km(2)). Finally, we discussed the practical challenges and future directions in mapping BIRs across Antarctica.</t>
  </si>
  <si>
    <t>[Jawak, Shridhar D.] Svalbard Sci Ctr, SIOS Knowledge Ctr, Svalbard Integrated Arctic Earth Observing Syst SI, POB 156, N-9171 Svalbard, Norway; [Jawak, Shridhar D.; Luis, Alvarinho J.] Minist Earth Sci, Natl Ctr Polar &amp; Ocean Res NCPOR, Polar Remote Sensing Sect, Vasco Da Gama 403804, Goa, India; [Pandit, Prashant H.] Univ Twente, Fac Geoinformat Sci &amp; Earth Observat ITC, NL-7514 AE Enschede, Netherlands; [Pandit, Prashant H.] Univ Trento, Dept Informat Engn &amp; Comp Sci, I-38123 Trento, Italy; [Pandit, Prashant H.] Inst Earth Observat, Eurac Res, Viale Druso 1, I-39100 Bolzano, Italy; [Wankhede, Sagar F.] Manipal Inst Technol, Manipal Acad Higher Educ, Dept Civil Engn, Manipal 576104, Karnataka, India; [Convey, Peter; Fretwell, Peter T.] NERC, British Antarctic Survey, Madingley Rd, Cambridge CB3, England; [Convey, Peter] Univ Johannesburg, Dept Zool, POB 524, ZA-2006 Auckland Pk, South Africa</t>
  </si>
  <si>
    <t>Ministry of Earth Sciences (MoES) - India; National Centre for Polar and Ocean Research (NCPOR); University of Twente; University of Trento; European Academy of Bozen-Bolzano; Manipal Academy of Higher Education (MAHE); UK Research &amp; Innovation (UKRI); Natural Environment Research Council (NERC); NERC British Antarctic Survey; University of Johannesburg</t>
  </si>
  <si>
    <t>Jawak, SD (corresponding author), Svalbard Sci Ctr, SIOS Knowledge Ctr, Svalbard Integrated Arctic Earth Observing Syst SI, POB 156, N-9171 Svalbard, Norway.;Jawak, SD (corresponding author), Minist Earth Sci, Natl Ctr Polar &amp; Ocean Res NCPOR, Polar Remote Sensing Sect, Vasco Da Gama 403804, Goa, India.</t>
  </si>
  <si>
    <t>shridhar.jawak@sios-svalbard.org</t>
  </si>
  <si>
    <t>Jawak, Shridhar/G-9678-2012; Convey, Peter/AAV-5728-2020; Wankhede, Sagar F./IAR-6124-2023; PANDIT, PRASHANT H/ITT-8617-2023</t>
  </si>
  <si>
    <t>Jawak, Shridhar/0000-0002-0648-3109; Convey, Peter/0000-0001-8497-9903; Wankhede, Sagar F./0000-0002-7991-2920; PANDIT, PRASHANT H/0000-0002-9942-8941</t>
  </si>
  <si>
    <t>ESSO-NCPOR and field campaigns; Indian Antarctic Program under the annual Indian Scientific Expedition to Antarctica; NERC; Eurac funding through MASSIVE project</t>
  </si>
  <si>
    <t>ESSO-NCPOR and field campaigns; Indian Antarctic Program under the annual Indian Scientific Expedition to Antarctica; NERC(UK Research &amp; Innovation (UKRI)Natural Environment Research Council (NERC)); Eurac funding through MASSIVE project</t>
  </si>
  <si>
    <t>The research was conducted using in-house funding from ESSO-NCPOR and field campaigns were supported by Indian Antarctic Program under the annual Indian Scientific Expedition to Antarctica (ISEA). P.C. and P.T.F. are supported by NERC core funding to the BAS Biodiversity, Evolution and Adaptation Team and the BAS Mapping and Geographic Information Centre, respectively. P.H.P. is supported by Eurac funding through MASSIVE project (https://www.mn.uio.no/geo/english/research/projects/massive/ (accessed on 3 January 2023)).</t>
  </si>
  <si>
    <t>10.3390/rs15051287</t>
  </si>
  <si>
    <t>9V1OP</t>
  </si>
  <si>
    <t>WOS:000948169800001</t>
  </si>
  <si>
    <t>Yu, AJ; Shi, HL; Wang, YF; Yang, J; Gao, CC; Lu, Y</t>
  </si>
  <si>
    <t>Yu, Aijie; Shi, Hongling; Wang, Yifan; Yang, Jin; Gao, Chunchun; Lu, Yang</t>
  </si>
  <si>
    <t>A Bibliometric and Visualized Analysis of Remote Sensing Methods for Glacier Mass Balance Research</t>
  </si>
  <si>
    <t>remote sensing; glacier mass balance; bibliometric; visual analysis; knowledge maps</t>
  </si>
  <si>
    <t>HIGH-MOUNTAIN ASIA; DIGITAL ELEVATION MODELS; SEA-LEVEL RISE; LASER ALTIMETER DATA; ANTARCTIC ICE-SHEET; VOLUME CHANGE; GEODETIC GLACIER; ISOSTATIC-ADJUSTMENT; RECONCILED ESTIMATE; CO-REGISTRATION</t>
  </si>
  <si>
    <t>In recent decades, climate change has led to global warming, glacier melting, glacial lake outbursts, sea level rising, and more extreme weather, and has seriously affected human life. Remote sensing technology has advanced quickly, and it offers effective observation techniques for studying and monitoring glaciers. In order to clarify the stage of research development, research hotspots, research frontiers, and limitations and challenges in glacier mass balance based on remote sensing technology, we used the tools of bibliometrics and data visualization to analyze 4817 works of literature related to glacier mass balance based on remote sensing technology from 1990 to 2021 in the Web of Science database. The results showed that (1) China and the United States are the major countries in the study of glacier mass balance based on remote sensing technology. (2) The Chinese Academy of Sciences is the most productive research institution. (3) Current research hotspots focus on Climate change, Inventory, Dynamics, Model, Retreat, Glacier mass balance, Sea level, Radar, Volume change, Surface velocity, Glacier mapping, Hazard, and other keywords. (4) The current research frontiers include water storage change, artificial intelligence, High Mountain Asia (HMA), photogrammetry, debris cover, geodetic method, area change, glacier volume, classification, satellite gravimetry, grounding line retreat, risk assessment, lake outburst flood, glacier elevation change, digital elevation model, geodetic mass balance, (DEM) generation, etc. According to the results of the visual analysis of the literature, we introduced the three commonly used methods of glacier mass balance based on remote sensing observation and summarized the research status and shortcomings of different methods in glacier mass balance. We considered that the future research trend is to improve the spatial and temporal resolution of data and combine a variety of methods and data to achieve high precision and long-term monitoring of glacier mass changes and improve the consistency of results. This research summarizes the study of glacier mass balance using remote sensing, which will provide valuable information for future research across this field.</t>
  </si>
  <si>
    <t>[Yu, Aijie; Shi, Hongling; Wang, Yifan; Lu, Yang] Chinese Acad Sci, Innovat Acad Precis Measurement Sci &amp; Technol, Wuhan 430077, Peoples R China; [Yu, Aijie; Shi, Hongling; Wang, Yifan; Lu, Yang] Univ Chinese Acad Sci, Coll Earth &amp; Planetary Sci, Beijing 100049, Peoples R China; [Yang, Jin] Henan Inst Geog Informat, Zhengzhou 450003, Peoples R China; [Gao, Chunchun] Shandong Univ Sci &amp; Technol, Coll Geodesy &amp; Geomat, Qingdao 266590, Peoples R China</t>
  </si>
  <si>
    <t>Chinese Academy of Sciences; Innovation Academy for Precision Measurement Science &amp; Technology, CAS; Chinese Academy of Sciences; University of Chinese Academy of Sciences, CAS; Shandong University of Science &amp; Technology</t>
  </si>
  <si>
    <t>Shi, HL (corresponding author), Chinese Acad Sci, Innovat Acad Precis Measurement Sci &amp; Technol, Wuhan 430077, Peoples R China.;Shi, HL (corresponding author), Univ Chinese Acad Sci, Coll Earth &amp; Planetary Sci, Beijing 100049, Peoples R China.</t>
  </si>
  <si>
    <t>hlshi@apm.ac.cn</t>
  </si>
  <si>
    <t>Ding, Yang/JUV-4842-2023; Yu, ZH/KBC-6889-2024; yin, yue/JQV-9753-2023; chen, xiao/KFQ-6812-2024; wang, yingying/JSK-6741-2023; li, wl/JJC-0768-2023; li, liu/JXN-7328-2024; Liu, yujing/JQI-7225-2023; zhang, hao/JOJ-7093-2023; li, xiang/JCN-9316-2023; SHI, HL/HHC-5506-2022; liu, xinyi/KFB-4466-2024; zhang, chen/JES-0371-2023; Li, Xiaoli/JVZ-4089-2024; shuqian, liu/CAF-5267-2022; zhan, xiao/JEZ-3810-2023; Lu, Wang/JVO-0416-2024; Yu, Yue/JWP-9103-2024; chen, Chen/JKJ-2122-2023; wu, meng/JPK-1930-2023; wu, p/JDW-5015-2023; Zhou, Yue/JHS-8791-2023; zhang, yan/JGL-8022-2023; li, chunlin/KFS-0761-2024; Zhang, Shiwei/JIY-4344-2023; Yang, Jing/JFK-4046-2023; wangwangwang, yuanyaunyuan/HHN-6432-2022; Wang, Chen/JZE-6385-2024; Yang, Jie/JDM-6213-2023; yang, peng/JEZ-8452-2023; liu, xingwang/KCY-1277-2024; yuan, lin/JDW-7387-2023; Sun, Jia/JXM-0311-2024; xu, wei/JZD-2112-2024; Wei, Wei/JVM-8876-2024; xu, chen/JNE-5010-2023; zhou, yang/JED-3951-2023; chen, chen/JGD-3057-2023; yang, li/JGM-1009-2023</t>
  </si>
  <si>
    <t>SHI, HL/0000-0003-2045-7115; Yang, Jing/0009-0004-8274-9863; Yang, Jie/0000-0002-3941-0053; Wei, Wei/0000-0002-4109-3878;</t>
  </si>
  <si>
    <t>National Natural Science Foundation of China [42074094]</t>
  </si>
  <si>
    <t>This work was funded by the National Natural Science Foundation of China (grant No. 42074094).</t>
  </si>
  <si>
    <t>10.3390/rs15051425</t>
  </si>
  <si>
    <t>9U4YG</t>
  </si>
  <si>
    <t>WOS:000947717700001</t>
  </si>
  <si>
    <t>Khalid, FE; Zakaria, NN; Azmi, AA; Shaharuddin, NA; Sabri, S; Khalil, KA; Gomez-Fuentes, C; Zulkharnain, A; Lim, S; Ahmad, SA</t>
  </si>
  <si>
    <t>Khalid, Farah Eryssa; Zakaria, Nur Nadhirah; Azmi, Alyza Azzura; Shaharuddin, Noor Azmi; Sabri, Suriana; Khalil, Khalilah Abdul; Gomez-Fuentes, Claudio; Zulkharnain, Azham; Lim, Sooa; Ahmad, Siti Aqlima</t>
  </si>
  <si>
    <t>Guinea Grass (Megathyrsus maximus) Fibres as Sorbent in Diesel Bioremediation</t>
  </si>
  <si>
    <t>guinea grass; sorbent; optimisation; oil absorption; diesel pollution</t>
  </si>
  <si>
    <t>FIBROUS SORBENT; RICE HUSKS; OIL; REMOVAL; IMPACT</t>
  </si>
  <si>
    <t>In this study, the ability of a natural grass named Megathyrsus maximus (Guinea grass) as a sorbent for cleaning up diesel spills in water was investigated. Fourier transform infrared (FTIR) spectroscopy was used to identify the physicochemical properties of untreated and treated GG. Several parameters influencing the efficiency of oil absorbed by guinea grass were optimised using established One Factor at a Time (OFAT) and followed by Response Surface Methodology (RSM) approaches. The optimised parameters include heat treatment, time of heating, packing density, and diesel concentration, with only the significant factors proceeded to statistical optimisation through RSM. As a result of OFAT analysis, 18.83 mL of oil was absorbed at 110 degrees C for 15 min time of heating, with packing density of 14 g/cm(3) and oil concentration of 10% (v/v). Through RSM, the predicted model was significant, confirming that packing density and oil concentration significantly influenced the efficiency of oil absorption by GG. The software predicted an oil absorption efficiency of 16.64 mL, whereas the experimental model validated the design with 22.33 mL of oil absorbed at a constant temperature and time, respectively. The RSM technique has proven better efficiency and effectiveness in absorbing oil compared to OFAT. This research advances our understanding of the utilisation of natural sorbents as a diesel pollution remediation strategy.</t>
  </si>
  <si>
    <t>[Khalid, Farah Eryssa; Zakaria, Nur Nadhirah; Shaharuddin, Noor Azmi; Ahmad, Siti Aqlima] Univ Putra Malaysia, Fac Biotechnol &amp; Biomol Sci, Dept Biochem, Serdang 43400, Selangor, Malaysia; [Azmi, Alyza Azzura] Univ Malaysia Terengganu, Fac Sci &amp; Marine Environm, Kuala Nerus 21030, Terengganu, Malaysia; [Shaharuddin, Noor Azmi] Univ Putra Malaysia, Inst Plantat Studies, Serdang 43400, Selangor, Malaysia; [Sabri, Suriana] Univ Putra Malaysia, Fac Biotechnol &amp; Biomol Sci, Dept Microbiol, Serdang 43400, Selangor, Malaysia; [Khalil, Khalilah Abdul] Univ Teknol MARA, Fac Appl Sci, Sch Biol, Shah Alam 40450, Selangor, Malaysia; [Gomez-Fuentes, Claudio] Univ Magallanes, Dept Chem Engn, Avda Bulnes, Punta Arenas, Chile; [Gomez-Fuentes, Claudio; Ahmad, Siti Aqlima] Univ Magallanes, Ctr Res &amp; Antarctic Environm Monitoring CIMAA, Avda Bulnes, Punta Arenas, Chile; [Zulkharnain, Azham] Shibaura Inst Technol, Coll Syst Engn &amp; Sci, Dept Biosci &amp; Engn, 307 Fukasaku,Minumaku, Saitama 3378570, Japan; [Lim, Sooa] Hoseo Univ, Dept Pharmaceut Engn, Asan 31499, Chungnam, South Korea; [Ahmad, Siti Aqlima] Univ Putra Malaysia, Inst Trop Forestry &amp; Forest Prod INTROP, Lab Bioresource Management, Serdang 43400, Selangor, Malaysia</t>
  </si>
  <si>
    <t>Universiti Putra Malaysia; Universiti Malaysia Terengganu; Universiti Putra Malaysia; Universiti Putra Malaysia; Universiti Teknologi MARA; Universidad de Magallanes; Universidad de Magallanes; Shibaura Institute of Technology; Hoseo University; Universiti Putra Malaysia</t>
  </si>
  <si>
    <t>Ahmad, SA (corresponding author), Univ Putra Malaysia, Fac Biotechnol &amp; Biomol Sci, Dept Biochem, Serdang 43400, Selangor, Malaysia.;Azmi, AA (corresponding author), Univ Malaysia Terengganu, Fac Sci &amp; Marine Environm, Kuala Nerus 21030, Terengganu, Malaysia.;Ahmad, SA (corresponding author), Univ Magallanes, Ctr Res &amp; Antarctic Environm Monitoring CIMAA, Avda Bulnes, Punta Arenas, Chile.;Ahmad, SA (corresponding author), Univ Putra Malaysia, Inst Trop Forestry &amp; Forest Prod INTROP, Lab Bioresource Management, Serdang 43400, Selangor, Malaysia.</t>
  </si>
  <si>
    <t>alyza.azzura@umt.edu.my; aqlima@upm.edu.my</t>
  </si>
  <si>
    <t>Gomez-Fuentes, Claudio/0000-0001-9060-7727; Zulkharnain, Azham/0000-0001-9173-8171; Sabri, Suriana/0000-0003-4027-5730; Ahmad Saiful Khalid, Farah Eryssa Binti/0000-0002-5370-201X; Ahmad, Siti Aqlima/0000-0002-7625-3704</t>
  </si>
  <si>
    <t>YPASM Smart Partnership Initiative [6300247]; Sultan Mizan Antarctic Research Foundation (YPASM); Universiti Putra Malaysia (UPM); Universiti Malaysia Terengganu (UMT)</t>
  </si>
  <si>
    <t>YPASM Smart Partnership Initiative; Sultan Mizan Antarctic Research Foundation (YPASM); Universiti Putra Malaysia (UPM); Universiti Malaysia Terengganu (UMT)</t>
  </si>
  <si>
    <t>This project was financially supported by the YPASM Smart Partnership Initiative (6300247), disbursed by the Sultan Mizan Antarctic Research Foundation (YPASM). APC has been funded by Universiti Putra Malaysia (UPM) and Universiti Malaysia Terengganu (UMT). The authors also thank the Majlis Amanah Rakyat (MARA) for granting a personal scholarship to F.E. Khalid.</t>
  </si>
  <si>
    <t>10.3390/su15053904</t>
  </si>
  <si>
    <t>9V3FI</t>
  </si>
  <si>
    <t>WOS:000948282000001</t>
  </si>
  <si>
    <t>Oda, H; Katanoda, W; Usui, A; Murayama, M; Yamamoto, Y</t>
  </si>
  <si>
    <t>Oda, Hirokuni; Katanoda, Wataru; Usui, Akira; Murayama, Masafumi; Yamamoto, Yuhji</t>
  </si>
  <si>
    <t>Rotation of a Ferromanganese Nodule in the Penrhyn Basin, South Pacific, Tracked by the Earth's Magnetic Field</t>
  </si>
  <si>
    <t>ferromanganese nodule; magnetite; maghemite; secondary magnetization; paleomagnetic direction; vernadite</t>
  </si>
  <si>
    <t>SCALE MAGNETOSTRATIGRAPHY; MANGANESE DEPOSITS; HALF-LIFE; OCEAN; COERCIVITY; BE-10; ROCK; ARC</t>
  </si>
  <si>
    <t>Ferromanganese nodules are cm-sized, authigenic, abyssal manganese-iron-hydroxide concretions. They grow very slowly at rates of a few mm per million years. Although their ages are older than millions of years, they are often found half buried on the modern sediment surface. The mechanisms for the nodules' persistence at the surface without complete burial could be linked to their occasional motion or agitation. Here, we report evidence for the rotation of a nodule from the Penrhyn Basin, South Pacific detected by paleomagnetism. The paleomagnetic inclinations of specimens from the nodules' surface are consistent with the recent geomagnetic fields. The paleomagnetic directions from the surface to the core show successive changes and form a great circle with a pole at (azimuth = 53.9 degrees, dip = 32.1 degrees). This suggests that the nodule rotated along its pole while successively recording magnetizations. As the nodule was found on a gentle slope at the foot of an abyssal hill, it may have moved downslope due to bottom current underwashing. Rock magnetic analyses of the nodule suggest the presence of magnetite in single domain and vortex states. Low temperature magnetometry revealed that magnetite grains were heavily oxidized to maghemite, especially close to the core of the nodule. The rotation may have exposed the rising part of the nodule to oxidative pore water. Oxygenated Antarctic Bottom Water might have caused remagnetization due to low temperature oxidation of magnetite. The rotation would also facilitate the omnidirectional growth of the nodules' mixed layer of diagenetic buserite and hydrogenetic vernadite.</t>
  </si>
  <si>
    <t>[Oda, Hirokuni; Katanoda, Wataru] AIST, Gel Survey Japan, Tsukuba, Japan; [Katanoda, Wataru; Murayama, Masafumi] Kochi Univ, Grad Sch Integrated Arts &amp; Sci, Kochi, Japan; [Usui, Akira; Murayama, Masafumi; Yamamoto, Yuhji] Kochi Univ, Ctr Adv Marine Core Res, Kochi, Japan</t>
  </si>
  <si>
    <t>National Institute of Advanced Industrial Science &amp; Technology (AIST); Kochi University; Kochi University</t>
  </si>
  <si>
    <t>Oda, H (corresponding author), AIST, Gel Survey Japan, Tsukuba, Japan.</t>
  </si>
  <si>
    <t>hirokuni-oda@aist.go.jp</t>
  </si>
  <si>
    <t>Oda, Hirokuni/L-8005-2018</t>
  </si>
  <si>
    <t>Oda, Hirokuni/0000-0001-7142-9208</t>
  </si>
  <si>
    <t>JSPS KAKENHI; [20KK0082/21H04523]; Grants-in-Aid for Scientific Research [20KK0082] Funding Source: KAKEN</t>
  </si>
  <si>
    <t>JSPS KAKENHI(Ministry of Education, Culture, Sports, Science and Technology, Japan (MEXT)Japan Society for the Promotion of ScienceGrants-in-Aid for Scientific Research (KAKENHI)); ; Grants-in-Aid for Scientific Research(Ministry of Education, Culture, Sports, Science and Technology, Japan (MEXT)Japan Society for the Promotion of ScienceGrants-in-Aid for Scientific Research (KAKENHI))</t>
  </si>
  <si>
    <t>The authors thank Y. Yamauchi, E. Miyamura, A. Katayama, Y. Harigane, and B. Dordill for the measurements. The authors express sincere thanks to two reviewers, Brendan Cyth and Tilo von Dobeneck, and an editor, Joshua Feinberg. Kochi Core Center Grant 21A034/21B032 supported MPMS measurements. HO was supported by JSPS KAKENHI Grant 20KK0082/21H04523.</t>
  </si>
  <si>
    <t>e2022GC010789</t>
  </si>
  <si>
    <t>10.1029/2022GC010789</t>
  </si>
  <si>
    <t>9W5BH</t>
  </si>
  <si>
    <t>WOS:000949091600001</t>
  </si>
  <si>
    <t>Savchyn, I; Brusak, I; Tretyak, K</t>
  </si>
  <si>
    <t>Savchyn, Ihor; Brusak, Ivan; Tretyak, Korneliy</t>
  </si>
  <si>
    <t>Analysis of recent Antarctic plate kinematics based on GNSS data</t>
  </si>
  <si>
    <t>GEODESY AND GEODYNAMICS</t>
  </si>
  <si>
    <t>Continuous GNSS station; Horizontal velocity; Strain rates; Rotation pole; The Antarctic plate</t>
  </si>
  <si>
    <t>CRUSTAL DEFORMATION; EAST ANTARCTICA; VELOCITIES; PENINSULA; MODEL; EARTH</t>
  </si>
  <si>
    <t>The research aims to study recent Antarctic plate kinematics based on Global Navigation Satellite System (GNSS) data. The research covers 60 continuous GNSS stations located on the Antarctic plate during 1994 -2021. We determine the components of horizontal displacement vectors of these GNSS stations and construct the schematic map of their distribution. The results indicate that the direction of velocity vectors of horizontal displacements has a rotational nature in clockwise order. The analysis of deformation processes shows that a gradual decrease in the horizontal strain rates, maximum shear strain and area strain is taking place from west to east, in the direction of West Antarctica - the Transantarctic Mountains - East Antarctica. The absolute rotation pole of the Antarctic plate in the ITRF2014/IGS14 reference frame has been determined, and the obtained values are in good agreement with recent plate models.(c) 2022 Editorial office of Geodesy and Geodynamics. Publishing services by Elsevier B.V. on behalf of KeAi Communications Co. Ltd. This is an open access article under the CC BY-NC-ND license (http:// creativecommons.org/licenses/by-nc-nd/4.0/).</t>
  </si>
  <si>
    <t>[Savchyn, Ihor; Brusak, Ivan; Tretyak, Korneliy] Lviv Polytech Natl Univ, Inst Geodesy, Lvov, Ukraine</t>
  </si>
  <si>
    <t>Ministry of Education &amp; Science of Ukraine; Lviv Polytechnic National University</t>
  </si>
  <si>
    <t>Savchyn, I (corresponding author), Lviv Polytech Natl Univ, Inst Geodesy, Lvov, Ukraine.</t>
  </si>
  <si>
    <t>ih.savchyn@gmail.com</t>
  </si>
  <si>
    <t>Tretyak, Kornyliy R/B-8678-2018; Savchyn, Ihor/AAH-2774-2019; Brusak, Ivan/ABG-9109-2020</t>
  </si>
  <si>
    <t>Savchyn, Ihor/0000-0002-5859-1515; Brusak, Ivan/0000-0001-5434-4931; Tretyak, Kornyliy/0000-0001-5231-3517</t>
  </si>
  <si>
    <t>State Institution National Antarctic Scientific Center of the Ministry of Education and Science of Ukraine of Ukrainian [H/18-2020, H/22-2021]</t>
  </si>
  <si>
    <t>State Institution National Antarctic Scientific Center of the Ministry of Education and Science of Ukraine of Ukrainian</t>
  </si>
  <si>
    <t>This research was carried out with the financial support of the State Institution National Antarctic Scientific Center of the Ministry of Education and Science of Ukraine of Ukrainian part of the Sci- entific and Research Programs No. H/18-2020 and H/22-2021. The authors are grateful to the reviewers for their constructive and valuable comments that significantly improved the manuscript.</t>
  </si>
  <si>
    <t>KEAI PUBLISHING LTD</t>
  </si>
  <si>
    <t>16 DONGHUANGCHENGGEN NORTH ST, Building 5, Room 411, BEIJING, DONGCHENG DISTRICT 100009, PEOPLES R CHINA</t>
  </si>
  <si>
    <t>1674-9847</t>
  </si>
  <si>
    <t>J GEOD GEODYN</t>
  </si>
  <si>
    <t>J. Geod. Geodyn.</t>
  </si>
  <si>
    <t>10.1016/j.geog.2022.08.004</t>
  </si>
  <si>
    <t>9S9WR</t>
  </si>
  <si>
    <t>WOS:000946687100001</t>
  </si>
  <si>
    <t>Kvingedal, R; Vigen, J; Nanton, D; Ruohonen, K; Kaur, K</t>
  </si>
  <si>
    <t>Kvingedal, Renate; Vigen, Jannicke; Nanton, Dominic; Ruohonen, Kari; Kaur, Kiranpreet</t>
  </si>
  <si>
    <t>Effects of Different Phospholipid Sources on Growth and Gill Health in Atlantic Salmon in Freshwater Pre-Transfer Phase</t>
  </si>
  <si>
    <t>krill; phospholipid; salmon; smolt; feed; gills</t>
  </si>
  <si>
    <t>EUPHAUSIA-SUPERBA; ANTARCTIC KRILL; SALAR L.; PERFORMANCE; METABOLISM; MEAL; FISH</t>
  </si>
  <si>
    <t>Simple Summary Optimal nutrition is important for Norwegian-farmed Atlantic salmon in the challenging early seawater phase, which shows a higher mortality leading to significant economic losses. Phospholipids are reported to enhance growth, survival, and health in the early stages of the fish life. Atlantic salmon (74 to 158 g) were fed six test diets to evaluate alternative phospholipid (PL) sources in freshwater and were transferred to a common seawater tank with crowding stress after being fed the same commercial diet up to 787 g. Krill meal (KM) was evaluated using dose response with the highest 12% KM diet compared against 2.7% fluid soy lecithin and 4.2% marine PL (from fishmeal) diets, which were formulated to provide the same level of added 1.3% PL in the diet similar to base diets with 10% fishmeal in the freshwater period. A trend showing increased weight gain with high variability was associated with an increased KM dose in the freshwater period but not during the whole trial, whereas the 2.7% soy lecithin diet tended to decrease growth during the whole trial. No major differences were observed in liver histology between the salmon that were fed different PL sources during transfer. However, a minor positive trend in gill health based on two gill histology parameters was associated with the 12% KM and control diets versus the soy lecithin and marine PL diets during transfer. Growth and histological parameters were evaluated in Atlantic salmon (74 g) that were fed alternative phospholipid (PL) sources in freshwater (FW) up to 158 g and were transferred to a common seawater (SW) tank with crowding stress after being fed the same commercial diet up to 787 g. There were six test diets in the FW phase: three diets with different doses of krill meal (4%, 8%, and 12%), a diet with soy lecithin, a diet with marine PL (from fishmeal), and a control diet. The fish were fed a common commercial feed in the SW phase. The 12% KM diet was compared against the 2.7% fluid soy lecithin and 4.2% marine PL diets, which were formulated to provide the same level of added 1.3% PL in the diet similar to base diets with 10% fishmeal in the FW period. A trend for increased weight gain with high variability was associated with an increased KM dose in the FW period but not during the whole trial, whereas the 2.7% soy lecithin diet tended to decrease growth during the whole trial. A trend for decreased hepatosomatic index (HSI) was associated with an increased KM dose during transfer but not during the whole trial. The soy lecithin and marine PL diets showed similar HSI in relation to the control diet during the whole trial. No major differences were observed in liver histology between the control, 12% KM, soy lecithin, and marine PL diets during transfer. However, a minor positive trend in gill health (lamella inflammation and hyperplasia histology scores) was associated with the 12% KM and control diets versus the soy lecithin and marine PL diets during transfer.</t>
  </si>
  <si>
    <t>[Kvingedal, Renate; Vigen, Jannicke; Nanton, Dominic; Ruohonen, Kari] Cargill Aqua Nutr, N-4335 Dirdal, Norway; [Kaur, Kiranpreet] Aker BioMarine Antarctic ASA, N-1366 Lysaker, Norway</t>
  </si>
  <si>
    <t>Kaur, K (corresponding author), Aker BioMarine Antarctic ASA, N-1366 Lysaker, Norway.</t>
  </si>
  <si>
    <t>kiranpreet.kaur@akerbiomarine.com</t>
  </si>
  <si>
    <t>10.3390/ani13050835</t>
  </si>
  <si>
    <t>9U3MG</t>
  </si>
  <si>
    <t>WOS:000947618900001</t>
  </si>
  <si>
    <t>Elvidge, AD; Renfrew, IA; Edwards, JM; Brooks, IM; Srivastava, P; Weiss, AI</t>
  </si>
  <si>
    <t>Elvidge, A. D.; Renfrew, I. A.; Edwards, J. M.; Brooks, I. M.; Srivastava, P.; Weiss, A. I.</t>
  </si>
  <si>
    <t>Improved Simulation of the Polar Atmospheric Boundary Layer by Accounting for Aerodynamic Roughness in the Parameterization of Surface Scalar Exchange Over Sea Ice</t>
  </si>
  <si>
    <t>JOURNAL OF ADVANCES IN MODELING EARTH SYSTEMS</t>
  </si>
  <si>
    <t>surface exchange parameterization; turbulent fluxes; sea ice; air-sea-ice interaction; atmospheric boundary layer; polar climate</t>
  </si>
  <si>
    <t>DRAG COEFFICIENTS; CLIMATE MODEL; FORM DRAG; MOMENTUM; SENSITIVITY; IMPACT; ZONE; RECOMMENDATIONS; TOPOGRAPHY; STRESS</t>
  </si>
  <si>
    <t>A new, simple parameterization scheme for scalar (heat and moisture) exchange over sea ice and the marginal ice zone is tested in a numerical weather and climate prediction model. This new Blended A87  scheme accounts for the influence of aerodynamic roughness on the relationship between momentum and scalar exchange over consolidated sea ice, in line with long-standing theory and recent field observations, and in contrast to the crude schemes currently operational in most models. Using aircraft observations and Met Office Unified Model simulations of cold-air outbreak (CAO) conditions over aerodynamically rough sea ice, we demonstrate striking improvements in model performance when the Blended A87 scheme replaces the model's operational treatment for surface scalar exchange, provided that the aerodynamic roughness over consolidated ice is appropriately prescribed. The mean biases in surface sensible heat flux, surface latent heat flux, near-surface air temperature, and surface temperature reduce from 25 to 11 W m(-2), 22 to 12 W m(-2), 0.8 to 0.0 K, and 1.4 to 0.8 K, respectively. We demonstrate that such impacts on surface exchange over sea ice can have a marked impact on the evolution of the atmospheric boundary layer across hundreds of kilometres downwind of the sea ice during CAO conditions in the model. Our results highlight the importance of spatiotemporal variability in the topography of consolidated sea ice for both momentum and scalar exchange over sea ice; accounting for which remains a key challenge for modeling polar weather and climate.</t>
  </si>
  <si>
    <t>[Elvidge, A. D.; Renfrew, I. A.] Univ East Anglia, Sch Environm Sci, Norwich, England; [Edwards, J. M.] Met Off, Exeter, England; [Brooks, I. M.; Srivastava, P.] Univ Leeds, Sch Earth &amp; Environm, Leeds, England; [Srivastava, P.] Indian Inst Technol Roorkee, Ctr Excellence Disaster Mitigat &amp; Management, Roorkee, India; [Weiss, A. I.] British Antarctic Survey, Cambridge, England</t>
  </si>
  <si>
    <t>University of East Anglia; Met Office - UK; University of Leeds; Indian Institute of Technology System (IIT System); Indian Institute of Technology (IIT) - Roorkee; UK Research &amp; Innovation (UKRI); Natural Environment Research Council (NERC); NERC British Antarctic Survey</t>
  </si>
  <si>
    <t>Elvidge, AD (corresponding author), Univ East Anglia, Sch Environm Sci, Norwich, England.</t>
  </si>
  <si>
    <t>a.elvidge@uea.ac.uk</t>
  </si>
  <si>
    <t>Renfrew, Ian A/E-4057-2010</t>
  </si>
  <si>
    <t>Renfrew, Ian/0000-0001-9379-8215; Elvidge, Andrew/0000-0002-7099-902X</t>
  </si>
  <si>
    <t>UK's Natural Environment Research Council (NERC) [NE/S000453/1, NE/S000690/1]; NERC [NE/I028297/1, NE/N009754/1]; NERC [NE/S000690/1] Funding Source: UKRI</t>
  </si>
  <si>
    <t>UK's Natural Environment Research Council (NERC)(UK Research &amp; Innovation (UKRI)Natural Environment Research Council (NERC)); NERC(UK Research &amp; Innovation (UKRI)Natural Environment Research Council (NERC)); NERC(UK Research &amp; Innovation (UKRI)Natural Environment Research Council (NERC))</t>
  </si>
  <si>
    <t>This paper was made possible by funding provided by the UK's Natural Environment Research Council (NERC) under the project grant CANDIFLOS (NE/S000453/1 and NE/S000690/1). The ACCACIA and IGP field campaigns were funded by the NERC grants NE/I028297/1 and NE/N009754/1, respectively. We would like to thank all campaign participants who contributed to obtaining those observations. This study is a contribution to the Year of Polar Prediction (YOPP), a flagship activity of the Polar Prediction Project, initiated by the World Weather Research Programme of the World Meteorological Organisation.</t>
  </si>
  <si>
    <t>1942-2466</t>
  </si>
  <si>
    <t>J ADV MODEL EARTH SY</t>
  </si>
  <si>
    <t>J. Adv. Model. Earth Syst.</t>
  </si>
  <si>
    <t>e2022MS003305</t>
  </si>
  <si>
    <t>10.1029/2022MS003305</t>
  </si>
  <si>
    <t>9S2UN</t>
  </si>
  <si>
    <t>WOS:000946201500001</t>
  </si>
  <si>
    <t>Meucci, A; Young, IR; Hemer, M; Trenham, C; Watterson, IG</t>
  </si>
  <si>
    <t>Meucci, Alberto; Young, Ian R.; Hemer, Mark; Trenham, Claire; Watterson, Ian G.</t>
  </si>
  <si>
    <t>140 Years of Global Ocean Wind-Wave Climate Derived from CMIP6 ACCESS-CM2 and EC-Earth3 GCMs: Global Trends, Regional Changes, and Future Projections</t>
  </si>
  <si>
    <t>Wind waves; Sea state; Climate change; Satellite observations; General circulation models; Trends</t>
  </si>
  <si>
    <t>FOLLOWER FIELD-MEASUREMENTS; INPUT SPECTRAL-FUNCTION; SOURCE TERMS; SURFACE-WAVES; MODEL; VARIABILITY; SPEED; WATER; PARAMETERIZATION; DEFINITION</t>
  </si>
  <si>
    <t>We present four 140-yr wind-wave climate simulations (1961-2100) forced with surface wind speed and sea ice concentration from two CMIP6 GCMs under two different climate scenarios: SSP1-2.6 and SSP5-8.5. A global three -grid system is implemented in WAVEWATCH III to simulate the wave-ice interactions in the Arctic and Antarctic regions. The models perform well in comparison with global satellite altimeter and in situ buoys climatology. The compari-son with traditional trend analyses demonstrates the present GCM-forced wave models' ability to reproduce the main his-torical climate signals. The long-term datasets allow a comprehensive description of the twentieth-and twenty -first-century wave climate and yield statistically robust trends. Analysis of the latest IPCC ocean climatic regions highlights four regions where changes in wave climate are projected to be most significant: the Arctic, the North Pacific, the North Atlantic, and the Southern Ocean. The main driver of offshore wave climate change is the wind, except for the Arctic where the signifi-cant sea ice retreat causes a sharp increase in the projected wave heights. Distinct changes in the wave period and the wave direction are found in the Southern Hemisphere, where the poleward shift of the Southern Ocean westerlies causes an in-crease in the wave period of up to 5% and a counterclockwise change in wave direction of up to 58. The new CMIP6 forced wave models improve in performance compared to previous CMIP5 forced wave models, and will ultimately contribute to a new CMIP6 wind-wave climate model ensemble, crucial for coastal adaptation strategies and the design of future marine offshore structures and operations.</t>
  </si>
  <si>
    <t>[Meucci, Alberto; Young, Ian R.] Univ Melbourne, Dept Infrastructure Engn, Parkville, Vic, Australia; [Hemer, Mark] CSIRO Oceans &amp; Atmosphere, Hobart, Tas, Australia; [Trenham, Claire] CSIRO Oceans &amp; Atmosphere, Canberra, ACT, Australia; [Watterson, Ian G.] CSIRO Climate Sci Ctr, Aspendale, Vic, Australia</t>
  </si>
  <si>
    <t>University of Melbourne; Commonwealth Scientific &amp; Industrial Research Organisation (CSIRO); Commonwealth Scientific &amp; Industrial Research Organisation (CSIRO); Commonwealth Scientific &amp; Industrial Research Organisation (CSIRO)</t>
  </si>
  <si>
    <t>Meucci, A (corresponding author), Univ Melbourne, Dept Infrastructure Engn, Parkville, Vic, Australia.</t>
  </si>
  <si>
    <t>alberto.meucci@unimelb.edu.au</t>
  </si>
  <si>
    <t>Meucci, Alberto/L-6238-2019; Hemer, Mark/M-1905-2013; Young, Ian/E-7385-2011</t>
  </si>
  <si>
    <t>Meucci, Alberto/0000-0002-0278-756X; Hemer, Mark/0000-0002-7725-3474; Trenham, Claire/0000-0003-4258-9936; Young, Ian/0000-0003-2233-9227; Watterson, Ian/0000-0001-9484-018X</t>
  </si>
  <si>
    <t>Australian Research Council [DP210100840]; Victorian Coastal Monitoring Program; Department of Environment, Land, Water and Planning; National Environmental Science Program Climate Systems Hub</t>
  </si>
  <si>
    <t>Australian Research Council(Australian Research Council); Victorian Coastal Monitoring Program; Department of Environment, Land, Water and Planning; National Environmental Science Program Climate Systems Hub</t>
  </si>
  <si>
    <t>We wish to thank Dr Qingxiang Liu, University of Melbourne for his advice on WW3 modellingand Dr. Jean Bidlot, ECMWF for his review of results. The M skill score software was developed by Ian G. Watterson in collaboration with Roger Bodman and Michael Grose of CSIRO. We wish also to thank Dr. Ghyslaine Boschat, Bureau of Meteorology, Australia, for the calculation of the SAM index. This project was supported by the Australian Research Council through grant DP210100840 and the Victorian Coastal Monitoring Program with funding through the Department of Environment, Land, Water and Planning. The computational resources were provided by the Australian National Computational Resource (NCI) through an NCMAS computational time grant. MH and CT were supported by the National Environmental Science Program Climate Systems Hub.</t>
  </si>
  <si>
    <t>10.1175/JCLI-D-21-0929.1</t>
  </si>
  <si>
    <t>9F3PQ</t>
  </si>
  <si>
    <t>WOS:000937384500001</t>
  </si>
  <si>
    <t>Sun, Y; Li, Y; Guo, X; Guo, JY</t>
  </si>
  <si>
    <t>Sun, Yu; Li, Yang; Guo, Xiang; Guo, Jinyun</t>
  </si>
  <si>
    <t>Estimating C30 coefficients for GRACE/GRACE-FO time-variable gravity field models using the GRACE-OBP approach</t>
  </si>
  <si>
    <t>GRACE; GRACE-FO; C-30; Antarctic Ice-Sheet; Mass change; Satellite Laser Ranging</t>
  </si>
  <si>
    <t>GEOCENTER MOTION; SIGNAL</t>
  </si>
  <si>
    <t>Recently, C-30 coefficients of time-variable gravity field models from GRACE and GRACE-Follow On (GRACE/GRACEFO) are reported to contain larger uncertainties when only one of the two onboard accelerometers is fully functional, which mainly concerns the GRACE-FO period and the final stage of the GRACE period. Using these problematic coefficients leads to incorrect mass change (rate) estimates, especially over Antarctic Ice-Sheet (AIS), and a replacement with those from satellite laser ranging (SLR) is currently recommended. In this study, we aim to discuss the possibility of improving the C-30 coefficients by extending the GRACE-OBP approach that has previously been applied to the estimation of geocenter motion and variations in the Earth's dynamic oblateness. Such an approach mainly relies on GRACE/GRACE-FO level 2 products and an ocean bottom pressure model, and it produces compatible coefficients with the GRACE/GRACE-FO product labeled as GSM. With a numerical experiment, we demonstrate the effectiveness of the proposed approach and identify the optimal implementation parameter setup. The resulting C-30 coefficient time series is generally consistent with those based on SLR and the original solutions from the GRACE dual-accelerometer period, but with differences in the annual amplitude estimates. Then, we obtain C-30 coefficients based on real data and check the AIS mass change time series with and without replacing the original ones with our solution. Our C-30 solution ensures consistent linear trend estimates for the dual-and single-accelerometer periods.</t>
  </si>
  <si>
    <t>[Sun, Yu] Fuzhou Univ, Key Lab Spatial Data Min &amp; Informat Sharing, Minist Educ, Wulongjiang North Rd, Fuzhou 350108, Fujian, Peoples R China; [Sun, Yu] Fuzhou Univ, Natl Engn Res Ctr Geospatial Informat Technol, Wulongjiang North Rd, Fuzhou 350108, Fujian, Peoples R China; [Sun, Yu] Fuzhou Univ, Natl &amp; Local Joint Engn Res Ctr Satellite Geospati, Wulongjiang North Rd, Fuzhou 350108, Fujian, Peoples R China; [Li, Yang] Chinese Acad Sci, Innovat Acad Precis Measurement Sci &amp; Technol, State Key Lab Geodesy &amp; Earths Dynam, Xudong St, Wuhan 430077, Hubei, Peoples R China; [Li, Yang] Univ Chinese Acad Sci, Yanqihu East Rd, Beijing 100049, Peoples R China; [Guo, Xiang] Huazhong Univ Sci &amp; Technol, MOE Key Lab Fundamental Phys Quant Measurement, Luoyu Rd, Wuhan 430074, Hubei, Peoples R China; [Guo, Xiang] Huazhong Univ Sci &amp; Technol, PGMF, Hubei Key Lab Gravitat &amp; Quantum Phys, Luoyu Rd, Wuhan 430074, Hubei, Peoples R China; [Guo, Xiang] Huazhong Univ Sci &amp; Technol, Sch Phys, Luoyu Rd, Wuhan 430074, Hubei, Peoples R China; [Guo, Jinyun] Shandong Univ Sci &amp; Technol, Coll Geodesy &amp; Geomat, Qianwangang Rd, Qingdao 266000, Shandong, Peoples R China</t>
  </si>
  <si>
    <t>Fuzhou University; Fuzhou University; Fuzhou University; Chinese Academy of Sciences; Innovation Academy for Precision Measurement Science &amp; Technology, CAS; Chinese Academy of Sciences; University of Chinese Academy of Sciences, CAS; Huazhong University of Science &amp; Technology; Huazhong University of Science &amp; Technology; Huazhong University of Science &amp; Technology; Shandong University of Science &amp; Technology</t>
  </si>
  <si>
    <t>Guo, X (corresponding author), Huazhong Univ Sci &amp; Technol, MOE Key Lab Fundamental Phys Quant Measurement, Luoyu Rd, Wuhan 430074, Hubei, Peoples R China.;Guo, X (corresponding author), Huazhong Univ Sci &amp; Technol, PGMF, Hubei Key Lab Gravitat &amp; Quantum Phys, Luoyu Rd, Wuhan 430074, Hubei, Peoples R China.;Guo, X (corresponding author), Huazhong Univ Sci &amp; Technol, Sch Phys, Luoyu Rd, Wuhan 430074, Hubei, Peoples R China.</t>
  </si>
  <si>
    <t>jade.yusun@outlook.com; isyang.li@outlook.com; xiangguo@hust.edu.cn; jinyunguo1@126.com</t>
  </si>
  <si>
    <t>National Natural Science Foundation of China [42171426, 41904009]; Key Lab of Spatial Data Mining and Information Sharing, Ministry of Education [2022LSDMIS06]</t>
  </si>
  <si>
    <t>National Natural Science Foundation of China(National Natural Science Foundation of China (NSFC)); Key Lab of Spatial Data Mining and Information Sharing, Ministry of Education</t>
  </si>
  <si>
    <t>We thank our editors and three anonymous reviewers for their insightful comments which greatly improved the quality of the manuscript. We thank Riccardo Riva from Delft University of Technology for carefully revising the manuscript as well as constructive suggestions and insightful comments. This study is supported by the National Natural Science Foundation of China (grant 42171426 and 41904009) and open project from Key Lab of Spatial Data Mining and Information Sharing, Ministry of Education (grant 2022LSDMIS06). We estimate AIS mass change time series using a dedicated tool package provided by Wei Feng (Feng 2019). All the figures are prepared by the Generic Mapping Tools (Wessel et al. 2019).</t>
  </si>
  <si>
    <t>10.1007/s00190-023-01707-3</t>
  </si>
  <si>
    <t>9N7JA</t>
  </si>
  <si>
    <t>WOS:000943087400001</t>
  </si>
  <si>
    <t>Zhu, YK; Zhou, CX; Zhu, DY; Wang, T; Zhang, TF</t>
  </si>
  <si>
    <t>Zhu, Yikai; Zhou, Chunxia; Zhu, Dongyu; Wang, Tao; Zhang, Tengfei</t>
  </si>
  <si>
    <t>Interannual Variation of Landfast Ice Using Ascending and Descending Sentinel-1 Images from 2019 to 2021: A Case Study of Cambridge Bay</t>
  </si>
  <si>
    <t>landfast ice; 2D deformation; SBAS-InSAR; interannual variation</t>
  </si>
  <si>
    <t>SURFACE DISPLACEMENT FIELD; SEA-ICE; THICKNESS; INFORMATION; RETRIEVAL; COHERENCE; EXTENT; PHASE</t>
  </si>
  <si>
    <t>Landfast ice has undergone a dramatic decline in recent decades, imposing potentialeffects on ice travel for coastal populations, habitats for marine biota, and ice use for industries.The mapping of landfast ice deformation and the investigation of corresponding causes of changesare urgent tasks that can provide substantial data to support the maintenance of the stability of theArctic ecosystem and the development of human activities on ice. This work aims to investigate thetime-series deformation characteristics of landfast ice at multi-year scales and the correspondinginfluence factors. For the landfast ice deformation monitoring technique, we first combined the smallbaseline subset approach with ascending and descending Sentinel-1 images to obtain the line-of-sightdeformations for two flight directions, and then we derived the 2D deformation fields comprising thevertical and horizontal directions for the corresponding periods by introducing a transform model.The vertical deformation results were mostly within the interval [-65, 23] cm, while the horizontaldisplacement was largely within the range of [-26, 78] cm. Moreover, the magnitude of deformationobserved in 2019 was evidently greater than those in 2020 and 2021. In accordance with the availabledata, we speculate that the westerly wind and eastward-flowing ocean currents are the dominantreasons for the variation in the horizontal direction in Cambridge Bay, while the factors causingspatial differences in the vertical direction are the sea-level tilt and ice growth. For the interannualvariation, the leading cause is the difference in sea-level tilt. These results can assist in predicting thefuture deformation of landfast ice and provide a reference for on-ice activities.</t>
  </si>
  <si>
    <t>[Zhu, Yikai; Zhou, Chunxia; Zhu, Dongyu; Wang, Tao] Wuhan Univ, Chinese Antarctic Ctr Surveying &amp; Mapping, Wuhan 430079, Peoples R China; [Zhu, Yikai; Zhou, Chunxia; Zhu, Dongyu; Wang, Tao] Wuhan Univ, Key Lab Polar Surveying &amp; Mapping, MNR, Wuhan 430079, Peoples R China; [Zhang, Tengfei] Changsha Univ Sci &amp; Technol, Sch Traff &amp; Transportat Engn, Changsha 410114, Peoples R China</t>
  </si>
  <si>
    <t>Wuhan University; Wuhan University; Changsha University of Science &amp; Technology</t>
  </si>
  <si>
    <t>Zhou, CX (corresponding author), Wuhan Univ, Chinese Antarctic Ctr Surveying &amp; Mapping, Wuhan 430079, Peoples R China.;Zhou, CX (corresponding author), Wuhan Univ, Key Lab Polar Surveying &amp; Mapping, MNR, Wuhan 430079, Peoples R China.</t>
  </si>
  <si>
    <t>zhoucx@whu.edu.cn</t>
  </si>
  <si>
    <t>Wang, Tao/ITT-5767-2023; liu, sha/JXL-6600-2024; Zhu, Yikai/AAW-6284-2021; ren, jing/JXN-8411-2024</t>
  </si>
  <si>
    <t>Zhu, Yikai/0000-0002-6613-0188; Zhou, Chunxia/0000-0002-4819-2684</t>
  </si>
  <si>
    <t>10.3390/rs15051296</t>
  </si>
  <si>
    <t>9U4VI</t>
  </si>
  <si>
    <t>WOS:000947710100001</t>
  </si>
  <si>
    <t>Wang, SH; Liu, JT; Pritchard, HD; Ke, LH; Qiao, X; Zhang, J; Xiao, WH; Zhou, YY</t>
  </si>
  <si>
    <t>Wang, Shuhong; Liu, Jintao; Pritchard, Hamish D.; Ke, Linghong; Qiao, Xiao; Zhang, Jie; Xiao, Weihua; Zhou, Yuyan</t>
  </si>
  <si>
    <t>Characterizing 4 decades of accelerated glacial mass loss in the west Nyainqentanglha Range of the Tibetan Plateau</t>
  </si>
  <si>
    <t>HYDROLOGY AND EARTH SYSTEM SCIENCES</t>
  </si>
  <si>
    <t>CHANGRI NUP GLACIER; NAM CO BASIN; CLIMATE-CHANGE; HYDROLOGICAL PROCESSES; INVENTORY DATA; DEBRIS COVER; HEXAGON KH-9; LAKE; BALANCE; AREA</t>
  </si>
  <si>
    <t>Glacier retreat is altering the water regime of the Tibetan Plateau (TP) as the region's climate changes, but there remain substantial gaps in our knowledge of recent glacier loss in this region due to the difficulty of making direct high-mountain observations, and this limits our ability to predict the future of this important water resource. Here, we assessed 44 years of glacier area and volume changes in the major west Nyainqentanglha Range (WNR) that sup-plies meltwater to the densely populated Lhasa River basin and Nam Co, the second largest endorheic lake on the TP. Between the two periods 1976-2000 and 2000-2020, we found that the glacier areal retreat rate more than doubled (from-0.54 +/- 0.21 % a(-1)to-1.17 +/- 0.30 % a(-1)), and sur -face lowering also accelerated (from -0.26 +/- 0.09 to -0.37 +/- 0.15 m w.e a(-1)) with particularly intense melting after 2014. This acceleration is similar in both timing and magnitude to that observed for Himalayan glaciers farther south. Besides, the areal retreat rate and mass loss rate of most glaciers in the WNR were not synchronized. To understand the sensitivity of WNR glaciers to climate forcing, we examined the effects of topography, debris cover and the presence of proglacial lakes on our observed changes. We found consistently faster areal retreat but slower thinning rates on steeper slopes and an inconsistent relationship with aspect. We concluded that our observed spatial and temporal patterns of glacier change were dominated by observed local variations in temperature and precipitation, the melt-reducing role of supraglacial debris, and the increasing influence of ice-marginal lakes on glacier ablation.</t>
  </si>
  <si>
    <t>[Wang, Shuhong; Liu, Jintao; Qiao, Xiao; Zhang, Jie] Hohai Univ, State Key Lab Hydrol Water Resources &amp; Hydraul Eng, Nanjing 210098, Peoples R China; [Wang, Shuhong; Liu, Jintao; Ke, Linghong; Qiao, Xiao; Zhang, Jie] Hohai Univ, Coll Hydrol &amp; Water Resources, Nanjing 210098, Peoples R China; [Wang, Shuhong; Pritchard, Hamish D.] NERC, British Antarctic Survey, Madingley Rd, Cambridge CB3 0ET, England; [Xiao, Weihua; Zhou, Yuyan] China Inst Water Resources &amp; Hydropower Res, State Key Lab Simulat &amp; Regulat Water Cycle River, Beijing 100038, Peoples R China</t>
  </si>
  <si>
    <t>Hohai University; Hohai University; UK Research &amp; Innovation (UKRI); Natural Environment Research Council (NERC); NERC British Antarctic Survey; China Institute of Water Resources &amp; Hydropower Research</t>
  </si>
  <si>
    <t>Liu, JT (corresponding author), Hohai Univ, State Key Lab Hydrol Water Resources &amp; Hydraul Eng, Nanjing 210098, Peoples R China.;Liu, JT (corresponding author), Hohai Univ, Coll Hydrol &amp; Water Resources, Nanjing 210098, Peoples R China.</t>
  </si>
  <si>
    <t>jtliu@hhu.edu.cn</t>
  </si>
  <si>
    <t>Zhou, Yuyan/H-9007-2016</t>
  </si>
  <si>
    <t>Ke, Linghong/0000-0001-9374-943X</t>
  </si>
  <si>
    <t>Second Tibetan Plateau Scientific Expedition and Research Program (STEP; Ministry of Science and Technology, MOST) [2019QZKK0207]; National Natural Science Foundation of China (NSFC) [92047301]</t>
  </si>
  <si>
    <t>Second Tibetan Plateau Scientific Expedition and Research Program (STEP; Ministry of Science and Technology, MOST); National Natural Science Foundation of China (NSFC)(National Natural Science Foundation of China (NSFC))</t>
  </si>
  <si>
    <t>This work was supported by the Second Tibetan Plateau Scientific Expedition and Research Program (STEP; Ministry of Science and Technology, MOST; grant no. 2019QZKK0207) and the National Natural Science Foundation of China (NSFC; grant no. 92047301).</t>
  </si>
  <si>
    <t>1027-5606</t>
  </si>
  <si>
    <t>1607-7938</t>
  </si>
  <si>
    <t>HYDROL EARTH SYST SC</t>
  </si>
  <si>
    <t>Hydrol. Earth Syst. Sci.</t>
  </si>
  <si>
    <t>10.5194/hess-27-933-2023</t>
  </si>
  <si>
    <t>Geosciences, Multidisciplinary; Water Resources</t>
  </si>
  <si>
    <t>Geology; Water Resources</t>
  </si>
  <si>
    <t>9L5BO</t>
  </si>
  <si>
    <t>WOS:000941564200001</t>
  </si>
  <si>
    <t>Ball, BA; Convey, P; Feeser, KL; Nielsen, UN; Van Horn, D</t>
  </si>
  <si>
    <t>Ball, Becky A.; Convey, Peter; Feeser, Kelli L.; Nielsen, Uffe N.; Van Horn, David</t>
  </si>
  <si>
    <t>Habitat severity characteristics structure soil communities at regional and local spatial scales along the Antarctica Peninsula</t>
  </si>
  <si>
    <t>alpha diversity; beta diversity; environmental change; microarthropods; microbial communities; soil biodiversity</t>
  </si>
  <si>
    <t>MICROBIAL COMMUNITY; RIBOSOMAL-RNA; ARTHROPOD COMMUNITIES; BACTERIAL DIVERSITY; FUNGAL DIVERSITY; GLOBAL PATTERNS; MARITIME; CLIMATE; ISLAND; ECOLOGY</t>
  </si>
  <si>
    <t>Antarctic soils provide an excellent setting to test biogeographical patterns across spatial and environmental scales given their relatively simple communities and the dominance of physical factors that create strong environmental gradients. Additional urgency is given by the fact that their unique terrestrial communities are the subject of conservation efforts in a rapidly changing environment. We investigated relationships of soil community assembly and alpha and beta diversity with climatic and environmental parameters across regional and local scales in Maritime Antarctica. We sampled from a regional gradient of sites that differ in habitat severity, ranging from relatively favourable to harsher physicochemical conditions. At the regional scale, bacterial community characteristics and microarthropod abundance varied along this severity gradient, but most measures of fungal communities did not. Microarthropod and microbial communities differed in which soil and climate parameters were most influential, and the specific parameters that influenced each taxon differed across broad and fine spatial scales. This suggests that conservation efforts will need to focus on a large variety of habitat characteristics to successfully encompass diversity across taxa. Because beta diversity was the result of species turnover, conservation efforts also cannot focus on only the most biodiverse sites to effectively preserve all aspects of biodiversity.</t>
  </si>
  <si>
    <t>[Ball, Becky A.] Arizona State Univ West Campus, Sch Math &amp; Nat Sci, Glendale, AZ 85281 USA; [Convey, Peter] NERC, British Antarctic Survey, Cambridge, England; [Convey, Peter] Univ Johannesburg, Dept Zool, Auckland Pk, South Africa; [Feeser, Kelli L.; Van Horn, David] Univ New Mexico, Dept Biol, Albuquerque, NM USA; [Feeser, Kelli L.] Los Alamos Natl Lab, Los Alamos, NM USA; [Nielsen, Uffe N.] Western Sydney Univ, Hawkesbury Inst Environm, Penrith, NSW, Australia</t>
  </si>
  <si>
    <t>Arizona State University; UK Research &amp; Innovation (UKRI); Natural Environment Research Council (NERC); NERC British Antarctic Survey; University of Johannesburg; University of New Mexico; United States Department of Energy (DOE); Los Alamos National Laboratory; Western Sydney University</t>
  </si>
  <si>
    <t>Ball, BA (corresponding author), Arizona State Univ West Campus, Sch Math &amp; Nat Sci, Glendale, AZ 85281 USA.</t>
  </si>
  <si>
    <t>becky.ball@asu.edu</t>
  </si>
  <si>
    <t>Ball, Becky A/E-6573-2011; Convey, Peter/AAV-5728-2020</t>
  </si>
  <si>
    <t>Ball, Becky A/0000-0001-8592-1316; Convey, Peter/0000-0001-8497-9903; Feeser, Kelli/0000-0002-4144-0294</t>
  </si>
  <si>
    <t>PII S0954102023000019</t>
  </si>
  <si>
    <t>10.1017/S0954102023000019</t>
  </si>
  <si>
    <t>Green Accepted, hybrid, Green Submitted</t>
  </si>
  <si>
    <t>WOS:000941052800001</t>
  </si>
  <si>
    <t>Woutersen, A; Jardine, PE; Silvestro, D; Bogota-Angel, RG; Zhang, HX; Meijer, N; Bouchal, J; Barbolini, N; Dupont-Nivet, G; Koutsodendris, A; Antonelli, A; Hoorn, C</t>
  </si>
  <si>
    <t>Woutersen, Amber; Jardine, Phillip E.; Silvestro, Daniele; Bogota-Angel, Raul Giovanni; Zhang, Hong-Xiang; Meijer, Niels; Bouchal, Johannes; Barbolini, Natasha; Dupont-Nivet, Guillaume; Koutsodendris, Andreas; Antonelli, Alexandre; Hoorn, Carina</t>
  </si>
  <si>
    <t>The evolutionary history of the Central Asian steppe-desert taxon Nitraria (Nitrariaceae) as revealed by integration of fossil pollen morphology and molecular data</t>
  </si>
  <si>
    <t>BOTANICAL JOURNAL OF THE LINNEAN SOCIETY</t>
  </si>
  <si>
    <t>desert; Eurasian steppe; light microscopy; phylogeny; SEM; Tibetan Plateau</t>
  </si>
  <si>
    <t>WESTERN QAIDAM BASIN; NE TIBETAN PLATEAU; DIVERSIFICATION RATES; PALYNOLOGICAL RECORD; ANTARCTIC GLACIATION; TECTONIC EVOLUTION; EARLY OLIGOCENE; CORE SG-1; EOCENE; PHYLOGENY</t>
  </si>
  <si>
    <t>The transition from a greenhouse to an icehouse world at the Eocene-Oligocene Transition (EOT) coincided with a large decrease of pollen from the steppe-adapted genus Nitraria. This genus, now common along the Mediterranean coast, Asia and Australia, has a proposed coastal origin and a geographically widespread fossil record. Here we investigated the evolution, taxonomic diversity and morphological disparity of Nitraria throughout the Cenozoic by integrating extant taxa and fossil palynological morphotypes into a unified phylogenetic framework based on both DNA sequences and pollen morphological data. We present the oldest fossil pollen grain of Nitraria, at least 53 Myr old. This fossil was found in Central Asian deposits, providing new evidence for its origin in this area. We found that the EOT is an evolutionary bottleneck for Nitraria, coinciding with retreat of the proto-Paratethys Sea, a major global cooling event and a turnover in Central Asian steppe vegetation. We infer the crown age of modern Nitraria spp. to be significantly younger (Miocene) than previously estimated (Palaeocene). The diversity trajectory of Nitraria inferred from extant-only taxa differs markedly from one that also considers extinct taxa. Our study demonstrates it is therefore critical to apply an integrative approach to fully understand the plant evolutionary history of Nitrariaceae.</t>
  </si>
  <si>
    <t>[Woutersen, Amber; Hoorn, Carina] Univ Amsterdam, Inst Biodivers &amp; Ecosyst Dynam IBED, NL-1098 XH Amsterdam, Netherlands; [Jardine, Phillip E.] Univ Munster, Inst Geol &amp; Palaeontol, D-48149 Munster, Germany; [Silvestro, Daniele] Univ Fribourg, Dept Biol, Chemin Musee 10, Fribourg, Switzerland; [Silvestro, Daniele; Antonelli, Alexandre] Univ Gothenburg, Gothenburg Global Biodivers Ctr, Dept Biol &amp; Environm Sci, Carl Skottsbergs gata 22B, Gothenburg, Sweden; [Bogota-Angel, Raul Giovanni] Univ Distrital Francisco Jose Caldas, Fac Medio Ambiente &amp; Recursos Nat, Carrera 7 40B 53, Bogota, Colombia; [Zhang, Hong-Xiang] Chinese Acad Sci, Xinjiang Inst Ecol &amp; Geog, State Key Lab Desert &amp; Oasis Ecol, Urumqi 830011, Peoples R China; [Meijer, Niels] Senckenberg Res Inst, D-99423 Weimar, Germany; [Bouchal, Johannes] Med Univ Vienna, Dept Oto Rhino Laryngol, Res Grp Aerobiol &amp; Pollen Informat, A-1090 Vienna, Austria; [Barbolini, Natasha] Stockholm Univ, Environm &amp; Plant Sci &amp; Bolin Ctr Climate Res, Dept Ecol, SE-10691 Stockholm, Sweden; [Barbolini, Natasha] Univ Bergen, Bjerknes Ctr Climate Res, Dept Biol Sci, N-5006 Bergen, Norway; [Dupont-Nivet, Guillaume] Univ Rennes, Geosci Rennes UMR CNRS, F-35042 Rennes, France; [Dupont-Nivet, Guillaume] Univ Potsdam, Inst Earth &amp; Environm Sci, D-14476 Potsdam, Germany; [Koutsodendris, Andreas] Heidelberg Univ, Inst Earth Sci, D-69117 Heidelberg, Germany; [Antonelli, Alexandre] Univ Oxford, Dept Plant Sci, Oxford OX1 3RB, England; [Antonelli, Alexandre] Royal Bot Gardens, Richmond TW9 3AE, England</t>
  </si>
  <si>
    <t>University of Amsterdam; University of Munster; University of Fribourg; University of Gothenburg; Universidad Distrital Francisco Jose de Caldas; Chinese Academy of Sciences; Xinjiang Institute of Ecology &amp; Geography, CAS; Senckenberg Gesellschaft fur Naturforschung (SGN); Medical University of Vienna; Stockholm University; Bjerknes Centre for Climate Research; University of Bergen; Centre National de la Recherche Scientifique (CNRS); Universite de Rennes; University of Potsdam; Ruprecht Karls University Heidelberg; University of Oxford; Royal Botanic Gardens, Kew</t>
  </si>
  <si>
    <t>Woutersen, A (corresponding author), Univ Amsterdam, Inst Biodivers &amp; Ecosyst Dynam IBED, NL-1098 XH Amsterdam, Netherlands.</t>
  </si>
  <si>
    <t>amberwoutersen@gmail.com</t>
  </si>
  <si>
    <t>Meijer, Niels/AHE-1536-2022; Antonelli, Alexandre/A-5353-2011; Barbolini, Natasha/JHV-1549-2023; Koutsodendris, Andreas/G-8966-2013; Hoorn, Carina/A-9372-2015</t>
  </si>
  <si>
    <t>Meijer, Niels/0000-0002-2186-5682; Antonelli, Alexandre/0000-0003-1842-9297; Barbolini, Natasha/0000-0001-7121-3634; Koutsodendris, Andreas/0000-0003-4236-7508; Silvestro, Daniele/0000-0003-0100-0961; Hoorn, Carina/0000-0001-5402-6191; Woutersen, Amber/0000-0002-6476-0223</t>
  </si>
  <si>
    <t>European Research Council consolidator grant Monsoons in Asia caused Greenhouse [649081]; CAS President's International Fellowship Initiative [2018VBA0038]; Swiss National Science Foundation [PCEFP3_187012, FN-1749]; Swedish Research Council; Swedish Foundation for Strategic Research; German Research Foundation (DFG) [443701866, KO4960/4]; University of Amsterdam; Royal Botanic Gardens</t>
  </si>
  <si>
    <t>European Research Council consolidator grant Monsoons in Asia caused Greenhouse(European Research Council (ERC)); CAS President's International Fellowship Initiative; Swiss National Science Foundation(Swiss National Science Foundation (SNSF)); Swedish Research Council(Swedish Research Council); Swedish Foundation for Strategic Research(Swedish Foundation for Strategic ResearchSwedish Foundation for Humanities &amp; Social Sciences); German Research Foundation (DFG)(German Research Foundation (DFG)); University of Amsterdam; Royal Botanic Gardens</t>
  </si>
  <si>
    <t>A.W., G.D-N. and N.M. acknowledge funding from European Research Council consolidator grant Monsoons in Asia caused Greenhouse to Icehouse Cooling (MAGIC) 649081. C.H. was supported by CAS President's International Fellowship Initiative Grant No. 2018VBA0038. D.S. received funding from the Swiss National Science Foundation (PCEFP3_187012; FN-1749) and from the Swedish Research Council (VR: 2019-04739). A.A. is supported by grants from the Swedish Foundation for Strategic Research, the Swedish Research Council and the Royal Botanic Gardens, Kew. P.E.J. and A.K. received funding from the German Research Foundation (DFG grants 443701866 and KO4960/4). We thank Jan van Arkel for providing us with high quality microphotography and Huasheng Huang for SEM photography of fossil Nitraria. Furthermore, we thank Malcolm Jones of PLS PalyLab and Annemarie Philip from the University of Amsterdam for the preparation of palynological slides.</t>
  </si>
  <si>
    <t>0024-4074</t>
  </si>
  <si>
    <t>1095-8339</t>
  </si>
  <si>
    <t>BOT J LINN SOC</t>
  </si>
  <si>
    <t>Bot. J. Linnean Soc.</t>
  </si>
  <si>
    <t>MAY 23</t>
  </si>
  <si>
    <t>10.1093/botlinnean/boac050</t>
  </si>
  <si>
    <t>G8GF2</t>
  </si>
  <si>
    <t>WOS:000941871400001</t>
  </si>
  <si>
    <t>Wang, LP; Yang, H; Wen, Q; Liu, YM; Wu, GX</t>
  </si>
  <si>
    <t>Wang, Liping; Yang, Haijun; Wen, Qin; Liu, Yimin; Wu, Guoxiong</t>
  </si>
  <si>
    <t>The Tibetan Plateau's Far-Reaching Impacts on Arctic and Antarctic Climate: Seasonality and Pathways</t>
  </si>
  <si>
    <t>Antarctica; Arctic; Planetary waves; Atmosphere-ocean interaction</t>
  </si>
  <si>
    <t>SOUTH ASIAN MONSOON; WAVE-ACTIVITY FLUX; EURASIAN CLIMATE; NORTH-ATLANTIC; ROSSBY WAVES; UPLIFT; CIRCULATION; SENSITIVITY; STATIONARY; MOUNTAINS</t>
  </si>
  <si>
    <t>As the highest and most extensive plateau in the world, the Tibetan Plateau (TP) has remarkable effects on global climate. Through coupled model sensitivity experiments with and without the TP, we show that the TP can affect the Arctic directly via orography-forced stationary waves, and influence the Antarctic indirectly via stationary waves forced by sea surface temperature (SST) in the Indian Ocean. These far-reaching impacts occur mainly in wintertime. The fast atmospheric processes play an important role; particularly, the midlatitude westerly flow, which is stronger and closer to the equator in winter, provides a favorable condition for the eastward and poleward energy propagation of the forced waves. In the Northern Hemisphere, removing the TP causes a wave train traveling from the Asian continent to the North America-Atlantic Ocean region, resulting in intensified westerlies and thus an enhancement of stratospheric polar vortex and Arctic cooling. The pathways are northeastward directly in the upper level due to the background westerlies, while they are eastward and then northeastward in the lower level, modulated by the winter monsoon. To the south, the TP perturbation causes an anomalous cross-equatorial flow, leading to an anomalous SST dipole pattern in the Indian Ocean in the austral winter; this generates stationary waves propagating energy southeastward from the tropical Indian Ocean to the Antarctic, resulting in a Rossby wave train circulating around the Antarctic. Our study identifies the seasonality and pathways of the TP affecting the polar regions, which may help to understand the role of the TP in the future climate changes in polar regions.</t>
  </si>
  <si>
    <t>[Wang, Liping] Peking Univ, Sch Phys, Dept Atmospher &amp; Ocean Sci, Beijing, Peoples R China; [Yang, Haijun] Fudan Univ, Dept Atmospher &amp; Ocean Sci, Shanghai, Peoples R China; [Yang, Haijun] Fudan Univ, CMA FDU Joint Lab Marine Meteorol, Shanghai, Peoples R China; [Yang, Haijun] Fudan Univ, Shanghai Sci Frontier Base Ocean Atmosphere Inter, Shanghai, Peoples R China; [Wen, Qin] Nanjing Normal Univ, Sch Geog, Nanjing, Peoples R China; [Liu, Yimin; Wu, Guoxiong] Chinese Acad Sci, Inst Atmospher Phys, State Key Lab Numer Modelling Atmospher Sci &amp; Geo, Beijing, Peoples R China; [Liu, Yimin; Wu, Guoxiong] Univ Chinese Acad Sci, Coll Earth Sci, Beijing, Peoples R China</t>
  </si>
  <si>
    <t>Peking University; Fudan University; Fudan University; Fudan University; Nanjing Normal University; Chinese Academy of Sciences; Institute of Atmospheric Physics, CAS; Chinese Academy of Sciences; University of Chinese Academy of Sciences, CAS</t>
  </si>
  <si>
    <t>Yang, H (corresponding author), Fudan Univ, Dept Atmospher &amp; Ocean Sci, Shanghai, Peoples R China.;Yang, H (corresponding author), Fudan Univ, CMA FDU Joint Lab Marine Meteorol, Shanghai, Peoples R China.;Yang, H (corresponding author), Fudan Univ, Shanghai Sci Frontier Base Ocean Atmosphere Inter, Shanghai, Peoples R China.</t>
  </si>
  <si>
    <t>yanghj@fudan.edu.cn</t>
  </si>
  <si>
    <t>Wu, GX/AAJ-5341-2020; Liu, Yi/HTN-4916-2023; Liu, Kun/JAX-5396-2023; Li, Kun/JLL-6505-2023; Liu, Kai/IST-6808-2023; liu, bing/JJD-5566-2023; Liu, Yiming/ISU-3780-2023; Yan, Jun/IXD-7801-2023</t>
  </si>
  <si>
    <t>Li, Kun/0000-0002-3638-2974;</t>
  </si>
  <si>
    <t>NSF of China [91737204, 41725021, 91937302]</t>
  </si>
  <si>
    <t>NSF of China(National Natural Science Foundation of China (NSFC))</t>
  </si>
  <si>
    <t>This work is supported by the NSF of China (91737204, 41725021, and 91937302) . The experiments were performed on the supercomputers at the Chinese National Supercomputer Centre in Tianjin (Tian-He No.1) .</t>
  </si>
  <si>
    <t>10.1175/JCLI-D-22-0175.1</t>
  </si>
  <si>
    <t>8Y1TI</t>
  </si>
  <si>
    <t>WOS:000932484000001</t>
  </si>
  <si>
    <t>Wickramage, C; Koehl, A; Jungclaus, J; Stammer, D</t>
  </si>
  <si>
    <t>Wickramage, Chathurika; Koehl, Armin; Jungclaus, Johann; Stammer, Detlef</t>
  </si>
  <si>
    <t>Sensitivity of MPI-ESM Sea Level Projections to Its Ocean Spatial Resolution</t>
  </si>
  <si>
    <t>Ocean; Sea level; Climate models; Mesoscale models; Model comparison</t>
  </si>
  <si>
    <t>ANTARCTIC CIRCUMPOLAR CURRENT; WESTERN NORTH PACIFIC; ATLANTIC WARMING HOLE; HORIZONTAL RESOLUTION; GYRE CIRCULATION; MESOSCALE EDDIES; TRANSPORT; VARIABILITY; MODELS; RISE</t>
  </si>
  <si>
    <t>The dependence of future regional sea level changes on ocean model resolution is investigated based on Max Planck Institute Earth System Model (MPI-ESM) simulations with varying spatial resolution, ranging from low reso-lution (LR), high resolution (HR), to eddy-rich (ER) resolution. Each run was driven by the shared socioeconomic path-way (SSP) 5-8.5 (fossil-fueled development) forcing. For each run the dynamic sea level (DSL) changes are evaluated by comparing the time mean of the SSP5-8.5 climate change scenario for the years 2080-99 to the time mean of the historical simulation for the years 1995-2014. Respective results indicate that each run reproduces previously identified large-scale DSL change patterns. However, substantial sensitivity of the projected DSL changes can be found on a regional to local scale with respect to model resolution. In comparison to models with parameterized eddies (HR and LR), enhanced sea level changes are found in the North Atlantic subtropical region, the Kuroshio region, and the Arctic Ocean in the model version capturing mesoscale processes (ER). Smaller yet still significant sea level changes can be found in the Southern Ocean and the North Atlantic subpolar region. These sea level changes are associated with changes in the regional circula-tion. Our study suggests that low-resolution sea level projections should be interpreted with care in regions where major differences are revealed here, particularly in eddy active regions such as the Kuroshio, Antarctic Circumpolar Current, Gulf Stream, and East Australian Current.</t>
  </si>
  <si>
    <t>[Wickramage, Chathurika; Koehl, Armin; Stammer, Detlef] Univ Hamburg, Ctr Earth Syst Res &amp; Sustainabil CEN, Hamburg, Germany; [Jungclaus, Johann] Max Planck Inst Meteorol, Hamburg, Germany</t>
  </si>
  <si>
    <t>University of Hamburg; Max Planck Society</t>
  </si>
  <si>
    <t>Wickramage, C (corresponding author), Univ Hamburg, Ctr Earth Syst Res &amp; Sustainabil CEN, Hamburg, Germany.</t>
  </si>
  <si>
    <t>wickramage@uni-hamburg.de</t>
  </si>
  <si>
    <t>Kohl, Armin/I-9378-2014</t>
  </si>
  <si>
    <t>Kohl, Armin/0000-0002-9777-674X</t>
  </si>
  <si>
    <t>German Research Foundation (DFG) [SPP 1889]; DFG funded Excellence Cluster CLICCS of UniversitatHamburg; Centrum fur Erdsystemfor-schung und Nachhaltigkeit (CEN) of Universitat Hamburg</t>
  </si>
  <si>
    <t>German Research Foundation (DFG)(German Research Foundation (DFG)); DFG funded Excellence Cluster CLICCS of UniversitatHamburg(German Research Foundation (DFG)); Centrum fur Erdsystemfor-schung und Nachhaltigkeit (CEN) of Universitat Hamburg</t>
  </si>
  <si>
    <t>Funded in part by the German Research Foundation (DFG) as part of the Priority Programme SPP 1889 Sealevel. Dian Putrasahan providedthe data from the ER model simulation with support of the DFG funded Excellence Cluster CLICCS of Universit atHamburg. Contribution to the Centrum fur Erdsystemfor-schung und Nachhaltigkeit (CEN) of Universitat Hamburg</t>
  </si>
  <si>
    <t>10.1175/JCLI-D-22-0418.1</t>
  </si>
  <si>
    <t>9F2CS</t>
  </si>
  <si>
    <t>WOS:000937281900001</t>
  </si>
  <si>
    <t>Tesdal, JE; MacGilchrist, GA; Beadling, RL; Griffies, SM; Krasting, JP; Durack, PJ</t>
  </si>
  <si>
    <t>Tesdal, Jan-Erik; MacGilchrist, Graeme A.; Beadling, Rebecca L.; Griffies, Stephen M.; Krasting, John P.; Durack, Paul J.</t>
  </si>
  <si>
    <t>Revisiting Interior Water Mass Responses to Surface Forcing Changes and the Subsequent Effects on Overturning in the Southern Ocean</t>
  </si>
  <si>
    <t>southern ocean; freshwater; Antarctica; abyssal circulation; meridional overturning circulation; coupled models</t>
  </si>
  <si>
    <t>ANTARCTIC BOTTOM WATER; ATLANTIC THERMOHALINE CIRCULATION; WEDDELL SEA POLYNYA; NORTH-ATLANTIC; FRESH-WATER; ANTHROPOGENIC CARBON; DEEP CONVECTION; Z-COORDINATE; MESOSCALE EDDIES; ICE SHELVES</t>
  </si>
  <si>
    <t>Two coupled climate models, differing primarily in horizontal resolution and treatment of mesoscale eddies, were used to assess the impact of perturbations in wind stress and Antarctic ice sheet (AIS) melting on the Southern Ocean meridional overturning circulation (SO MOC), which plays an important role in global climate regulation. The largest impact is found in the SO MOC lower limb, associated with the formation of Antarctic Bottom Water (AABW), which in both models is enhanced by wind and weakened by AIS meltwater perturbations. Even though both models under the AIS melting perturbation show similar AABW transport reductions of 4-5 Sv (50%-60%), the volume deflation of AABW south of 30 &amp; DEG;S is four times greater in the higher resolution simulation (-20 vs. -5 Sv). Water mass transformation (WMT) analysis reveals that surface-forced dense water formation on the Antarctic shelf is absent in the higher resolution and reduced by half in the lower resolution model in response to the increased AIS melting. However, the decline of the AABW volume (and its inter-model difference) far exceeds the surface-forced WMT changes alone, which indicates that the divergent model responses arise from interactions between changes in surface forcing and interior mixing processes. This model divergence demonstrates an important source of uncertainty in climate modeling, and indicates that accurate shelf processes together with scenarios accounting for AIS melting are necessary for robust projections of the deep ocean's response to anthropogenic forcing.</t>
  </si>
  <si>
    <t>[Tesdal, Jan-Erik; MacGilchrist, Graeme A.; Beadling, Rebecca L.; Griffies, Stephen M.] Princeton Univ, Atmospher &amp; Ocean Sci Program, Princeton, NJ 08544 USA; [Tesdal, Jan-Erik; MacGilchrist, Graeme A.; Beadling, Rebecca L.; Griffies, Stephen M.; Krasting, John P.] NOAA, Geophys Fluid Dynam Lab, Princeton, NJ 08540 USA; [Beadling, Rebecca L.] Temple Univ, Dept Earth &amp; Environm Sci, Philadelphia, PA USA; [Durack, Paul J.] Lawrence Livermore Natl Lab, Program Climate Model Diag &amp; Intercomparison, Livermore, CA USA</t>
  </si>
  <si>
    <t>National Oceanic Atmospheric Admin (NOAA) - USA; Princeton University; National Oceanic Atmospheric Admin (NOAA) - USA; Pennsylvania Commonwealth System of Higher Education (PCSHE); Temple University; United States Department of Energy (DOE); Lawrence Livermore National Laboratory</t>
  </si>
  <si>
    <t>Tesdal, JE (corresponding author), Princeton Univ, Atmospher &amp; Ocean Sci Program, Princeton, NJ 08544 USA.;Tesdal, JE (corresponding author), NOAA, Geophys Fluid Dynam Lab, Princeton, NJ 08540 USA.</t>
  </si>
  <si>
    <t>jt7058@princeton.edu</t>
  </si>
  <si>
    <t>Durack, Paul James/A-8758-2010; Griffies, Stephen Matthew/N-9144-2019; Krasting, John/G-9360-2019</t>
  </si>
  <si>
    <t>Durack, Paul James/0000-0003-2835-1438; Griffies, Stephen Matthew/0000-0002-3711-236X; Krasting, John/0000-0002-4650-9844; MacGilchrist, Graeme/0000-0003-1409-8937</t>
  </si>
  <si>
    <t>U.S. Department of Energy by Lawrence Livermore National Laboratory (LLNL) [DE-AC52-07NA27344]; U.S. Department of Energy, Office of Science, Earth and Environmental Systems Sciences Division, Regional and Global Model Analysis Program; LLNL [PLR-1425989]; NOAA Climate and Global Change postdoctoral program; NSF [80NSSC19K1115]; NASA [MR/W013835/1]; UKRI; [B640108]</t>
  </si>
  <si>
    <t>U.S. Department of Energy by Lawrence Livermore National Laboratory (LLNL)(United States Department of Energy (DOE)); U.S. Department of Energy, Office of Science, Earth and Environmental Systems Sciences Division, Regional and Global Model Analysis Program(United States Department of Energy (DOE)); LLNL; NOAA Climate and Global Change postdoctoral program(National Oceanic Atmospheric Admin (NOAA) - USA); NSF(National Science Foundation (NSF)); NASA(National Aeronautics &amp; Space Administration (NASA)); UKRI(UK Research &amp; Innovation (UKRI));</t>
  </si>
  <si>
    <t>This work was performed under the auspices of the U.S. Department of Energy by Lawrence Livermore National Laboratory (LLNL) under Contract DE-AC52-07NA27344. It is a contribution to the science portfolio of the U.S. Department of Energy, Office of Science, Earth and Environmental Systems Sciences Division, Regional and Global Model Analysis Program. Jan-Erik Tesdal and Graeme A. MacGilchrist acknowledge funding from LLNL under Subcontract no. B640108. Rebecca L. Beadling was funded by the NOAA Climate and Global Change postdoctoral program. Graeme A. MacGilchrist was additionally supported by funds from NSF (PLR-1425989), NASA (80NSSC19K1115), and UKRI (MR/W013835/1). The work of Paul J. Durack is supported by the U.S. Department of Energy, Office of Science, Earth and Environmental Systems Sciences Division, Regional and Global Model Analysis Program. LLNL Release Number: LLNL-JNRL-836389. Data analysis relied on the Python programming language (), in particular the packages xarray (), pandas (), and xgcm (). The authors thank the FAFMIP team for production of the wind stress perturbation fields. The authors are grateful for very helpful comments and suggestions by John Dunne, Liping Zhang, and Raphael Dussin at NOAA's Geophysical Fluid Dynamics Laboratory, as well as from two anonymous reviewers. The computational resources that allowed for the analysis presented in this manuscript sit on the ancient homeland and traditional territory of the Lenape people. The authors pay respect to Lenape peoples past, present, and future and their continuing presence in the homeland and throughout the Lenape diaspora.</t>
  </si>
  <si>
    <t>e2022JC019105</t>
  </si>
  <si>
    <t>10.1029/2022JC019105</t>
  </si>
  <si>
    <t>9M9MA</t>
  </si>
  <si>
    <t>WOS:000942544000001</t>
  </si>
  <si>
    <t>Doran, PT; Myers, KF; Mckay, CP; Bromwich, DH</t>
  </si>
  <si>
    <t>Doran, Peter T. T.; Myers, Krista F. F.; Mckay, Christopher P. P.; Bromwich, David H. H.</t>
  </si>
  <si>
    <t>Extreme cold (-69.1°C) in the McMurdo Dry Valleys</t>
  </si>
  <si>
    <t>climate; extreme; meteorology; temperature; weather</t>
  </si>
  <si>
    <t>[Doran, Peter T. T.; Myers, Krista F. F.] Louisiana State Univ, Geol &amp; Geophys, Baton Rouge, LA 70803 USA; [Mckay, Christopher P. P.] NASA, Ames Res Ctr, Space Sci Div, Moffett Field, CA 94035 USA; [Bromwich, David H. H.] Ohio State Univ, Byrd Polar &amp; Climate Res Ctr, Columbus, OH 43210 USA</t>
  </si>
  <si>
    <t>Louisiana State University System; Louisiana State University; National Aeronautics &amp; Space Administration (NASA); NASA Ames Research Center; University System of Ohio; Ohio State University</t>
  </si>
  <si>
    <t>Doran, PT (corresponding author), Louisiana State Univ, Geol &amp; Geophys, Baton Rouge, LA 70803 USA.</t>
  </si>
  <si>
    <t>pdoran@lsu.edu</t>
  </si>
  <si>
    <t>PII S0954102022000451</t>
  </si>
  <si>
    <t>10.1017/S0954102022000451</t>
  </si>
  <si>
    <t>WOS:000941055900001</t>
  </si>
  <si>
    <t>Berthier, E; Floriciou, D; Gardner, AS; Gourmelen, N; Jakob, L; Paul, F; Treichler, D; Wouters, B; Belart, JMC; Dehecq, A; Dussaillant, I; Hugonnet, R; Kääb, A; Krieger, L; Pálsson, F; Zemp, M</t>
  </si>
  <si>
    <t>Berthier, Etienne; Floriciou, Dana; Gardner, Alex S.; Gourmelen, Noel; Jakob, Livia; Paul, Frank; Treichler, Desiree; Wouters, Bert; Belart, Joaquin M. C.; Dehecq, Amaury; Dussaillant, Ines; Hugonnet, Romain; Kaab, Andreas; Krieger, Lukas; Palsson, Finnur; Zemp, Michael</t>
  </si>
  <si>
    <t>Measuring glacier mass changes from space-a review</t>
  </si>
  <si>
    <t>REPORTS ON PROGRESS IN PHYSICS</t>
  </si>
  <si>
    <t>altimetry; gravimetry; satellite; sea-level rise; glacier; stereo-images; SAR interferometry</t>
  </si>
  <si>
    <t>SEA-LEVEL RISE; DIGITAL ELEVATION MODELS; VOLUME-CHANGE ESTIMATION; GREENLAND ICE-SHEET; HIGH-MOUNTAIN ASIA; TANDEM-X; SURFACE ELEVATION; LASER-ALTIMETRY; HEXAGON KH-9; GEODETIC GLACIER</t>
  </si>
  <si>
    <t>Glaciers distinct from the Greenland and Antarctic ice sheets are currently losing mass rapidly with direct and severe impacts on the habitability of some regions on Earth as glacier meltwater contributes to sea-level rise and alters regional water resources in arid regions. In this review, we present the different techniques developed during the last two decades to measure glacier mass change from space: digital elevation model (DEM) differencing from stereo-imagery and synthetic aperture radar interferometry, laser and radar altimetry and space gravimetry. We illustrate their respective strengths and weaknesses to survey the mass change of a large Arctic ice body, the Vatnajokull Ice Cap (Iceland) and for the steep glaciers of the Everest area (Himalaya). For entire regions, mass change estimates sometimes disagree when a similar technique is applied by different research groups. At global scale, these discrepancies result in mass change estimates varying by 20%-30%. Our review confirms the need for more thorough inter-comparison studies to understand the origin of these differences and to better constrain regional to global glacier mass changes and, ultimately, past and future glacier contribution to sea-level rise.</t>
  </si>
  <si>
    <t>[Berthier, Etienne; Hugonnet, Romain] Univ Toulouse, LEGOS, CNES, CNRS,IRD,UPS, Toulouse, France; [Floriciou, Dana; Krieger, Lukas] German Aerosp Ctr DLR, Remote Sensing Technol Inst IMF, Oberpfaffenhofen, Germany; [Gardner, Alex S.] CALTECH, Jet Prop Lab, Pasadena, CA USA; [Gourmelen, Noel] Univ Edinburgh, Sch Geosci, Edinburgh EH8 9XP, Scotland; [Gourmelen, Noel; Jakob, Livia] Earthwave Ltd, Edinburgh EH1 2EL, Scotland; [Gourmelen, Noel] Univ Strasbourg, IPGS UMR 7516, CNRS, F-67000 Strasbourg, France; [Paul, Frank; Dussaillant, Ines; Zemp, Michael] Univ Zurich, Dept Geog, Zurich, Switzerland; [Treichler, Desiree; Kaab, Andreas] Univ Oslo, Dept Geosci, Oslo, Norway; [Wouters, Bert] Univ Utrecht, Inst Marine &amp; Atmospher Res, Dept Phys, Utrecht, Netherlands; [Wouters, Bert] Delft Univ Technol, Dept Geosci &amp; Remote Sensing, Delft, Netherlands; [Belart, Joaquin M. C.] Natl Land Survey Iceland, Stillholt 16 18, IS-300 Akranes, Iceland; [Belart, Joaquin M. C.; Palsson, Finnur] Univ Iceland, Inst Earth Sci, Reykjavik, Iceland; [Dehecq, Amaury] Univ Grenoble Alpes, CNRS, INRAE, IRD,Grenoble INP,IGE, Grenoble, France; [Hugonnet, Romain] Swiss Fed Inst Technol, Lab Hydraul Hydrol &amp; Glaciol VAW, Zurich, Switzerland; [Hugonnet, Romain] Swiss Fed Inst Forest, Snow &amp; Landscape Res WSL, Birmensdorf, Switzerland</t>
  </si>
  <si>
    <t>Universite de Toulouse; Universite Toulouse III - Paul Sabatier; Centre National de la Recherche Scientifique (CNRS); Institut de Recherche pour le Developpement (IRD); Laboratoire d'Etudes en Geophysique et oceanographie spatiales; Helmholtz Association; German Aerospace Centre (DLR); National Aeronautics &amp; Space Administration (NASA); NASA Jet Propulsion Laboratory (JPL); California Institute of Technology; University of Edinburgh; Centre National de la Recherche Scientifique (CNRS); CNRS - National Institute for Earth Sciences &amp; Astronomy (INSU); Universites de Strasbourg Etablissements Associes; Universite de Strasbourg; University of Zurich; University of Oslo; Utrecht University; Delft University of Technology; University of Iceland; Institut de Recherche pour le Developpement (IRD); Communaute Universite Grenoble Alpes; Universite Grenoble Alpes (UGA); INRAE; Centre National de la Recherche Scientifique (CNRS); Institut National Polytechnique de Grenoble; Swiss Federal Institutes of Technology Domain; ETH Zurich; Swiss Federal Institutes of Technology Domain; Swiss Federal Institute for Forest, Snow &amp; Landscape Research</t>
  </si>
  <si>
    <t>Berthier, E (corresponding author), Univ Toulouse, LEGOS, CNES, CNRS,IRD,UPS, Toulouse, France.</t>
  </si>
  <si>
    <t>etienne.berthier@legos.obs-mip.fr</t>
  </si>
  <si>
    <t>Berthier, Etienne/B-8900-2009; Hugonnet, Romain/JYP-3465-2024; Wouters, Bert/A-5301-2017</t>
  </si>
  <si>
    <t>Berthier, Etienne/0000-0001-5978-9155; Hugonnet, Romain/0000-0002-0955-1306; Jakob, Livia/0000-0001-5289-5932; Wouters, Bert/0000-0002-1086-2435; Treichler, Desiree/0000-0002-2758-9885; Krieger, Lukas/0000-0002-2464-3102; Floricioiu, Dana/0000-0002-1647-7191; Palsson, Finnur/0000-0002-0874-6443</t>
  </si>
  <si>
    <t>ESA [4000127593/19/I-NB]; ESA Harmony [4000135083/21/NL/FF/ab]; Research Council of Norway [325519]; European Space Agency [4000107394/12/I-NB, 4000116874/16/I-NB, 4000114224/15/I-SBo, 4000128095/19/I-DT, 4000138018/22/I-DT]; NWO VIDI Grant [016.Vidi.171.063]; DLR project 'Polar Monitor'; NASA</t>
  </si>
  <si>
    <t>ESA(European Space Agency); ESA Harmony; Research Council of Norway(Research Council of Norway); European Space Agency(European Space Agency); NWO VIDI Grant(Netherlands Organization for Scientific Research (NWO)); DLR project 'Polar Monitor'; NASA(National Aeronautics &amp; Space Administration (NASA))</t>
  </si>
  <si>
    <t>We dedicate this article to our colleague Jeremie Mouginot (CNRS Glaciologist at IGE, Grenoble), who left us in September 2022, far too early. Anny Cazenave and Jerome Benveniste stimulated us to write this review. We also thank Maud Bernat and Jerome Lebreton for commenting on an earlier version of the manuscript. Comments by two anonymous referees contributed to improve the article. Etienne Berthier acknowledges support from the France Space Agency (CNES) through the TOSCA and Pleiades Glacier Observatory programs. The contribution of Frank Paul, Desiree Treichler and Andreas Kaab was supported by funding from the ESA Project Glaciers_cci+ (4000127593/19/I-NB) and in addition for A.K. ESA Harmony (4000135083/21/NL/FF/ab) and for D.T. Research Council of Norway (SNOWDEPTH, contract 325519). Noel Gourmelen acknowledges support from the European Space Agency for the development and application of CryoSat-2 swath processing via Projects CryoTop (4000107394/12/I-NB), CryoTop Evolution (4000116874/16/I-NB), CS+ Mountain Glaciers (4000114224/15/I-SBo), and CryoTEMPO EOLIS (4000128095/19/I-DT). Bert Wouters was funded by NWO VIDI Grant 016.Vidi.171.063. Dana Floricioiu and Lukas Krieger were supported by the DLR project 'Polar Monitor'. Alex Gardner and Amaury Dehecq were funded by NASA's Cryospheric Sciences and MEaSUReS Programs. This is a contribution of the RAGMAC (Regional Assessments of Glacier Mass Change) working group of the International Association of Cryospheric Sciences, and of the Glacier Mass Balance Intercomparison Exercise (GlaMBIE) project of the European Space Agency (4000138018/22/I-DT).</t>
  </si>
  <si>
    <t>0034-4885</t>
  </si>
  <si>
    <t>1361-6633</t>
  </si>
  <si>
    <t>REP PROG PHYS</t>
  </si>
  <si>
    <t>Rep. Prog. Phys.</t>
  </si>
  <si>
    <t>10.1088/1361-6633/acaf8e</t>
  </si>
  <si>
    <t>8T5BW</t>
  </si>
  <si>
    <t>WOS:000929278200001</t>
  </si>
  <si>
    <t>Watanabe, H; Shiomi, K; Sato, K; Takahashi, A; Handrich, Y; Bost, CA</t>
  </si>
  <si>
    <t>Watanabe, Hina; Shiomi, Kozue; Sato, Katsufumi; Takahashi, Akinori; Handrich, Yves; Bost, Charles-Andre</t>
  </si>
  <si>
    <t>King penguins adjust their fine-scale travelling and foraging behaviours to spatial and diel changes in feeding opportunities</t>
  </si>
  <si>
    <t>Seabirds; Penguins; Dive path; Optimal foraging; Movements; Diel vertical migration; Bio-logging</t>
  </si>
  <si>
    <t>VERTICAL MIGRATION; APTENODYTES-PATAGONICUS; DIVING BEHAVIOR; PREY; STRATEGIES; SUMMER; PREDATORS; PATTERNS; HABITAT; IMPACT</t>
  </si>
  <si>
    <t>Central place foragers such as pelagic seabirds often travel large distances to reach profitable foraging areas. King penguins (Aptenodytes patagonicus) are well known for their large-scale foraging movements to the productive Antarctic Polar Front, though their fine-scale travelling and foraging characteristics remain unclear. Here, we investigated the horizontal movements and foraging patterns of king penguins to understand their fine-scale movement decisions during distant foraging trips. We attached multi-channel data loggers that can record depth, speed, tri-axis acceleration, tri-axis magnetism, and environmental temperature of the penguins and obtained data (n = 8 birds) on their horizontal movement rates from reconstructed dive paths and their feeding attempts estimated from rapid changes in swim speed. During transit toward main foraging areas, penguins increased the time spent on shallow travelling dives (&lt; 50 m) at night and around midday, and increased the time spent on deep foraging dives (&gt;= 50 m) during crepuscular hours. The horizontal movement rates during deep dives were negatively correlated with maximum dive depths, suggesting that foraging at greater depths is associated with a decreased horizontal travelling speed. Penguins concentrated their foraging efforts (more deep dives and higher rates of feeding attempts) at twilight during transit, when prey may be more accessible due to diel vertical migration, while they travelled rapidly at night and midday when prey may be difficult to detect and access. Such behavioural adjustments correspond to a movement strategy adopted by avian deep divers to travel long distances while feeding on prey exhibiting diel vertical migration.</t>
  </si>
  <si>
    <t>[Watanabe, Hina; Takahashi, Akinori] Grad Univ Adv Studies SOKENDAI, Dept Polar Sci, 10-3 Midori Cho, Tachikawa, Tokyo 1908518, Japan; [Shiomi, Kozue] Tohoku Univ, Frontier Res Inst Interdisciplinary Sci, 6-3 Aoba,Aramaki Aza,Aoba Ku, Sendai, Miyagi 9808578, Japan; [Sato, Katsufumi] Univ Tokyo, Atmosphere &amp; Ocean Res Inst, 5-1-5 Kashiwanoha, Kashiwa, Chiba 2778564, Japan; [Takahashi, Akinori] Natl Inst Polar Res, 10-3 Midori Cho, Tachikawa, Tokyo 1908518, Japan; [Handrich, Yves] Univ Strasbourg, CNRS, IPHC, UMR 7178, F-67000 Strasbourg, France; [Bost, Charles-Andre] Univ Rochelle, Ctr Etud Biol Chize, CNRS, UMR 7372, F-79360 Villiers En Bois, France</t>
  </si>
  <si>
    <t>Graduate University for Advanced Studies - Japan; Tohoku University; University of Tokyo; Research Organization of Information &amp; Systems (ROIS); National Institute of Polar Research (NIPR) - Japan; Centre National de la Recherche Scientifique (CNRS); CNRS - National Institute of Nuclear and Particle Physics (IN2P3); Universites de Strasbourg Etablissements Associes; Universite de Strasbourg; Centre National de la Recherche Scientifique (CNRS); CNRS - Institute of Ecology &amp; Environment (INEE)</t>
  </si>
  <si>
    <t>Watanabe, H (corresponding author), Grad Univ Adv Studies SOKENDAI, Dept Polar Sci, 10-3 Midori Cho, Tachikawa, Tokyo 1908518, Japan.</t>
  </si>
  <si>
    <t>watanabe.hina@nipr.ac.jp</t>
  </si>
  <si>
    <t>Watanabe, Hina/0000-0002-1294-328X</t>
  </si>
  <si>
    <t>Institut Polaire Francais Paul-Emile Victor (IPEV, programme Oiseaux Plongeurs) [394]; Terres Australes et Antarctiques Francaises administration; Bio-Logging Science at the University of Tokyo (UTBLS); JSPS [20J22632]; Grants-in-Aid for Scientific Research [20J22632, 22K21355] Funding Source: KAKEN</t>
  </si>
  <si>
    <t>Institut Polaire Francais Paul-Emile Victor (IPEV, programme Oiseaux Plongeurs); Terres Australes et Antarctiques Francaises administration; Bio-Logging Science at the University of Tokyo (UTBLS);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</si>
  <si>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study was funded by the Institut Polaire Francais Paul-Emile Victor (IPEV, programme Oiseaux Plongeurs, no. 394, Lead-ership CAB), the Terres Australes et Antarctiques Francaises administration, Bio-Logging Science at the University of Tokyo (UTBLS), and Grant-in-Aid for JSPS Research Fellow (Grant number 20J22632, HW).</t>
  </si>
  <si>
    <t>10.1007/s00227-022-04170-4</t>
  </si>
  <si>
    <t>8J3ZH</t>
  </si>
  <si>
    <t>WOS:000922357200005</t>
  </si>
  <si>
    <t>Heiser, S; Shilling, AJ; Amsler, CD; McClintock, JB; Baker, BJ</t>
  </si>
  <si>
    <t>Heiser, Sabrina; Shilling, Andrew J.; Amsler, Charles D.; McClintock, James B.; Baker, Bill J.</t>
  </si>
  <si>
    <t>To change or not to change: drivers of defensive secondary metabolite distribution in the red macroalga Plocamium sp.</t>
  </si>
  <si>
    <t>Chemogroup; Phenotypic diversity; Chemical ecology; Environment; Seaweed; Rhodophyta</t>
  </si>
  <si>
    <t>CHEMICAL DEFENSE; POLYHALOGENATED MONOTERPENES; SPATIAL VARIABILITY; SUBTIDAL MACROALGAE; TEMPORAL VARIATION; GENETIC-STRUCTURE; ALGA; DIVERSITY; AMPHIPOD; PALATABILITY</t>
  </si>
  <si>
    <t>Understanding the spatial distribution of intraspecific variation, like defense phenotypes of sessile organisms, is important for identifying drivers of ecosystem structure. Secondary metabolites are produced as chemical defenses and organisms may have varying types and concentrations of different metabolites (i.e., chemogroups). In a small study area, the Antarctic red macroalga Plocamium sp. produced 15 chemogroups. Plocamium sp. plays an integral role in the ecosystem by supporting numerous mesograzers, providing them protection from predation. None of these grazers, other than the amphipod Paradexamine fissicauda, are known to consume their host. However, P. fissicauda feeding rates differ among Plocamium sp. chemogroups and they carry fewer embryos when maintained on a subset of chemogroups. We collected Plocamium sp. along transects between 5 and 29 m depth at sites near Anvers Island (64 degrees 46.5MODIFIER LETTER PRIME S, 64 degrees 03.3MODIFIER LETTER PRIME W) in 2017 and 2018 to examine previously documented site-specificity in chemogroup distribution. We confirmed that chemogroup assemblages differed significantly among sites. Chemogroups vary among depths within sites, but not laterally among transects. A yearlong reciprocal transplant experiment revealed very few changes in chemogroup expression, suggesting that the environment cannot change the chemogroup produced by a thallus. The few changes which occurred were mainly among chemogroups with the same two major compounds but differing in their relative quantities. Hence, the distribution of chemogroups is likely driven by the selection of beneficial genotypes and gene flow. As chemical defenses can have profound effects on the presence of other species, it is important to determine what drives their spatial distribution.</t>
  </si>
  <si>
    <t>[Heiser, Sabrina; Amsler, Charles D.; McClintock, James B.] Univ Alabama Birmingham, Dept Biol, 1300 Univ Blvd, Birmingham, AL 35233 USA; [Heiser, Sabrina] Univ Texas Austin, Marine Sci Inst, 750 Channel View Dr, Port Aransas, TX 78373 USA; [Shilling, Andrew J.; Baker, Bill J.] Univ S Florida, Dept Chem, 4202 E Fowler Ave, Tampa, FL 33620 USA</t>
  </si>
  <si>
    <t>University of Alabama System; University of Alabama Birmingham; University of Texas System; University of Texas Austin; State University System of Florida; University of South Florida</t>
  </si>
  <si>
    <t>Heiser, S (corresponding author), Univ Alabama Birmingham, Dept Biol, 1300 Univ Blvd, Birmingham, AL 35233 USA.;Heiser, S (corresponding author), Univ Texas Austin, Marine Sci Inst, 750 Channel View Dr, Port Aransas, TX 78373 USA.</t>
  </si>
  <si>
    <t>heiser@uab.edu</t>
  </si>
  <si>
    <t>Baker, Bill/N-4312-2019; Heiser, Sabrina/HJH-9098-2023</t>
  </si>
  <si>
    <t>Heiser, Sabrina/0000-0003-3307-3233</t>
  </si>
  <si>
    <t>10.1007/s00227-023-04173-9</t>
  </si>
  <si>
    <t>8J7WG</t>
  </si>
  <si>
    <t>WOS:000922621800001</t>
  </si>
  <si>
    <t>Simpson, NP; Simpson, KJ; Ferreira, AT; Constable, A; Glavovic, B; Eriksen, SEH; Ley, D; Solecki, W; Rodríguez, RS; Stringer, LC</t>
  </si>
  <si>
    <t>Climate-resilient development planning for cities: progress from Cape Town</t>
  </si>
  <si>
    <t>Priorities and programmes in the City of Cape Town's Integrated Development Plan (2022-2027) demonstrate progress towards operationalising local level planning for climate-resilient development. These developments provide lessons of process and focus on transformative outcomes for cities seeking equitable and just development while implementing climate change adaptation and mitigation.</t>
  </si>
  <si>
    <t>[Simpson, Nicholas P.] Univ Cape Town, African Climate &amp; Dev Initiat, Cape Town, South Africa; [Simpson, Kayleen Jeanne; Ferreira, Albert T.] Strateg Policy Branch, Future Planning &amp; Resilience, Cape Town, South Africa; [Constable, Andrew] Australian Antarctic Div, Commonwealth Dept Agr Water &amp; Environm, Kingston, ACT, Australia; [Glavovic, Bruce] Massey Univ, Sch People Environm &amp; Planning, Palmerston North, New Zealand; [Eriksen, Siri Ellen Hallstrom] Norwegian Univ Life Sci, Dept Publ Hlth Sci, Oslo, Norway; [Ley, Debora] United Nations Econ Commiss Latin Amer &amp; Caribbean, Energy &amp; Nat Resources, Mexico City, Mexico; [Solecki, William] CUNY, Hunter Coll, Dept Geog, New York, NY USA; [Rodriguez, Roberto Sanchez] El Colegio Frontera Norte, Gobierno Mexico, Tijuana, Mexico; [Stringer, Lindsay C.] Univ York, Dept Environm &amp; Geog, York, England</t>
  </si>
  <si>
    <t>Simpson, Nicholas Philip/AAC-4578-2022; Glavovic, Bruce/AAM-2684-2021</t>
  </si>
  <si>
    <t>Simpson, Nicholas Philip/0000-0002-9041-982X; Solecki, William/0000-0003-1256-4738; Glavovic, Bruce/0000-0001-5235-1425</t>
  </si>
  <si>
    <t>UK Government's Foreign, Commonwealth &amp; Development Office; International Development Research Centre, Ottawa, Canada [109419001]; NMBU Sustainability arena TOWARDS Sustainable Cities and Communities [1211130202D]</t>
  </si>
  <si>
    <t>UK Government's Foreign, Commonwealth &amp; Development Office; International Development Research Centre, Ottawa, Canada(International Development Research Centre - IDRC); NMBU Sustainability arena TOWARDS Sustainable Cities and Communities</t>
  </si>
  <si>
    <t>NPS received financial support from the UK Government's Foreign, Commonwealth &amp; Development Office and the International Development Research Centre, Ottawa, Canada (grant number 109419-001). SEHE received financial support NMBU Sustainability arena TOWARDS Sustainable Cities and Communities (project number 1211130202D).</t>
  </si>
  <si>
    <t>FEB 28</t>
  </si>
  <si>
    <t>10.1038/s42949-023-00089-x</t>
  </si>
  <si>
    <t>I0SO3</t>
  </si>
  <si>
    <t>WOS:000999963200002</t>
  </si>
  <si>
    <t>Lin, Y; Yang, Q; Shi, Q; Nakayama, Y; Chen, D</t>
  </si>
  <si>
    <t>Lin, Y.; Yang, Q.; Shi, Q.; Nakayama, Y.; Chen, D.</t>
  </si>
  <si>
    <t>A Volume-Conserved Approach to Estimating Sea-Ice Production in Antarctic Polynyas</t>
  </si>
  <si>
    <t>HEAT-FLUX; VARIABILITY; RETRIEVALS; BUDGET</t>
  </si>
  <si>
    <t>Accurate estimation of sea-ice production (SIP) is crucial to understanding the formation of Antarctic Bottom Water (AABW). Existing SIP estimates depend on the heat-budget method, using atmospheric reanalysis together with satellite-derived sea-ice thickness data, and make an unrealistic assumption of no ocean heat flux occurring below the ice. Here, we propose a new method to estimate SIP based on the sea-ice volume-conservation (VC) theory. This new method can consider cases with sea-ice melting (negative SIP). For a latent-heat polynya-the Ross Sea Polynya-this method captures the synoptic SIP variations affected by warm-water intrusions, including small-scale melting and freezing patterns. Using the new VC approach for a sensible-heat polynya, the Maud Rise Polynya, the sub-sea-ice oceanic heat flux was indirectly estimated, and the sea-ice melting rate induced by warm water uplifted by Ekman pumping was estimated to be 0.15 and 1.44 cm d(-1) for 2016 and 2017, respectively.</t>
  </si>
  <si>
    <t>[Lin, Y.; Yang, Q.; Shi, Q.; Chen, D.] Sun Yat Sen Univ, Sch Atmospher Sci, Southern Marine Sci &amp; Engn Guangdong Lab Zhuhai, Zhuhai, Peoples R China; [Nakayama, Y.] Hokkaido Univ, Inst Low Temp Sci, Sapporo, Japan; [Chen, D.] Minist Nat Resources, Inst Oceanog 2, State Key Lab Satellite Ocean Environm Dynam, Hangzhou, Peoples R China</t>
  </si>
  <si>
    <t>Southern Marine Science &amp; Engineering Guangdong Laboratory; Southern Marine Science &amp; Engineering Guangdong Laboratory (Zhuhai); Sun Yat Sen University; Hokkaido University; Ministry of Natural Resources of the People's Republic of China</t>
  </si>
  <si>
    <t>Shi, Q (corresponding author), Sun Yat Sen Univ, Sch Atmospher Sci, Southern Marine Sci &amp; Engn Guangdong Lab Zhuhai, Zhuhai, Peoples R China.</t>
  </si>
  <si>
    <t>shiq9@mail.sysu.edu.cn</t>
  </si>
  <si>
    <t>Chen, Dake/0000-0002-8193-7158; Shi, Qian/0000-0002-4401-6480</t>
  </si>
  <si>
    <t>National Natural Science Foundation of China [41941009, 42106220, 41922044]; National Key R&amp;D Program of China [2022YFE0106300]; Guangdong Basic and Applied Basic Research Foundation [2020B1515020025]; Fundamental research funds for the Norges Forskningsrad [328886]; Japanese Ministry of Education, Culture, Sports, Science, and Technology [21K13989]</t>
  </si>
  <si>
    <t>National Natural Science Foundation of China(National Natural Science Foundation of China (NSFC)); National Key R&amp;D Program of China; Guangdong Basic and Applied Basic Research Foundation; Fundamental research funds for the Norges Forskningsrad(Research Council of Norway); Japanese Ministry of Education, Culture, Sports, Science, and Technology(Ministry of Education, Culture, Sports, Science and Technology, Japan (MEXT))</t>
  </si>
  <si>
    <t>This study is supported by the National Natural Science Foundation of China (No. 41941009, 42106220, and 41922044), the National Key R&amp; D Program of China (No. 2022YFE0106300), the Guangdong Basic and Applied Basic Research Foundation (No. 2020B1515020025), and the fundamental research funds for the Norges Forskningsrad. (No. 328886). Y.N. received support from the Grants-in-Aid for Scientific Research (21K13989) of the Japanese Ministry of Education, Culture, Sports, Science, and Technology.</t>
  </si>
  <si>
    <t>e2022GL101859</t>
  </si>
  <si>
    <t>10.1029/2022GL101859</t>
  </si>
  <si>
    <t>9X1YT</t>
  </si>
  <si>
    <t>WOS:000949570500001</t>
  </si>
  <si>
    <t>Lu, JP; Lou, SJ; Huang, X; Xue, L; Ding, K; Liu, TY; Ma, Y; Wang, WK; Ding, AJ</t>
  </si>
  <si>
    <t>Lu, Jinpeng; Lou, Sijia; Huang, Xin; Xue, Lian; Ding, Ke; Liu, Tengyu; Ma, Yue; Wang, Wuke; Ding, Aijun</t>
  </si>
  <si>
    <t>Stratospheric Aerosol and Ozone Responses to the Hunga Tonga-Hunga Ha'apai Volcanic Eruption</t>
  </si>
  <si>
    <t>volcanic sulfate; Brewer-Dobson circulation; heterogeneous chemistry; stratospheric ozone; polar ozone depletion</t>
  </si>
  <si>
    <t>DEPLETION; MODEL; IMPACT; SIMULATION; RETRIEVAL; SULFATE; TEMPERATURE; DYNAMICS; NORTHERN; VERSION</t>
  </si>
  <si>
    <t>The Hunga Tonga-Hunga Ha'apai (HTHH) eruption on 15 January 2022 was one of the most explosive volcanic events of the 21st century so far. According to satellite-based measurements, 0.4 Tg of sulfur dioxide (SO2) was injected into the stratosphere during the eruption. By using observations and model simulations, here we investigate changes in the chemical compositions of the stratosphere 1 year after the HTHH eruption and examine the key physical and chemical processes that influence the ozone (O-3) concentrations. Injected SO2 was oxidized into sulfate during the first 2 months, and transported from the tropics to the Antarctic by the Brewer-Dobson circulation within 1 year. In mid-to-low latitudes, enhanced sulfate aerosol increased O-3 concentrations in the middle stratosphere but declined in the lower stratosphere. In addition to the chemical processes, sulfate aerosols also reduced polar low-stratospheric O-3 concentrations through enhanced Antarctic upwelling anomalies.</t>
  </si>
  <si>
    <t>[Lu, Jinpeng; Lou, Sijia; Huang, Xin; Xue, Lian; Ding, Ke; Liu, Tengyu; Ma, Yue; Ding, Aijun] Nanjing Univ, Sch Atmospher Sci, Nanjing, Peoples R China; [Lu, Jinpeng; Lou, Sijia; Huang, Xin; Xue, Lian; Ding, Ke; Liu, Tengyu; Ma, Yue; Ding, Aijun] Collaborat Innovat Ctr Climate Change, Nanjing, Peoples R China; [Lou, Sijia; Huang, Xin; Xue, Lian; Ding, Ke; Ding, Aijun] Nanjing Univ, Frontiers Sci Ctr Crit Earth Mat Cycling, Nanjing, Peoples R China; [Wang, Wuke] China Univ Geosci, Dept Atmospher Sci, Wuhan, Peoples R China</t>
  </si>
  <si>
    <t>Nanjing University; Nanjing University; China University of Geosciences</t>
  </si>
  <si>
    <t>Lou, SJ (corresponding author), Nanjing Univ, Sch Atmospher Sci, Nanjing, Peoples R China.;Lou, SJ (corresponding author), Collaborat Innovat Ctr Climate Change, Nanjing, Peoples R China.;Lou, SJ (corresponding author), Nanjing Univ, Frontiers Sci Ctr Crit Earth Mat Cycling, Nanjing, Peoples R China.</t>
  </si>
  <si>
    <t>lousijia@nju.edu.cn</t>
  </si>
  <si>
    <t>Ding, Aijun/D-1610-2009; Liu, Tengyu/F-4686-2015</t>
  </si>
  <si>
    <t>Ding, Aijun/0000-0003-4481-5386; Wang, Wuke/0000-0002-9844-9206; , Sijia/0000-0002-9958-8494; Lu, Jinpeng/0000-0002-0581-2337; Ma, Yue/0000-0002-6174-2484; Liu, Tengyu/0000-0002-3137-5898</t>
  </si>
  <si>
    <t>National Natural Science Foundation of China [41922038]; Fundamental Research Funds for the Central Universities [14380187, 14380190]; Strategic consulting project of Chinese Academy of Sciences</t>
  </si>
  <si>
    <t>National Natural Science Foundation of China(National Natural Science Foundation of China (NSFC)); Fundamental Research Funds for the Central Universities(Fundamental Research Funds for the Central Universities); Strategic consulting project of Chinese Academy of Sciences</t>
  </si>
  <si>
    <t>This work was supported by the National Natural Science Foundation of China (41922038), the Fundamental Research Funds for the Central Universities (14380187, 14380190), and the Strategic consulting project of Chinese Academy of Sciences. We are also grateful to the High-Performance Computing (HPC) at Nanjing University for doing the numerical calculations for this study on its Blade cluster system.</t>
  </si>
  <si>
    <t>e2022GL102315</t>
  </si>
  <si>
    <t>10.1029/2022GL102315</t>
  </si>
  <si>
    <t>9X2ES</t>
  </si>
  <si>
    <t>WOS:000949586300001</t>
  </si>
  <si>
    <t>Salim, SN; Adhikari, A; Menon, HB; Kumar, NVPK; Kunjukrishnapillai, R</t>
  </si>
  <si>
    <t>Salim, Shaikh Neha; Adhikari, Arjun; Menon, Harilal B.; Kumar, N. V. P. Kiran; Kunjukrishnapillai, Rajeev</t>
  </si>
  <si>
    <t>Thermodynamic characteristics of marine atmospheric boundary layer across frontal regions of the Indian Ocean Sector of the Southern Ocean based on three field campaigns</t>
  </si>
  <si>
    <t>ATMOSPHERIC RESEARCH</t>
  </si>
  <si>
    <t>Thermodynamic stability; Clouds; Inversions; Low-level atmospheric process; Conserved variable analysis</t>
  </si>
  <si>
    <t>SEA-SURFACE TEMPERATURE; ANTARCTIC CIRCUMPOLAR CURRENT; STRATOCUMULUS CLOUDS; WATER MASSES; PART I; CLIMATE; PRECIPITATION; CIRCULATION; MODEL; DYNAMICS</t>
  </si>
  <si>
    <t>The Southern Ocean (SO) marine atmospheric boundary layer (MABL), regulated by continuous air-sea ex-changes, plays a key role in transporting exchanges between tropics and poles. Among SO sectors, the Indian Ocean sector of SO (ISSO) remained least explored in terms of MABL characterization and is examined in this study. In ISSO, occurrence of sharp oceanic thermohaline fronts regulates the vertical thermodynamic structure of MABL, clouds, and inversions. In this study, these properties of ISSO MABL are investigated over three oceanic domains (Sub-Tropical Indian Ocean (STIO), ISSO, and High-Latitude SO (HLSO)). To achieve this, near-sea surface air-sea exchanges along with profiles of meteorological parameters generated between 25 degrees S and 68 degrees S and 57 degrees E to78 degrees E during three field campaigns conducted in the austral summers of 2017, 2018, and 2020 were utilized. Results showed strong SST-Tair variability across the study region. In STIO, positive SST-Tair indicated Low-Level Cold Air Advection (LLCAA)-induced destabilized and coupled MABLs capped by multiple inversions (&gt;3INV's of strength-0.35 K m-1 above-1200 m) and thin mid/high-altitudes clouds (cloud-base-830 m, cloud-top-2309 m, and cloud-thickness-758 m). Over ISSO and northern HLSO, weak and negative SST-Tair indicated Low-Level Warm Air Advection (LLWAA)-induced stratified and decoupled MABLs. Aided by advective mixing of multiple air-masses, low-level thick multilayered clouds (&gt;2 layers, average cloud-base-604 m, cloud -top-2288 m, and cloud-thickness-1314 m) and multiple strong high-level inversions (&gt;2INV's, strength&gt;0.4 K m-1 ,-1836 m) was observed. In HLSO, weakly positive SST-Tair indicated LLCAA-induced weakly destabilized MABLs capped by mid-altitude inversions (strength-0.22 K m-1,-1632 m) and mid-altitude clouds (cloud -base-979 m, cloud-top-2465 m, and cloud-thickness-1263 m) supported by sublimation leading to virga conditions.</t>
  </si>
  <si>
    <t>[Salim, Shaikh Neha; Adhikari, Arjun; Menon, Harilal B.] Goa Univ, Remote Sensing Lab, Taleigao 403206, Goa, India; [Salim, Shaikh Neha; Adhikari, Arjun; Menon, Harilal B.] Goa Univ, Sch Earth Ocean &amp; Atmospher Sci, Taleigao 403206, Goa, India; [Kumar, N. V. P. Kiran; Kunjukrishnapillai, Rajeev] Indian Space Res Org, Space Phys Lab, Vikram Sarabhai Space Ctr, Thiruvananthapuram 695022, India</t>
  </si>
  <si>
    <t>Goa University; Goa University; Department of Space (DoS), Government of India; Indian Space Research Organisation (ISRO); Vikram Sarabhai Space Center (VSSC)</t>
  </si>
  <si>
    <t>Menon, HB (corresponding author), Goa Univ, Remote Sensing Lab, Taleigao 403206, Goa, India.</t>
  </si>
  <si>
    <t>hbmenon@unigoa.ac.in</t>
  </si>
  <si>
    <t>Rajeev, K/AAJ-2135-2020; Shaikh, Neha Salim/HJP-4376-2023</t>
  </si>
  <si>
    <t>Shaikh, Neha Salim/0000-0002-0754-1286</t>
  </si>
  <si>
    <t>Space Physics Laboratory of Vikram Sarabhai Space Centre, ISRO; Goa University, India [A-38 (7)]</t>
  </si>
  <si>
    <t>Space Physics Laboratory of Vikram Sarabhai Space Centre, ISRO; Goa University, India</t>
  </si>
  <si>
    <t>This financial support was given by the Space Physics Laboratory of Vikram Sarabhai Space Centre, ISRO. The grant was received under A-38 (7) by Goa University, India. The authors greatly acknowledge the National Center for Polar and Oceanic Research (NCPOR) of Ministry of Earth Sciences (MoES) for providing the ship to execute campaigns in the ISSO. We duly acknowledge the entire team of officers, crew members, and all scientific personnel for their support in data collection during all campaigns, particularly Dr. Shrivardhan Hulswar (IITM), Ms. Atiba Shaikh (Goa University), Mr. Mohd. Tarique (University of Cambridge), Mr. Satya Chanakya, and Mr. Thamizharasan Sakthivel (IISc) and Dr. Aditya Narayanan (University of Gothenburg).</t>
  </si>
  <si>
    <t>ELSEVIER SCIENCE INC</t>
  </si>
  <si>
    <t>STE 800, 230 PARK AVE, NEW YORK, NY 10169 USA</t>
  </si>
  <si>
    <t>0169-8095</t>
  </si>
  <si>
    <t>1873-2895</t>
  </si>
  <si>
    <t>ATMOS RES</t>
  </si>
  <si>
    <t>Atmos. Res.</t>
  </si>
  <si>
    <t>10.1016/j.atmosres.2023.106678</t>
  </si>
  <si>
    <t>FEB 2023</t>
  </si>
  <si>
    <t>9X3XB</t>
  </si>
  <si>
    <t>WOS:000949704200001</t>
  </si>
  <si>
    <t>Selbesoglu, MO</t>
  </si>
  <si>
    <t>Selbesoglu, Mahmut Oguz</t>
  </si>
  <si>
    <t>Multi- GNSS reflectometry performance evaluation for coastal sea level monitoring: A case study in Antarctic Peninsula</t>
  </si>
  <si>
    <t>GNSS; SNR; Reflectometry; Sustainability; Antarctica; Sea level</t>
  </si>
  <si>
    <t>ACCURACY ANALYSIS</t>
  </si>
  <si>
    <t>Antarctica is a continent that crucial for studying climate change and its progression across time, as well as analyzing and forecasting local and global change. In this environment, due to the challenges caused by sea-level rise, storm surges, and tsunamis, sustainability is a critical concern, particularly for coastal regions. As a result, the long-term observations that will be conducted in Antarctica are critical for monitoring the adverse impacts of climate change. In recent years, many monitoring approaches, both space, and ground-based are performed to monitor sea/ice level trends in space-based scientific investigations conducted in and around the region. In the study, based on one year of observations from the Palmer GNSS Station, the GNSS Reflectometry technique was used to measure the sea level on the Antarctic Peninsula (PALM). GNSS Station observations were analyzed with a Lomb-Scargle periodogram to monitor sea-level changes, and results were validated with data from a co-located tide gauge (TG). The results show that the correlation between GNSS-R sea-level changes and tidal sea-level changes is found as 0.91. (c) 2022 COSPAR. Published by Elsevier B.V. All rights reserved.</t>
  </si>
  <si>
    <t>[Selbesoglu, Mahmut Oguz] Istanbul Tech Univ, Fac Civil Engn, Dept Geomat Engn, TR-34469 Istanbul, Turkiye</t>
  </si>
  <si>
    <t>Istanbul Technical University</t>
  </si>
  <si>
    <t>Selbesoglu, MO (corresponding author), Istanbul Tech Univ, Fac Civil Engn, Dept Geomat Engn, TR-34469 Istanbul, Turkiye.</t>
  </si>
  <si>
    <t>selbesoglu@itu.edu.tr</t>
  </si>
  <si>
    <t>SELBESOĞLU, Mahmut Oğuz/AAJ-2569-2021</t>
  </si>
  <si>
    <t>SELBESOĞLU, Mahmut Oğuz/0000-0002-1132-3978</t>
  </si>
  <si>
    <t>10.1016/j.asr.2022.11.057</t>
  </si>
  <si>
    <t>9X2YJ</t>
  </si>
  <si>
    <t>WOS:000949638900001</t>
  </si>
  <si>
    <t>Woltynska, A; Gawor, J; Olech, MA; Górniak, D; Grzesiak, J</t>
  </si>
  <si>
    <t>Woltynska, Aleksandra; Gawor, Jan; Olech, Maria A.; Gorniak, Dorota; Grzesiak, Jakub</t>
  </si>
  <si>
    <t>Bacterial communities of Antarctic lichens explored by gDNA and cDNA 16S rRNA gene amplicon sequencing</t>
  </si>
  <si>
    <t>bacterial diversity; lichen holobiont; operational taxonomic units; polar regions; targeted metatranscriptomics; Usnea</t>
  </si>
  <si>
    <t>COMPLETE GENOME SEQUENCE; HIMANTORMIA-LUGUBRIS; ALGAL LICHENS; NITROGEN; DIVERSITY; ROOKERY; RAMALIN</t>
  </si>
  <si>
    <t>Recently, lichens came once more into the scientific spotlight due to their unique relations with prokaryotes. Several temperate region lichen species have been thoroughly explored in this regard yet, the information on Antarctic lichens and their associated bacteriobiomes is somewhat lacking. In this paper, we assessed the phylogenetic structure of the whole and active fractions of bacterial communities housed by Antarctic lichens growing in different environmental conditions by targeted 16S rRNA gene amplicon sequencing. Bacterial communities associated with lichens procured from a nitrogen enriched site were very distinct from the communities isolated from lichens of a nitrogen depleted site. The former were characterized by substantial contributions of Bacteroidetes phylum members and the elusive Armatimonadetes. At the nutrient-poor site the lichen-associated bacteriobiome structure was unique for each lichen species, with chlorolichens being occupied largely by Proteobacteria. Lichen species with a pronounced discrepancy in diversity between the whole and active fractions of their bacterial communities had the widest ecological amplitude, hinting that the nonactive part of the community is a reservoir of latent stress coping mechanisms. This is the first investigation to make use of targeted metatranscriptomics to infer the bacterial biodiversity in Antarctic lichens. Habitat location and species-specific features shape the bacterial community structure in Antarctic lichens.</t>
  </si>
  <si>
    <t>[Woltynska, Aleksandra; Gawor, Jan; Grzesiak, Jakub] Polish Acad Sci, Inst Biochem &amp; Biophys, Pawinskiego 5A, PL-02106 Warsaw, Poland; [Olech, Maria A.] Jagiellonian Univ, Inst Bot, Gronostajowa 3, PL-30387 Krakow, Poland; [Gorniak, Dorota] Univ Warmia &amp; Mazury, Dept Microbiol &amp; Mycol, Oczapowskiego 1A, PL-10719 Olsztyn, Poland</t>
  </si>
  <si>
    <t>Polish Academy of Sciences; Institute of Biochemistry &amp; Biophysics - Polish Academy of Sciences; Jagiellonian University; University of Warmia &amp; Mazury</t>
  </si>
  <si>
    <t>Grzesiak, J (corresponding author), Polish Acad Sci, Inst Biochem &amp; Biophys, Pawinskiego 5A, PL-02106 Warsaw, Poland.</t>
  </si>
  <si>
    <t>jgrzesiak@ibb.waw.pl</t>
  </si>
  <si>
    <t>Woltynska, Aleksandra/HZK-8199-2023; Gawor, Jan/ITV-1884-2023; Górniak, Dorota DG/X-8468-2018</t>
  </si>
  <si>
    <t>Woltynska, Aleksandra/0000-0002-7872-6288; Gawor, Jan/0000-0003-3800-2557; Grzesiak, Jakub/0000-0001-5972-2356</t>
  </si>
  <si>
    <t>fiad015</t>
  </si>
  <si>
    <t>10.1093/femsec/fiad015</t>
  </si>
  <si>
    <t>9L4SG</t>
  </si>
  <si>
    <t>WOS:000941539200001</t>
  </si>
  <si>
    <t>Lin, YC; Yang, QH; Mazloeff, M; Wu, XR; Tian-Kunze, X; Kaleschke, L; Yu, LJ; Chen, DK</t>
  </si>
  <si>
    <t>Lin, Yichen; Yang, Qinghua; Mazloeff, Matthew; Wu, Xingren; Tian-Kunze, Xiangshan; Kaleschke, Lars; Yu, Lejiang; Chen, Dake</t>
  </si>
  <si>
    <t>Transiting consolidated ice strongly influenced polynya area during a shrink event in Terra Nova Bay in 2013</t>
  </si>
  <si>
    <t>SEA-ICE; COASTAL POLYNYAS; DYNAMICS; MODEL; VARIABILITY; THICKNESS; CIRCULATION; PERFORMANCE; BEHAVIOR; FLUX</t>
  </si>
  <si>
    <t>Thick transiting ice blocked newly formed sea ice from exiting the Terra Nova Bay polynya during a shrinking event in 2013 and had a stronger influence on polynya area than katabatic winds or air temperature changes, according to an analysis of sea ice and meteorological data. Coastal polynyas in Antarctica are a window of air-sea energy exchange and an important source of Antarctic Bottom Water production. However, the relationship between the polynya area variation and the surrounding marine environment is yet to be fully understood. Here we quantify the influence of the volume of transiting consolidated ice on the Terra Nova Bay Polynya area with ice thickness data. Changes in transiting consolidated ice volume are shown to dominate the evolution and variation of the polynya during a typical polynya shrinking event that occurred between 19 June to 03 July, 2013, rather than katabatic winds or air temperature, which are commonly assumed to be the main drivers. Over the cold seasons from 2013 to 2020, the Terra Nova Bay Polynya area is highly correlated to the transiting consolidated ice volume. We demonstrate that thick transiting ice limits the polynya area by blocking the newly-formed sea ice from leaving.</t>
  </si>
  <si>
    <t>[Lin, Yichen; Yang, Qinghua; Chen, Dake] Sun Yat sen Univ, Sch Atmospher Sci, Zhuhai 519082, Peoples R China; [Lin, Yichen; Yang, Qinghua; Chen, Dake] Southern Marine Sci &amp; Engn Guangdong Lab Zhuhai, Zhuhai 519082, Peoples R China; [Mazloeff, Matthew] Univ Calif San Diego, Scripps Inst Oceanog, San Diego, CA USA; [Wu, Xingren] IMSG EMC, NCEP, NOAA, College Pk, MD 20740 USA; [Tian-Kunze, Xiangshan; Kaleschke, Lars] Alfred Wegener Inst, Helmholtz Ctr Polar &amp; Marine Res, D-27570 Bremerhaven, Germany; [Yu, Lejiang] Polar Res Inst China, MNR Key Lab Polar Sci, Shanghai, Peoples R China</t>
  </si>
  <si>
    <t>Sun Yat Sen University; Southern Marine Science &amp; Engineering Guangdong Laboratory; Southern Marine Science &amp; Engineering Guangdong Laboratory (Zhuhai); University of California System; University of California San Diego; Scripps Institution of Oceanography; National Oceanic Atmospheric Admin (NOAA) - USA; Helmholtz Association; Alfred Wegener Institute, Helmholtz Centre for Polar &amp; Marine Research; Polar Research Institute of China</t>
  </si>
  <si>
    <t>Yang, QH (corresponding author), Sun Yat sen Univ, Sch Atmospher Sci, Zhuhai 519082, Peoples R China.;Yang, QH (corresponding author), Southern Marine Sci &amp; Engn Guangdong Lab Zhuhai, Zhuhai 519082, Peoples R China.</t>
  </si>
  <si>
    <t>Kaleschke, Lars/0000-0001-7086-3299</t>
  </si>
  <si>
    <t>National Natural Science Foundation of China [41941009, 41922044]; Guangdong Basic and Applied Basic Research Foundation [2020B1515020025]; NSF [OCE-1924388, OPP-1936222, OPP-2114454]; NASA [80NSSC22K0387, 80NSSC20K1076]; ONR [N00014-20-1-2772]; ESA [4000i2473l/l8/I-EF]</t>
  </si>
  <si>
    <t>National Natural Science Foundation of China(National Natural Science Foundation of China (NSFC)); Guangdong Basic and Applied Basic Research Foundation; NSF(National Science Foundation (NSF)); NASA(National Aeronautics &amp; Space Administration (NASA)); ONR(Office of Naval Research); ESA(European Space Agency)</t>
  </si>
  <si>
    <t>This study is supported by the National Natural Science Foundation of China (No. 41941009, 41922044), and the Guangdong Basic and Applied Basic Research Foundation (No. 2020B1515020025). M.R. Mazloff acknowledges funding from NSF awards OCE-1924388, OPP-1936222, and OPP-2114454, NASA awards 80NSSC22K0387 and 80NSSC20K1076, and ONR award N00014-20-1-2772. SMOS Sea Ice Thickness data is produced within the framework of SMOS sea ice thickness processing and dissemination service supported by ESA under contract No. 4000i2473l/l8/I-EF. The authors would thank the European Centre for Medium-Range Weather Forecasts for the reanalysis dataset, and the University of Wisconsin for data of AWS.</t>
  </si>
  <si>
    <t>10.1038/s43247-023-00712-w</t>
  </si>
  <si>
    <t>9L0BR</t>
  </si>
  <si>
    <t>WOS:000941223700002</t>
  </si>
  <si>
    <t>Zuev, VV; Savelieva, E</t>
  </si>
  <si>
    <t>Zuev, Vladimir V.; Savelieva, Ekaterina</t>
  </si>
  <si>
    <t>Stratospheric polar vortex dynamics according to the vortex delineation method</t>
  </si>
  <si>
    <t>JOURNAL OF EARTH SYSTEM SCIENCE</t>
  </si>
  <si>
    <t>Stratospheric polar vortices; vortex area; wind speed along the vortex edge; temperature inside the vortex; ozone mass mixing ratio inside the vortex</t>
  </si>
  <si>
    <t>ANTARCTIC OZONE HOLE; DEPLETION; GASES; SPLIT</t>
  </si>
  <si>
    <t>The stratospheric polar vortices play a significant role in stratospheric ozone distribution, air mass movement and temperature changes in the polar and subpolar stratosphere. To characterize the main parameters of the stratospheric polar vortices, in particular, vortex area, wind speed along the vortex edge, average temperature and ozone mass mixing ratio inside the vortex, vortex delineation is necessary. In this work, we use a new method of vortex delineation based on geopotential values determined from the maximum temperature gradient and maximum wind speed, thus, characterizing the polar vortex edges. Using the vortex delineation method based on the ERA5 reanalysis data for 1979-2020, we show a comparative characteristic of the Arctic and Antarctic polar vortices in the lower and middle stratosphere. The average polar vortex area in winter from 1979 to 2020 at the 50 and 10 hPa pressure levels equals 28.6 and 35.3 center dot 10(6) km(2) in the Arctic, and 41.6 and 54.8 center dot 10(6) km(2) in the Antarctic. The average wind speed along the vortex edge in winter at the 50 and 10 hPa pressure levels equals 35.5 and 55.5 m/s in the Arctic, and 52.7 and 79.2 m/s in the Antarctic. The average temperature inside the polar vortex in winter at the 50 and 10 hPa pressure levels equals respectively -69.0 and -61.7 degrees C in the Arctic, and -81.9 and -74.2 degrees C in the Antarctic.</t>
  </si>
  <si>
    <t>[Zuev, Vladimir V.; Savelieva, Ekaterina] Russian Acad Sci, Inst Monitoring Climat &amp; Ecol Syst, Siberian Branch, 10-3,Academichesky Ave, Tomsk 634055, Russia</t>
  </si>
  <si>
    <t>Savelieva, E (corresponding author), Russian Acad Sci, Inst Monitoring Climat &amp; Ecol Syst, Siberian Branch, 10-3,Academichesky Ave, Tomsk 634055, Russia.</t>
  </si>
  <si>
    <t>esav.pv@gmail.com</t>
  </si>
  <si>
    <t>Zuev, Vladimir Vladimirovich/E-5470-2014</t>
  </si>
  <si>
    <t>AcknowledgementThis study was supported by the Russian Science Foundation (project No. 22-27-00002, https://rscf.ru/en/project/22-27-00002).</t>
  </si>
  <si>
    <t>INDIAN ACAD SCIENCES</t>
  </si>
  <si>
    <t>BANGALORE</t>
  </si>
  <si>
    <t>C V RAMAN AVENUE, SADASHIVANAGAR, P B #8005, BANGALORE 560 080, INDIA</t>
  </si>
  <si>
    <t>2347-4327</t>
  </si>
  <si>
    <t>0973-774X</t>
  </si>
  <si>
    <t>J EARTH SYST SCI</t>
  </si>
  <si>
    <t>J. Earth Syst. Sci.</t>
  </si>
  <si>
    <t>10.1007/s12040-023-02060-x</t>
  </si>
  <si>
    <t>Geosciences, Multidisciplinary; Multidisciplinary Sciences</t>
  </si>
  <si>
    <t>Geology; Science &amp; Technology - Other Topics</t>
  </si>
  <si>
    <t>9K8XZ</t>
  </si>
  <si>
    <t>WOS:000941146300002</t>
  </si>
  <si>
    <t>Parra, RRT; Solana, SL; Barros, JS; Paz, CJD</t>
  </si>
  <si>
    <t>Parra, Rafael Ricardo Torres; Solana, Sadid Latandret; Barros, Jhon Salon; Paz, Claudia Janeth Dagua</t>
  </si>
  <si>
    <t>Water masses in the Caribbean Sea and sub-annual variability in the Guajira upwelling region</t>
  </si>
  <si>
    <t>OCEAN DYNAMICS</t>
  </si>
  <si>
    <t>OMP analysis; TEOS-10; Mooring; CTD observations; Coastal upwelling; Steric sea level</t>
  </si>
  <si>
    <t>OPTIMUM MULTIPARAMETER ANALYSIS; INTERANNUAL VARIABILITY; TEMPORAL VARIABILITY; ATLANTIC-OCEAN; SOUTH-AMERICA; CIRCULATION; TRANSPORT; EDDIES; IMPACT; CLIMATE</t>
  </si>
  <si>
    <t>The study of water masses is important as they transport water properties affecting the biosphere and ocean dynamics. In this study, we revisit water masses in the Caribbean Sea using climatology and 11 months of observations at different depths from 3 moorings placed in the Guajira upwelling region, providing some new findings. The Caribbean Surface Water (CSW) seasonal variability is studied at the mixed layer depth. Salinity differences between CSW and the saltier North Atlantic Subtropical Underwater (SUW) determine static stability spatial and temporal variations, with implications for regional ocean dynamics. Besides, we assess the climatologic distribution of water masses below the salinity maximum using the optimum multiparameter analysis and the Thermodynamic Equation of Seawater 2010, defining their source water indices when entering the Caribbean Sea. The SUW, with its core at similar to 150 m depth, occupies 16% of the Caribbean Sea volume, complemented by 38% of Antarctic Intermediate Water, with its core at similar to 700 m depth and North Atlantic Deep Water, which as bottom water occupies 46% of the volume. Hydrographic observations do not differ from climatology, regardless of their large sub-annual variations decreasing with depth. Daily time series of dominant water fractions at different depths correlate at each mooring, indicating a common forcing. Besides, rotated wind stress, which is an indicator of the Guajira upwelling, correlates regularly with water mass fractions down to 700 m depth. However, during strong wind shifts, upwelling seems to affect them down to 1450 m depth.</t>
  </si>
  <si>
    <t>[Parra, Rafael Ricardo Torres] Univ Norte, Dept Fis &amp; Geociencias, Grp Invest Geociencias GEO4, Km 5 Via Puerto Colombia, Barranquilla, Colombia; [Solana, Sadid Latandret; Paz, Claudia Janeth Dagua] Direcc Gen Maritima, Bogota, Colombia; [Barros, Jhon Salon] Univ Norte, Barranquilla, Colombia</t>
  </si>
  <si>
    <t>Universidad del Norte Colombia; Universidad del Norte Colombia</t>
  </si>
  <si>
    <t>Parra, RRT (corresponding author), Univ Norte, Dept Fis &amp; Geociencias, Grp Invest Geociencias GEO4, Km 5 Via Puerto Colombia, Barranquilla, Colombia.</t>
  </si>
  <si>
    <t>rrtorres@uninorte.edu.co; SLatandret@dimar.mil.co; salonj@uninorte.edu.co; cdagua@dimar.mil.co</t>
  </si>
  <si>
    <t>Torres, Rafael/ITW-0271-2023; Torres Parra, Rafael Ricardo/N-9807-2018</t>
  </si>
  <si>
    <t>Latandret Solana, Sadid Augusto/0000-0002-0569-2195; Torres Parra, Rafael Ricardo/0000-0001-9988-7964</t>
  </si>
  <si>
    <t>Colombia Consortium</t>
  </si>
  <si>
    <t>Open Access funding provided by Colombia Consortium</t>
  </si>
  <si>
    <t>1616-7341</t>
  </si>
  <si>
    <t>1616-7228</t>
  </si>
  <si>
    <t>OCEAN DYNAM</t>
  </si>
  <si>
    <t>Ocean Dyn.</t>
  </si>
  <si>
    <t>10.1007/s10236-022-01529-5</t>
  </si>
  <si>
    <t>9K8PD</t>
  </si>
  <si>
    <t>WOS:000940219300001</t>
  </si>
  <si>
    <t>Chánique, AM; Polidori, N; Sovic, L; Kracher, D; Assil-Companioni, L; Galuska, P; Parra, LP; Gruber, K; Kourist, R</t>
  </si>
  <si>
    <t>Chanique, Andrea M.; Polidori, Nakia; Sovic, Lucija; Kracher, Daniel; Assil-Companioni, Leen; Galuska, Philipp; Parra, Loreto P.; Gruber, Karl; Kourist, Robert</t>
  </si>
  <si>
    <t>A Cold-Active Flavin-Dependent Monooxygenase from Janthinobacterium svalbardensis Unlocks Applications of Baeyer-Villiger Monooxygenases at Low Temperature</t>
  </si>
  <si>
    <t>biocatalysis; enantioselectivity; cold-active; Baeyer-Villiger monooxygenase; cofactor promiscuity</t>
  </si>
  <si>
    <t>RECOMBINANT ESCHERICHIA-COLI; CYCLOHEXANONE MONOOXYGENASE; CRYSTAL-STRUCTURE; EPSILON-CAPROLACTONE; OXIDATION; ISOMERASE; COMPLEX; ENZYMES</t>
  </si>
  <si>
    <t>Cold-active enzymes maintain a large part of their optimal activity at low temperatures. Therefore, they can be used to avoid side reactions and preserve heat sensitive compounds. Baeyer-Villiger monooxygenases (BVMO) utilize molecular oxygen as a co-substrate to catalyze reactions widely employed for steroid, agrochemical, antibiotic, and pheromone production. Oxygen has been described as the rate-limiting factor for some BVMO applications, thereby hindering their efficient utilization. Considering that oxygen solubility in water increases by 40% when the temperature is decreased from 30 to 10 degrees C, we set out to identify and characterize a cold-active BVMO. Using genome mining in the Antarctic organism Janthinobacterium svalbardensis, a cold active type II flavin-dependent monooxygenase (FMO) was discovered. The enzyme shows promiscuity toward NADH and NADPH and high activity between 5 and 25 degrees C. The enzyme catalyzes the monooxygenation and sulfoxidation of a wide range of ketones and thioesters. The high enantioselectivity in the oxidation of norcamphor (eeS = 56%, eeP &gt; 99%, E &gt; 200) demonstrates that the generally higher flexibility observed in the active sites of cold-active enzymes, which compensates for the lower motion at cold temperatures, does not necessarily reduce the selectivity of these enzymes. To gain a better understanding of the unique mechanistic features of type II FMOs, we determined the structure of the dimeric enzyme at 2.5 angstrom resolution. While the unusual N-terminal domain has been related to the catalytic properties of type II FMOs, the structure shows a SnoaL-like N-terminal domain that is not interacting directly with the active site. The active site of the enzyme is accessible only through a tunnel, with Tyr-458, Asp-217, and His-216 as catalytic residues, a combination not observed before in FMOs and BVMOs.</t>
  </si>
  <si>
    <t>[Chanique, Andrea M.; Polidori, Nakia; Sovic, Lucija; Kracher, Daniel; Assil-Companioni, Leen; Galuska, Philipp; Gruber, Karl; Kourist, Robert] Graz Univ Technol, NAWI Graz, BioTechMed Graz, Inst Mol Biotechnol, A-8010 Graz, Austria; [Chanique, Andrea M.] Pontificia Univ Catolica Chile, Sch Engn, Dept Chem &amp; Bioproc Engn, Santiago 7810000, Chile; [Assil-Companioni, Leen; Kourist, Robert] ACIB GmbH, A-8010 Graz, Austria; [Parra, Loreto P.] Pontificia Univ Catolica Chile, Sch Engn Med &amp; Biol Sci, Inst Biol &amp; Med Engn, Santiago 7810000, Chile</t>
  </si>
  <si>
    <t>Graz University of Technology; Pontificia Universidad Catolica de Chile; Austrian Centre of Industrial Biotechnology; Pontificia Universidad Catolica de Chile</t>
  </si>
  <si>
    <t>Kourist, R (corresponding author), Graz Univ Technol, NAWI Graz, BioTechMed Graz, Inst Mol Biotechnol, A-8010 Graz, Austria.;Kourist, R (corresponding author), ACIB GmbH, A-8010 Graz, Austria.</t>
  </si>
  <si>
    <t>kourist@tugraz.at</t>
  </si>
  <si>
    <t>Parra, Loreto/D-2593-2014; Kourist, Robert/I-4743-2017; Gruber, Karl/GPP-6706-2022</t>
  </si>
  <si>
    <t>Kourist, Robert/0000-0002-2853-3525; Gruber, Karl/0000-0002-3485-9740; Polidori, Nakia/0000-0003-0361-3091</t>
  </si>
  <si>
    <t>Instituto Antartico Chileno (INACH) [DG _07 _18]; Agencia Nacional de Investigacion y Desarrollo (ANID) , Chile [21171293]; Austrian Science Fund (FWF) [P31001-B29]; Austrian Science Fund (FWF)</t>
  </si>
  <si>
    <t>Instituto Antartico Chileno (INACH); Agencia Nacional de Investigacion y Desarrollo (ANID) , Chile; Austrian Science Fund (FWF)(Austrian Science Fund (FWF)); Austrian Science Fund (FWF)(Austrian Science Fund (FWF))</t>
  </si>
  <si>
    <t>The authors acknowledge financial support from Instituto Antartico Chileno (INACH) (DG _07 _18) , Agencia Nacional de Investigacion y Desarrollo (ANID) , Chile (Doctorado Nacional 2017, 21171293) , and the Austrian Science Fund (FWF, doc46 CATALOX, P31001-B29) . Open Access is funded by the Austrian Science Fund (FWF) .</t>
  </si>
  <si>
    <t>OCT 16</t>
  </si>
  <si>
    <t>10.1021/acscatal.2c05160</t>
  </si>
  <si>
    <t>F6TS6</t>
  </si>
  <si>
    <t>WOS:000939553800001</t>
  </si>
  <si>
    <t>Riccardi, C; Calvanese, M; Ghini, V; Alonso-Vásquez, T; Perrin, E; Turano, P; Giurato, G; Weisz, A; Parrilli, E; Tutino, ML; Fondi, M</t>
  </si>
  <si>
    <t>Riccardi, Christopher; Calvanese, Marzia; Ghini, Veronica; Alonso-Vasquez, Tania; Perrin, Elena; Turano, Paola; Giurato, Giorgio; Weisz, Alessandro; Parrilli, Ermenegilda; Tutino, Maria Luisa; Fondi, Marco</t>
  </si>
  <si>
    <t>Metabolic Robustness to Growth Temperature of a Cold- Adapted Marine Bacterium</t>
  </si>
  <si>
    <t>MSYSTEMS</t>
  </si>
  <si>
    <t>cold-adaptation; genome-scale modeling; metabolomics; transcriptomics</t>
  </si>
  <si>
    <t>ESCHERICHIA-COLI; ANTARCTIC BACTERIUM; CSPA-FAMILY; EXPRESSION; ADAPTATION; DELETION; GENOME</t>
  </si>
  <si>
    <t>Microbial communities experience continuous environmental changes, with temperature fluctuations being the most impacting. This is particularly important considering the ongoing global warming but also in the simpler context of seasonal variability of sea-surface temperature. Understanding how microorganisms react at the cellular level can improve our understanding of their possible adaptations to a changing environment. In this work, we investigated the mechanisms through which metabolic homeostasis is maintained in a cold-adapted marine bacterium during growth at temperatures that differ widely (15 and 0 degrees C). We have quantified its intracellular and extracellular central metabolomes together with changes occurring at the transcriptomic level in the same growth conditions. This information was then used to contextualize a genome-scale metabolic reconstruction, and to provide a systemic understanding of cellular adaptation to growth at 2 different temperatures. Our findings indicate a strong metabolic robustness at the level of the main central metabolites, counteracted by a relatively deep transcriptomic reprogramming that includes changes in gene expression of hundreds of metabolic genes. We interpret this as a transcriptomic buffering of cellular metabolism, able to produce overlapping metabolic phenotypes, despite the wide temperature gap. Moreover, we show that metabolic adaptation seems to be mostly played at the level of few key intermediates (e.g., phosphoenolpyruvate) and in the cross talk between the main central metabolic pathways. Overall, our findings reveal a complex interplay at gene expression level that contributes to the robustness/resilience of core metabolism, also promoting the leveraging of state-of-the-art multi-disciplinary approaches to fully comprehend molecular adaptations to environmental fluctuations.IMPORTANCE This manuscript addresses a central and broad interest topic in environmental microbiology, i.e. the effect of growth temperature on microbial cell physiology. We investigated if and how metabolic homeostasis is maintained in a cold-adapted bacterium during growth at temperatures that differ widely and that match measured changes on the field. Our integrative approach revealed an extraordinary robustness of the central metabolome to growth temperature. However, this was counteracted by deep changes at the transcriptional level, and especially in the metabolic part of the transcriptome. This conflictual scenario was interpreted as a transcriptomic buffering of cellular metabolism, and was investigated using genome-scale metabolic modeling. Overall, our findings reveal a complex interplay at gene expression level that contributes to the robustness/resilience of core metabolism, also promoting the use of state-of-the-art multi-disciplinary approaches to fully comprehend molecular adaptations to environmental fluctuations. This manuscript addresses a central and broad interest topic in environmental microbiology, i.e. the effect of growth temperature on microbial cell physiology. We investigated if and how metabolic homeostasis is maintained in a cold-adapted bacterium during growth at temperatures that differ widely and that match measured changes on the field.</t>
  </si>
  <si>
    <t>[Riccardi, Christopher; Alonso-Vasquez, Tania; Perrin, Elena; Fondi, Marco] Univ Florence, Dept Biol, Florence, Italy; [Calvanese, Marzia; Parrilli, Ermenegilda; Tutino, Maria Luisa] Univ Naples Federico II, Dipartimento Sci Chim, Naples, Italy; [Ghini, Veronica; Turano, Paola] Univ Florence, Ctr Magnet Resonance CERM, Florence, Italy; [Ghini, Veronica] Consorzio Interuniv Risonanze Magnet Met Prot CIR, Florence, Italy; [Giurato, Giorgio; Weisz, Alessandro] Univ Salerno, Dept Med Surg &amp; Dent Scuola Med Salernitana, Baronissi, Italy; [Giurato, Giorgio; Weisz, Alessandro] Genome Res Ctr Hlth GRGS, Baronissi, Italy; [Fondi, Marco] Univ Florence, Ctr Interdipartimentale Studio Dinam Complesse CS, Florence, Italy</t>
  </si>
  <si>
    <t>University of Florence; University of Naples Federico II; University of Florence; University of Salerno; University of Florence</t>
  </si>
  <si>
    <t>Fondi, M (corresponding author), Univ Florence, Dept Biol, Florence, Italy.;Fondi, M (corresponding author), Univ Florence, Ctr Interdipartimentale Studio Dinam Complesse CS, Florence, Italy.</t>
  </si>
  <si>
    <t>marco.fondi@unifi.it</t>
  </si>
  <si>
    <t>Perrin, Elena/AAX-2762-2020; TUTINO, MARIA LUISA/L-1834-2013; Weisz, Alessandro/A-1317-2014; Giurato, Giorgio/K-3859-2018; parrilli, ermenegilda/K-4616-2016; Turano, Paola/F-9089-2011</t>
  </si>
  <si>
    <t>Perrin, Elena/0000-0001-5148-3178; Weisz, Alessandro/0000-0003-0455-2083; parrilli, ermenegilda/0000-0002-9002-5409; Riccardi, Christopher/0000-0002-5310-6437; Turano, Paola/0000-0002-7683-8614; Tutino, Maria Luisa/0000-0002-4978-6839; Calvanese, Marzia/0000-0002-7554-0680; Alonso-Vasquez, Tania/0000-0003-0194-8736</t>
  </si>
  <si>
    <t>Regione Campania, Progetto GENOMAeSALUTE; PNRA (Programma Nazionale di Ricerche in Antartide) [CUP: B41C17000080007, 20208LLXEJ]; PRIN-MUR (RESEARCH PROJECTS OF RELEVANT NATIONAL INTEREST- 2020 Call) Project; [PNRA18_00075]; [PNRA18_00335]</t>
  </si>
  <si>
    <t>Regione Campania, Progetto GENOMAeSALUTE; PNRA (Programma Nazionale di Ricerche in Antartide); PRIN-MUR (RESEARCH PROJECTS OF RELEVANT NATIONAL INTEREST- 2020 Call) Project; ;</t>
  </si>
  <si>
    <t>We thank Dr. Assunta Sellitto for technical assistance for RNA-Seq libraries preparation. P.T. and V.G. acknowledge the support and the use of resources of Instruct-ERIC, a Landmark ESFRI project, and, specifically, the CERM/CIRMMP Italy Centre. This study was supported by Regione Campania, Progetto GENOMAeSALUTE (POR CAMPANIA FESR 2014/2020, azione 1.5; CUP: B41C17000080007), by PNRA (Programma Nazionale di Ricerche in Antartide) grant PNRA18_00075 and PNRA18_00335, and by a PRIN-MUR (RESEARCH PROJECTS OF RELEVANT NATIONAL INTEREST- 2020 Call) Project: 20208LLXEJ.</t>
  </si>
  <si>
    <t>2379-5077</t>
  </si>
  <si>
    <t>mSystems</t>
  </si>
  <si>
    <t>10.1128/msystems.01124-22</t>
  </si>
  <si>
    <t>E3EP8</t>
  </si>
  <si>
    <t>WOS:000939721500001</t>
  </si>
  <si>
    <t>Wang, T; Gong, H; Liu, YM; Lu, JH</t>
  </si>
  <si>
    <t>Wang, Tao; Gong, Hua; Liu, Yimin; Lu, Jianhua</t>
  </si>
  <si>
    <t>Polar and Topographic Amplifications of Intermodel Spread of Surface Temperature in Climate Models</t>
  </si>
  <si>
    <t>intermodel spread; Arctic; Antarctic; Tibetan Plateau; polar amplification; topographic amplification; land-sea contrast</t>
  </si>
  <si>
    <t>The spatial pattern of intermodel spread of surface temperature (TS-SPREAD) is similar to the absolute error of modeled surface temperature relative to observations, implying the possibility of using intermodel spread to understand the model biases. The regions with maximum TS-SPREAD are located in the northern polar (NP) and southern polar (SP) regions, and regions with the large orographic features, such as the Tibetan Plateau (TP). We find: (a) Winter amplification exists in the TS-SPREAD over both the NP and SP regions, but the maximum TS-SPREAD over the TP happens during spring and summer with weak seasonality there. (b) Surface energy balance analyses show salient land-sea contrast in the interlinkage between the physical processes. (c) Over the Arctic Ocean and the Southern Ocean, the maximum spreads of sea-ice-induced surface albedo appear during summer when the TS-SPREADs are the weakest because the effect of surface albedo is offset by the heat storage in the oceans. (d) Through the interseasonal linkage of the heat storage term, i.e., the summer-storing-winter-releasing of oceanic heat content, the summer surface albedo may indirectly contribute to the winter amplification of the TS-SPREAD over the polar oceans. Such interseasonal linkage of the processes does not exist over the land areas. A method of distinguishing the roles of the local and nonlocal dynamical processes in the contribution of the clear-sky downward longwave radiation to the TS-SPREAD is also provided.</t>
  </si>
  <si>
    <t>[Wang, Tao; Lu, Jianhua] Sun Yat Sen Univ, Sch Atmospher Sci, Guangdong Prov Key Lab Climate Change &amp; Nat Disast, Zhuhai, Peoples R China; [Gong, Hua; Liu, Yimin] Chinese Acad Sci, Inst Atmospher Phys, State Key Lab Numer Modeling Atmospher Sci &amp; Geoph, Beijing, Peoples R China; [Gong, Hua; Liu, Yimin] Univ Chinese Acad Sci, Coll Earth Sci, Beijing, Peoples R China; [Lu, Jianhua] Southern Marine Sci &amp; Engn Guangdong Lab Zhuhai, Zhuhai, Peoples R China</t>
  </si>
  <si>
    <t>Sun Yat Sen University; Chinese Academy of Sciences; Institute of Atmospheric Physics, CAS; Chinese Academy of Sciences; University of Chinese Academy of Sciences, CAS; Southern Marine Science &amp; Engineering Guangdong Laboratory; Southern Marine Science &amp; Engineering Guangdong Laboratory (Zhuhai)</t>
  </si>
  <si>
    <t>Lu, JH (corresponding author), Sun Yat Sen Univ, Sch Atmospher Sci, Guangdong Prov Key Lab Climate Change &amp; Nat Disast, Zhuhai, Peoples R China.;Lu, JH (corresponding author), Southern Marine Sci &amp; Engn Guangdong Lab Zhuhai, Zhuhai, Peoples R China.</t>
  </si>
  <si>
    <t>lvjianhua@mail.sysu.edu.cn</t>
  </si>
  <si>
    <t>Li, Kun/JLL-6505-2023; Yan, Jun/IXD-7801-2023; Liu, Kun/JAX-5396-2023; Liu, Yiming/ISU-3780-2023; liu, bing/JJD-5566-2023; Liu, Kai/IST-6808-2023; Lu, Jianhua/B-8923-2008; Liu, Yi/HTN-4916-2023; Lu, Jianhua/F-5734-2016</t>
  </si>
  <si>
    <t>Li, Kun/0000-0002-3638-2974; Lu, Jianhua/0000-0002-8241-3356</t>
  </si>
  <si>
    <t>National Natural Science Foundation of China [41875130, 1937302]; National Key Scientific and Technological Infrastructure project Earth System Numerical Simulation Facility (EarthLab) of China</t>
  </si>
  <si>
    <t>National Natural Science Foundation of China(National Natural Science Foundation of China (NSFC)); National Key Scientific and Technological Infrastructure project Earth System Numerical Simulation Facility (EarthLab) of China</t>
  </si>
  <si>
    <t>J. H. Lu was grateful for the support from National Natural Science Foundation of China (Grant 41875130) and from the National Key Scientific and Technological Infrastructure project Earth System Numerical Simulation Facility (EarthLab) of China. Y. M. Liu was supported by the National Natural Science Foundation of China (Grant 1937302). The authors acknowledge the World Climate Research Program's Working Group on Coupled Modelling, and the authors also thank climate modeling groups for producing and making model output available. The authors appreciate the insightful comments from three anonymous referees.</t>
  </si>
  <si>
    <t>FEB 27</t>
  </si>
  <si>
    <t>e2022JD037509</t>
  </si>
  <si>
    <t>10.1029/2022JD037509</t>
  </si>
  <si>
    <t>9W5UK</t>
  </si>
  <si>
    <t>WOS:000949142800001</t>
  </si>
  <si>
    <t>Saniewski, M; Wietrzyk-Pelka, P; Wegrizyn, MH; Saniewska, D; Balazy, P; Zalewska, T</t>
  </si>
  <si>
    <t>Saniewski, Michal; Wietrzyk-Pelka, Paulina; Hubert Wegrizyn, Michal; Saniewska, Dominika; Balazy, Piotr; Zalewska, Tamara</t>
  </si>
  <si>
    <t>Distribution of 90Sr and 137Cs in biotic and abiotic elements of the coastal zone of the King George Island (South Shetland Archipelago, Antarctic Peninsula)</t>
  </si>
  <si>
    <t>Antarctic; Vegetation; Radioactive pollution; Cryptogamic species</t>
  </si>
  <si>
    <t>RADIOCESIUM ACTIVITY CONCENTRATIONS; LICHENS; MOSSES; RADIONUCLIDES; DEPOSITION; VEGETATION; FALLOUT; REGION; PU-238; PB-210</t>
  </si>
  <si>
    <t>For many years Antarctic ecosystems have been considered pristine, however recent studies, including our results, contradict this assumption. Our comprehensive study on the activity of anthropogenic radioisotopes (Cs-137 and Sr-90) in the most common species of green algae, bryophytes, lichens, and vascular plants, as well as soil and guano samples collected over a large area on King George Island (South Shetland Archipelago) in the austral summer 2018/2019 clearly indicate the importance of large-scale transport in shaping the level of pollution in areas very distant from potential sources of contamination. Additionally, radioisotope pollution can be measured even after a very long period (&gt;60 years) since their occurrence. The mean activity of 137Cs measured in lichens, bryophytes, vascular plants, green algae, soil, and guano was, respectively: 3.72 Bq kg(dw1)(-1),1 3.70 Bq kg(dw1)(-1),1 2.62 Bq kg(dw1)(-1), 2.26 Bq kg(dw1)(-1),1 4.07 Bq kg(dw1)(-1) and 2.08 Bq kg(dw1)(-1).1 For 90Sr mean activity in lichens, bryophytes, vascular plants, green algae, and soil was, respectively: 1.99 Bq kg(dw1)(-1),1 3.05 Bq kg(dw1)(-1),1 2.42 Bq kg(dw1)(-1),1 1.08 Bq kg(dw1)(-1), and 6.43 Bq dw. Increased activities of 90Sr and 137Cs were observed in species collected in the area influenced by glacier melt and penguin guano.</t>
  </si>
  <si>
    <t>[Saniewski, Michal; Zalewska, Tamara] Natl Res Inst, Inst Meteorol &amp; Water Management, Waszyngtona 42, PL-81342 Gdynia, Poland; [Wietrzyk-Pelka, Paulina; Hubert Wegrizyn, Michal] Jagiellonian Univ, Inst Bot, Gronostajowa 3, PL-30387 Krakow, Poland; [Saniewska, Dominika] Univ Gdansk, Inst Oceanog, Al Marszalka Pilsudskiego 46, PL-81378 Gdynia, Poland; [Balazy, Piotr] Polish Acad Sci, Inst Oceanol, Powstancow Warszawy 55, PL-81412 Sopot Poland, Poland</t>
  </si>
  <si>
    <t>Institute of Meteorology &amp; Water Management; Jagiellonian University; Fahrenheit Universities; University of Gdansk; Polish Academy of Sciences; Institute of Oceanology of the Polish Academy of Sciences</t>
  </si>
  <si>
    <t>Saniewski, M (corresponding author), Natl Res Inst, Inst Meteorol &amp; Water Management, Waszyngtona 42, PL-81342 Gdynia, Poland.</t>
  </si>
  <si>
    <t>michal.saniewski@imgw.pl</t>
  </si>
  <si>
    <t>Zalewska, Tamara/HJA-1415-2022; Saniewska, Dominika/G-1472-2015; Wietrzyk-Pelka, Paulina/M-9724-2015</t>
  </si>
  <si>
    <t>Zalewska, Tamara/0000-0002-1030-8258; Saniewska, Dominika/0000-0002-0630-9602; Wietrzyk-Pelka, Paulina/0000-0002-1324-2012</t>
  </si>
  <si>
    <t>Foundation for Polish Science (FNP) [2017/27/N/ST10/02230]; National Science Center [2017/27/N/ST10/02230, 2019/33/B/ST10/00290]; [START 92.2020]</t>
  </si>
  <si>
    <t>Foundation for Polish Science (FNP)(Foundation for Polish Science); National Science Center(National Science Centre, Poland);</t>
  </si>
  <si>
    <t>This study has been performed within the framework of a National Science Center projects No. 2017/27/N/ST10/02230 and No. 2019/33/B/ST10/00290. The work of Paulina Wietrzyk-Pelka was supported by the Foundation for Polish Science (FNP, scholarship agreement No. START 92.2020).</t>
  </si>
  <si>
    <t>10.1016/j.chemosphere.2023.138218</t>
  </si>
  <si>
    <t>D0NT4</t>
  </si>
  <si>
    <t>WOS:000965787400001</t>
  </si>
  <si>
    <t>Dartois, E; Kebukawa, Y; Yabuta, H; Mathurin, J; Engrand, C; Duprat, J; Bejach, L; Dazzi, A; Deniset-Besseau, A; Bonal, L; Quirico, E; Sandt, C; Borondics, F; Barosch, J; Cody, GD; De Gregorio, BT; Hashiguchi, M; Kilcoyne, DAL; Komatsu, M; Martins, Z; Matsumoto, M; Montagnac, G; Mostefaoui, S; Nittler, LR; Ohigashi, T; Okumura, T; Remusat, L; Sandford, S; Shigenaka, M; Stroud, R; Suga, H; Takahashi, Y; Takeichi, Y; Tamenori, Y; Verdier-Paoletti, M; Yamashita, S; Nakamura, T; Morita, T; Kikuiri, M; Amano, K; Kagawa, E; Noguchi, T; Naraoka, H; Okazaki, R; Sakamoto, K; Yurimoto, H; Abe, M; Kamide, K; Miyazaki, A; Nakato, A; Nakazawa, S; Nishimura, M; Okada, T; Saiki, T; Tachibana, S; Tanaka, S; Terui, F; Tsuda, Y; Usui, T; Watanabe, SI; Yada, T; Yogata, K; Yoshikawa, M</t>
  </si>
  <si>
    <t>Dartois, Emmanuel; Kebukawa, Yoko; Yabuta, Hikaru; Mathurin, Jeremie; Engrand, Cecile; Duprat, Jean; Bejach, Laure; Dazzi, Alexandre; Deniset-Besseau, Ariane; Bonal, Lydie; Quirico, Eric; Sandt, Christophe; Borondics, Ferenc; Barosch, Jens; Cody, George D.; De Gregorio, Brad T.; Hashiguchi, Minako; Kilcoyne, David A. L.; Komatsu, Mutsumi; Martins, Zita; Matsumoto, Megumi; Montagnac, Gilles; Mostefaoui, Smail; Nittler, Larry R.; Ohigashi, Takuji; Okumura, Taiga; Remusat, Laurent; Sandford, Scott; Shigenaka, Miho; Stroud, Rhonda; Suga, Hiroki; Takahashi, Yoshio; Takeichi, Yasuo; Tamenori, Yusuke; Verdier-Paoletti, Maximilien; Yamashita, Shohei; Nakamura, Tomoki; Morita, Tomoyo; Kikuiri, Mizuha; Amano, Kana; Kagawa, Eiichi; Noguchi, Takaaki; Naraoka, Hiroshi; Okazaki, Ryuji; Sakamoto, Kanako; Yurimoto, Hisayoshi; Abe, Masanao; Kamide, Kanami; Miyazaki, Akiko; Nakato, Aiko; Nakazawa, Satoru; Nishimura, Masahiro; Okada, Tatsuaki; Saiki, Takanao; Tachibana, Shogo; Tanaka, Satoshi; Terui, Fuyuto; Tsuda, Yuichi; Usui, Tomohiro; Watanabe, Sei-ichiro; Yada, Toru; Yogata, Kasumi; Yoshikawa, Makoto</t>
  </si>
  <si>
    <t>Chemical composition of carbonaceous asteroid Ryugu from synchrotron spectroscopy in the mid- to far-infrared of Hayabusa2-returned samples</t>
  </si>
  <si>
    <t>ASTRONOMY &amp; ASTROPHYSICS</t>
  </si>
  <si>
    <t>minor planets, asteroids: individual: Ryugu; meteorites, meteors, meteoroids; methods: laboratory: solid state; techniques: imaging spectroscopy; techniques: spectroscopic; protoplanetary disks</t>
  </si>
  <si>
    <t>INSOLUBLE ORGANIC-MATTER; 3.4 MU-M; OPTICAL-CONSTANTS; ANTARCTIC MICROMETEORITES; MOLECULAR-STRUCTURE; SPATIAL-RESOLUTION; STRETCHING BAND; CI CHONDRITES; SOLAR-SYSTEM; MINERALOGY</t>
  </si>
  <si>
    <t>Context. The current period is conducive to exploring our Solar System's origins with recent and future space sample return missions, which provide invaluable information from known Solar System asteroids and comets The Hayabusa2 mission of the Japan Aerospace Exploration Agency (JAXA) recently brought back samples from the surface of the Ryugu carbonaceous asteroid.Aims. We aim to identify the different forms of chemical composition of organic matter and minerals that constitute these Solar System primitive objects, to shed light on the Solar System's origins.Methods. In this work, we recorded infrared (IR) hyper-spectral maps of whole-rock Ryugu asteroid samples at the highest achievable spatial resolution with a synchrotron in the mid-IR (MIR). Additional global far-IR (FIR) spectra of each sample were also acquired.Results. The hyper-spectral maps reveal the variability of the functional groups at small scales and the intimate association of phyl-losilicates with the aliphatic components of the organic matter present in Ryugu. The relative proportion of column densities of the identified IR functional groups (aliphatics, hydroxyl + interlayer and/or physisorbed water, carbonyl, carbonates, and silicates) giving access to the composition of the Ryugu samples is estimated from these IR hyper-spectral maps. Phyllosilicate spectra reveal the presence of mixtures of serpentine and saponite. We do not detect anhydrous silicates in the samples analysed, at the scales probed. The carbonates are dominated by dolomite. Aliphatics organics are distributed over the whole samples at the micron scale probed with the synchrotron, and intimately mixed with the phyllosilicates. The aromatic C=C contribution could not be safely deconvolved from OH in most spectra, due to the ubiquitous presence of hydrated minerals. The peak intensity ratios of the organics methylene to methyl (CH2/CH3) of the Ryugu samples vary between about 1.5 and 2.5, and are compared to the ratios in chondrites from types 1 to 3. Overall, the mineralogical and organic characteristics of the Ryugu samples show similarities with those of CI chondrites, although with a noticeably higher CH2/CH3 in Ryugu than generally measured in C1 chondrites collected on Earth, and possibly a higher carbonate content.</t>
  </si>
  <si>
    <t>[Dartois, Emmanuel] Univ Paris Saclay, Inst Sci Mol Orsay, CNRS, F-91405 Orsay, France; [Kebukawa, Yoko] Yokohama Natl Univ, Fac Engn, Yokohama, Kanagawa 2408501, Japan; [Yabuta, Hikaru] Hiroshima Univ, Dept Earth &amp; Planetary Syst Sci, Higashihiroshima, Hiroshima 7398526, Japan; [Mathurin, Jeremie; Dazzi, Alexandre; Deniset-Besseau, Ariane] Univ Paris Saclay, Inst Chim Phys ICP, UMR 8000, CNRS, F-91405 Orsay, France; [Engrand, Cecile; Bejach, Laure] Univ Paris Saclay, IJCLab, UMR 9012, CNRS, F-91405 Orsay, France; [Duprat, Jean; Mostefaoui, Smail; Remusat, Laurent; Verdier-Paoletti, Maximilien] Sorbonne Univ, Inst Mineral Phys Mat &amp; Cosmochimie, Museum Natl Hist Nat, F-75231 Paris, France; [Bonal, Lydie; Quirico, Eric] Univ Grenoble Alpes, Inst Planetol &amp; Astrophys, F-38000 Grenoble, France; [Sandt, Christophe; Borondics, Ferenc] CEA, Synchrotron SOLEIL, CNRS, Paris Saclay, France; [Barosch, Jens; Cody, George D.; Nittler, Larry R.] Carnegie Inst Washington, Earth &amp; Planets Lab, 5241 Broad Branch Rd NW, Washington, DC 20015 USA; [De Gregorio, Brad T.] US Naval Res Lab, Mat Sci &amp; Technol Div, Washington, DC 20375 USA; [Hashiguchi, Minako] Nagoya Univ, Grad Sch Environm Studies, Chikusa Ku, Nagoya 4648601, Japan; [Kilcoyne, David A. L.] Lawrence Berkeley Natl Lab, Adv Light Source, Berkeley, CA 94720 USA; [Komatsu, Mutsumi] SOKENDAI, Grad Univ Adv Studies, Hayama, Kanagawa 2400193, Japan; [Komatsu, Mutsumi] Waseda Univ, Dept Earth Sci, Shinjuku Ku, Tokyo 1698050, Japan; [Martins, Zita] Univ Lisbon, Inst Mol Sci, Ctr Quim Estrut, Inst Super Tecn, Ave Rovisco Pais 1, P-1049001 Lisbon, Portugal; [Martins, Zita] Univ Lisbon, Dept Chem Engn, Inst Super Tecn, Ave Rovisco Pais 1, P-1049001 Lisbon, Portugal; [Matsumoto, Megumi; Nakamura, Tomoki; Morita, Tomoyo; Kikuiri, Mizuha; Amano, Kana; Kagawa, Eiichi] Tohoku Univ, Dept Earth Sci, Sendai 9808578, Japan; [Montagnac, Gilles] Univ Lyon, Ecole Normale Super Lyon, F-69342 Lyon, France; [Ohigashi, Takuji] UVSOR Synchrotron Facil, Inst Mol Sci, Okazaki 4448585, Japan; [Okumura, Taiga; Takahashi, Yoshio; Tachibana, Shogo] Univ Tokyo, Dept Earth &amp; Planetary Sci, Bunkyo Ku, Tokyo 1130033, Japan; [Sandford, Scott] NASA Ames Res Ctr, Moffett Field, CA 94035 USA; [Shigenaka, Miho; Kamide, Kanami] Hiroshima Univ, Dept Earth &amp; Planetary Syst Sci, Higashihiroshima, Hiroshima 7398526, Japan; [Stroud, Rhonda] US Naval Res Lab, Mat Sci &amp; Technol Div, Washington, DC 20375 USA; [Suga, Hiroki] Japan Synchrotron Radiat Res Inst JASRI, Spect Div, Sayo, Hyogo 6795198, Japan; [Takahashi, Yoshio; Takeichi, Yasuo; Yamashita, Shohei] High Energy Accelerator Res Org, Inst Mat Struct Sci, KEK, Tsukuba, Ibaraki 3050801, Japan; [Tamenori, Yusuke] Japan Synchrotron Radiat Res Inst JASRI, Res &amp; Utilizat Div, Sayo, Hyogo 6795198, Japan; [Noguchi, Takaaki] Kyoto Univ, Div Earth &amp; Planetary Sci, Sakyo Ku, Kyoto 6068502, Japan; [Naraoka, Hiroshi; Okazaki, Ryuji] Kyushu Univ, Dept Earth &amp; Planetary Sci, Fukuoka 8190395, Japan; [Sakamoto, Kanako; Abe, Masanao; Miyazaki, Akiko; Nakato, Aiko; Nakazawa, Satoru; Nishimura, Masahiro; Okada, Tatsuaki; Saiki, Takanao; Tachibana, Shogo; Tanaka, Satoshi; Tsuda, Yuichi; Usui, Tomohiro; Yada, Toru; Yogata, Kasumi; Yoshikawa, Makoto] Japan Aerosp Explorat Agcy, Inst Space &amp; Astronaut Sci, Sagamihara 2525210, Japan; [Yurimoto, Hisayoshi] Hokkaido Univ, Dept Nat Hist Sci, Sapporo 0600810, Japan; [Yurimoto, Hisayoshi] Hokkaido Univ, Creat Res Inst, Isotope Imaging Lab, Sapporo 0010021, Japan; [Terui, Fuyuto] Kanagawa Inst Technol, Atsugi 2430292, Japan; [Watanabe, Sei-ichiro] Nagoya Univ, Dept Earth &amp; Planetary Sci, Nagoya 4648601, Japan</t>
  </si>
  <si>
    <t>Universite Paris Saclay; Universite Paris Cite; Centre National de la Recherche Scientifique (CNRS); Yokohama National University; Hiroshima University; Centre National de la Recherche Scientifique (CNRS); CNRS - Institute of Chemistry (INC); Universite Paris Cite; Universite Paris Saclay; Universite Paris Cite; Centre National de la Recherche Scientifique (CNRS); Universite Paris Saclay; Universite Paris Cite; Museum National d'Histoire Naturelle (MNHN); Sorbonne Universite; Institut de Planetologie et d'Astrophysique de Grenoble (IPAG); Communaute Universite Grenoble Alpes; Universite Grenoble Alpes (UGA); SOLEIL Synchrotron; Centre National de la Recherche Scientifique (CNRS); Universite Paris Saclay; CEA; Carnegie Institution for Science; United States Department of Defense; United States Navy; Naval Research Laboratory; Nagoya University; United States Department of Energy (DOE); Lawrence Berkeley National Laboratory; Graduate University for Advanced Studies - Japan; Waseda University; Universidade de Lisboa; Universidade de Lisboa; Tohoku University; Ecole Normale Superieure de Lyon (ENS de LYON); National Institutes of Natural Sciences (NINS) - Japan; Institute for Molecular Science (IMS); University of Tokyo; National Aeronautics &amp; Space Administration (NASA); NASA Ames Research Center; Hiroshima University; United States Department of Defense; United States Navy; Naval Research Laboratory; Japan Synchrotron Radiation Research Institute; High Energy Accelerator Research Organization (KEK); Japan Synchrotron Radiation Research Institute; Kyoto University; Kyushu University; Japan Aerospace Exploration Agency (JAXA); Institute of Space &amp; Astronautical Science (ISAS); Hokkaido University; Hokkaido University; Kanagawa Institute Technology; Nagoya University</t>
  </si>
  <si>
    <t>Dartois, E (corresponding author), Univ Paris Saclay, Inst Sci Mol Orsay, CNRS, F-91405 Orsay, France.</t>
  </si>
  <si>
    <t>emmanuel.dartois@universite-paris-saclay.fr</t>
  </si>
  <si>
    <t>Takeichi, Yasuo/KBQ-3565-2024; Noguchi, Takaaki/IWV-1123-2023; Takahashi, Yoshio/F-6733-2011; Yurimoto, Hisayoshi/S-9938-2018; Okumura, Taiga/AGY-4991-2022; Stroud, Rhonda M/S-4584-2018; Nakamura, Tomoki/Y-8551-2018; Martins, Zita/H-4860-2015; Kebukawa, Yoko/A-7315-2010; Yabuta, Hikaru/M-9041-2014; Tachibana, Shogo/R-7884-2018</t>
  </si>
  <si>
    <t>Takeichi, Yasuo/0000-0003-3334-0274; Noguchi, Takaaki/0000-0001-7211-2595; Takahashi, Yoshio/0000-0001-7860-2341; Okumura, Taiga/0000-0001-5252-8622; Stroud, Rhonda M/0000-0001-5242-8015; Martins, Zita/0000-0002-5420-1081; Kebukawa, Yoko/0000-0001-8430-3612; Yabuta, Hikaru/0000-0002-4625-5362; Tachibana, Shogo/0000-0002-4603-9440; Bejach, Laure/0000-0002-0461-7089; Saiki, Takanao/0000-0003-3100-420X; Dartois, Emmanuel/0000-0003-1197-7143; BONAL, Lydie/0000-0002-0655-4034; Barosch, Jens/0000-0002-0651-7348; Remusat, Laurent/0009-0008-6423-6254; Duprat, Jean/0000-0001-7408-3089</t>
  </si>
  <si>
    <t>Centre National d'Etudes Spatiales (CNES)</t>
  </si>
  <si>
    <t>Centre National d'Etudes Spatiales (CNES)(Centre National D'etudes Spatiales)</t>
  </si>
  <si>
    <t>This work was carried out in the frame of the Hayabusa2 Initial Analysis Teams, in the IOM sub-team led by Prof. H. Yabuta and the Stone sub-team led by Prof. T. Nakamura. Spectral data will be available on the Data ARchives and Transmission System (DARTS) of the Japan Aerospace Exploration Agency (JAXA). Part of the equipment used in this work has been financed by the French INSU-CNRS program Physique et Chimie du Milieu Interstellaire (PCMI). This work was supported in France by the Centre National d'Etudes Spatiales (CNES) for the participation to analyses of samples returned by the Hayabusa2 mission. We acknowledge synchrotron SOLEIL for provision of synchrotron radiation facilities for access to the SMIS beamline. We thank Sylvie Heron for providing us the n-tetracosane reference sample. We are grateful to Timothy D. Glotch for his constructive comments and recommendations.</t>
  </si>
  <si>
    <t>EDP SCIENCES S A</t>
  </si>
  <si>
    <t>LES ULIS CEDEX A</t>
  </si>
  <si>
    <t>17, AVE DU HOGGAR, PA COURTABOEUF, BP 112, F-91944 LES ULIS CEDEX A, FRANCE</t>
  </si>
  <si>
    <t>0004-6361</t>
  </si>
  <si>
    <t>1432-0746</t>
  </si>
  <si>
    <t>ASTRON ASTROPHYS</t>
  </si>
  <si>
    <t>Astron. Astrophys.</t>
  </si>
  <si>
    <t>A2</t>
  </si>
  <si>
    <t>10.1051/0004-6361/202244702</t>
  </si>
  <si>
    <t>9M3ES</t>
  </si>
  <si>
    <t>WOS:000942118200007</t>
  </si>
  <si>
    <t>So, JE; Halda, JP; Hong, SG; Hur, JS; Kim, JH</t>
  </si>
  <si>
    <t>So, Jae Eun; Halda, Josef P. P.; Hong, Soon Gyu; Hur, Jae-Seoun; Kim, Ji Hee</t>
  </si>
  <si>
    <t>The Revision of Lichen Flora Around Maxwell Bay, King George Island, Maritime Antarctic</t>
  </si>
  <si>
    <t>JOURNAL OF MICROBIOLOGY</t>
  </si>
  <si>
    <t>Lichen; Lichen taxonomy; Antarctic lichen diversity; Ecological traits</t>
  </si>
  <si>
    <t>CLASSIFICATION; ASCOMYCOTA; FUNGI; LAND</t>
  </si>
  <si>
    <t>Since the floristic study of lichens at the Barton and Weaver Peninsulas of King George Island in 2006, there have been intense investigations of the lichen flora of the two peninsulas as well as that of Fildes Peninsula and Ardley Island in Maxwell Bay, King George Island, South Shetland Islands, maritime Antarctic. In this study, a total of 104 species belonging to 53 genera, are identified from investigations of lichens that were collected in austral summer seasons from 2008 to 2016. Phenotypic and molecular analyses were incorporated for taxonomic identification. In particular, 31 species are found to be endemic to the Antarctic and 22 species are newly recorded to the Maxwell Bay region. Lepra dactylina, Stereocaulon caespitosum, and Wahlenbergiella striatula are newly recorded in the Antarctic, and the previously reported taxon Cladonia furcata is excluded from the formerly recorded list due to misidentification. We also provide ecological and geographical information about lichen associations and habitat preferences.</t>
  </si>
  <si>
    <t>[So, Jae Eun; Hong, Soon Gyu; Kim, Ji Hee] Korea Polar Res Inst, Div Life Sci, Incheon 21990, South Korea; [So, Jae Eun; Hong, Soon Gyu] Univ Sci &amp; Technol, Dept Polar Sci, Incheon 21990, South Korea; [Halda, Josef P. P.] Museum Orlicke Hory, Jiraskova 2, Rychnov Nad Kneznou 51601, Czech Republic; [Hur, Jae-Seoun] Sunchon Natl Univ, Korean Lichen Res Inst KoLRI, Sunchon 57922, South Korea</t>
  </si>
  <si>
    <t>Korea Polar Research Institute (KOPRI); Sunchon National University</t>
  </si>
  <si>
    <t>Kim, JH (corresponding author), Korea Polar Res Inst, Div Life Sci, Incheon 21990, South Korea.</t>
  </si>
  <si>
    <t>jhalgae@kopri.re.kr</t>
  </si>
  <si>
    <t>Halda, Josef/0000-0002-0264-8535</t>
  </si>
  <si>
    <t>Korea Polar Research Institute, KOPRI [PE22130]</t>
  </si>
  <si>
    <t>Korea Polar Research Institute, KOPRI(Korea Polar Research Institute of Marine Research Placement (KOPRI))</t>
  </si>
  <si>
    <t>This work was supported by a grant to the Korea Polar Research Institute, KOPRI, under projects (PE22130). We are also grateful to anonymous reviewers for their suggestions and remarks on manuscript.</t>
  </si>
  <si>
    <t>MICROBIOLOGICAL SOCIETY KOREA</t>
  </si>
  <si>
    <t>KOREA SCIENCE &amp; TECHNOLOGY CENTER 803, 635-4 YEOGSAM-DONG, KANGNAM-KU, SEOUL 135-703, SOUTH KOREA</t>
  </si>
  <si>
    <t>1225-8873</t>
  </si>
  <si>
    <t>1976-3794</t>
  </si>
  <si>
    <t>J MICROBIOL</t>
  </si>
  <si>
    <t>J. Microbiol.</t>
  </si>
  <si>
    <t>10.1007/s12275-023-00015-x</t>
  </si>
  <si>
    <t>9T0HM</t>
  </si>
  <si>
    <t>WOS:000940230400001</t>
  </si>
  <si>
    <t>Li, N; Lei, RB; Heil, P; Cheng, B; Ding, MH; Tian, ZX; Li, BR</t>
  </si>
  <si>
    <t>Li, Na; Lei, Ruibo; Heil, Petra; Cheng, Bin; Ding, Minghu; Tian, Zhongxiang; Li, Bingrui</t>
  </si>
  <si>
    <t>Seasonal and interannual variability of the landfast ice mass balance between 2009 and 2018 in Prydz Bay, East Antarctica</t>
  </si>
  <si>
    <t>OCEANIC HEAT-FLUX; SEA-ICE; SNOW-ICE; WEDDELL SEA; THICKNESS</t>
  </si>
  <si>
    <t>Landfast ice (LFI) plays a crucial role for both the climate and the ecosystem of the Antarctic coastal regions. We investigate the snow and LFI mass balance in Prydz Bay using observations from 11 sea ice mass balance buoys (IMBs). The buoys were deployed offshore from the Chinese Zhongshan Station (ZS) and Australian Davis Station (DS), with the measurements covering the ice seasons of 2009-2010, 2013-2016, and 2018. The observed annual maximum ice thickness and snow depth were 1.59 +/- 0.17 and 0.11-0.76 m off ZS and 1.64 +/- 0.08 and 0.11-0.38 m off DS, respectively. Early in the ice growth season (May-September), the LFI basal growth rate near DS (0.6 +/- 0.2 cmd(-1)) was larger than that around ZS (0.5 &amp; PLUSMN; 0.2 cmd(-1)). This is attributed to cooler air temperature (AT) and lower oceanic heat flux at that time in the DS region. Air temperature anomalies were more important in regulating the LFI growth rate at that time because of thinner sea ice having a weaker thermal inertia relative to thick ice in later seasons. Interannual and local spatial variabilities for the seasonality of LFI mass balance identified at ZS are larger than at DS due to local differences in topography and katabatic wind regime. Snow ice contributed up to27 % of the LFI total ice thickness at the offshore site close to ground icebergs off ZS because of the substantial snow accumulation. Offshore from ZS, the supercooled water was observed at the sites close to the Dalk Glacier from July to October, which reduced the oceanic heat flux and promoted the LFI growth. During late austral spring and summer, the increased oceanic heat flux led to a reduction of LFI growth at all investigated sites. The variability of LFI properties across the study domain prevailed at interannual timescales, over any trend during the recent decades. Based on the results derived from this study, we argue that an increased understanding of snow (on LFI) processes, local atmospheric and oceanic conditions, as well as coastal morphology and bathymetry, are required to improve the Antarctic LFI modeling.</t>
  </si>
  <si>
    <t>[Li, Na; Lei, Ruibo; Li, Bingrui] Polar Res Inst China, Key Lab Polar Sci MNR, Shanghai 200136, Peoples R China; [Heil, Petra] Australian Antarctic Div, Hobart 7001, Australia; [Heil, Petra] Univ Tasmania, Australian Antarctic Program Partnership, Hobart 7001, Australia; [Cheng, Bin] Finnish Meteorol Inst, Helsinki 00101, Finland; [Ding, Minghu] Chinese Acad Meteorol Sci, Chinese Acad Meteorol Sci, State Key Lab Severe Weather, Beijing 100081, Peoples R China; [Tian, Zhongxiang] Natl Marine Environm Forecasting Ctr MNR, Beijing 100081, Peoples R China</t>
  </si>
  <si>
    <t>Polar Research Institute of China; Australian Antarctic Division; University of Tasmania; Finnish Meteorological Institute; China Meteorological Administration; Chinese Academy of Meteorological Sciences (CAMS); National Marine Environmental Forecasting Center</t>
  </si>
  <si>
    <t>Lei, RB (corresponding author), Polar Res Inst China, Key Lab Polar Sci MNR, Shanghai 200136, Peoples R China.</t>
  </si>
  <si>
    <t>leiruibo@pric.org.cn</t>
  </si>
  <si>
    <t>Ding, Minghu/AFU-3600-2022; Cheng, Bin/D-4354-2013</t>
  </si>
  <si>
    <t>Ding, Minghu/0000-0002-1142-6598; Heil, Petra/0000-0003-2078-0342; Li, Na/0000-0003-3246-0039; Cheng, Bin/0000-0001-8156-8412</t>
  </si>
  <si>
    <t>National Key Research and Development Program of China [2018YFA0605903]; National Natural Science Foundation of China [52192691, 52192690, 41606222]; Australian Government (Australian Antarctic Science) [4506]; International Space Science Institute [406]; European Commission [101003590]</t>
  </si>
  <si>
    <t>National Key Research and Development Program of China; National Natural Science Foundation of China(National Natural Science Foundation of China (NSFC)); Australian Government (Australian Antarctic Science); International Space Science Institute; European Commission(European Union (EU)European Commission Joint Research Centre)</t>
  </si>
  <si>
    <t>This research has been supported by the National Key Research and Development Program of China (grant no. 2018YFA0605903), the National Natural Science Foundation of China (grant nos. 52192691, 52192690, and 41606222), the Australian Government (Australian Antarctic Science (grant no.4506) and International Space Science Institute (grant no. 406)), and the European Commission, Horizon 2020 (PolarRES (grant no.101003590))</t>
  </si>
  <si>
    <t>10.5194/tc-17-917-2023</t>
  </si>
  <si>
    <t>9J9VC</t>
  </si>
  <si>
    <t>WOS:000940524000001</t>
  </si>
  <si>
    <t>Wallis, BJ; Hogg, AE</t>
  </si>
  <si>
    <t>Wallis, Benjamin J.; Hogg, Anna E.</t>
  </si>
  <si>
    <t>Satellite data shows Antarctic Peninsula glaciers flow faster in summer</t>
  </si>
  <si>
    <t>Satellite observations reveal that glaciers on the west coast of the Antarctic Peninsula flow 12% faster on average in summer than in winter. These increased flow speeds are attributed to a combination of seasonal atmospheric and oceanographic forcing mechanisms.</t>
  </si>
  <si>
    <t>[Wallis, Benjamin J.; Hogg, Anna E.] Univ Leeds, Leeds, England</t>
  </si>
  <si>
    <t>University of Leeds</t>
  </si>
  <si>
    <t>Wallis, BJ (corresponding author), Univ Leeds, Leeds, England.</t>
  </si>
  <si>
    <t>Wallis, Benjamin/0000-0003-3671-2862</t>
  </si>
  <si>
    <t>10.1038/s41561-023-01135-0</t>
  </si>
  <si>
    <t>WOS:000940272900002</t>
  </si>
  <si>
    <t>Wallis, BJ; Hogg, AE; van Wessem, JM; Davison, BJ; van den Broeke, MR</t>
  </si>
  <si>
    <t>Wallis, Benjamin J.; Hogg, Anna E.; van Wessem, J. Melchior; Davison, Benjamin J.; van den Broeke, Michiel R.</t>
  </si>
  <si>
    <t>Widespread seasonal speed-up of west Antarctic Peninsula glaciers from 2014 to 2021</t>
  </si>
  <si>
    <t>SURFACE MASS-BALANCE; B ICE SHELF; AMUNDSEN SEA EMBAYMENT; CLIMATE-CHANGE; LARSEN; SHEET; FLOW; RETREAT; MELT; DISINTEGRATION</t>
  </si>
  <si>
    <t>Mass loss from the Antarctic Ice Sheet is dominated by ice dynamics, where ocean-driven melt leads to un-buttressing and ice flow acceleration. Long-term ice speed change has been measured in Antarctica over the past four decades; however, there are limited observations of short-term seasonal speed variability on the grounded ice sheet. Here we assess seasonal variations in ice flow speed on 105 glaciers on the west Antarctic Peninsula using Sentinel-1 satellite observations spanning 2014 to 2021. We find an average summer speed-up of 12.4 +/- 4.2%, with maximum speed change of up to 22.3 +/- 3.2% on glaciers with the most pronounced seasonality. Our results show that over the six-year study period, glaciers on the west Antarctic Peninsula respond to seasonal forcing in the ice-ocean-atmosphere system, indicating sensitivity to changes in terminus position, surface melt plus rainwater flux, and ocean temperature. Seasonal speed variations must be accounted for when measuring the mass balance and sea level contribution of the Antarctic Peninsula, and studies must establish the future evolution of this previously undocumented signal under climate warming scenarios. Glaciers on the west Antarctic Peninsula flowed on average 12% faster during the summer compared with winter due to a mix of oceanic and atmospheric influences, according to an analysis of remote sensing data from 2014 to 2021.</t>
  </si>
  <si>
    <t>[Wallis, Benjamin J.; Hogg, Anna E.; Davison, Benjamin J.] Univ Leeds, Sch Earth &amp; Environm, Leeds, England; [van Wessem, J. Melchior; van den Broeke, Michiel R.] Univ Utrecht, Inst Marine &amp; Atmospher Res Utrecht, Utrecht, Netherlands</t>
  </si>
  <si>
    <t>University of Leeds; Utrecht University</t>
  </si>
  <si>
    <t>Wallis, BJ (corresponding author), Univ Leeds, Sch Earth &amp; Environm, Leeds, England.</t>
  </si>
  <si>
    <t>eebjwa@leeds.ac.uk</t>
  </si>
  <si>
    <t>van den Broeke, Michiel Roland/F-7867-2011</t>
  </si>
  <si>
    <t>van den Broeke, Michiel Roland/0000-0003-4662-7565; Davison, Ben/0000-0001-9483-2956; Wallis, Benjamin/0000-0003-3671-2862</t>
  </si>
  <si>
    <t>Panorama Natural Environment Research Council (NERC) Doctoral Training Partnership (DTP) [NE/S007458/1]; NERC DeCAdeS project [NE/T012757/1]; ESA Polar+ Ice Shelves project [ESA-IPL-POE-EF-cb-LE-2019-834]; Netherlands Earth System Science Centre (NESSC); Netherlands Organisation for Scientific Research (NWO) VENI [VI.Veni.192.083]; NERC [NE/T012757/1] Funding Source: UKRI</t>
  </si>
  <si>
    <t>Panorama Natural Environment Research Council (NERC) Doctoral Training Partnership (DTP); NERC DeCAdeS project(UK Research &amp; Innovation (UKRI)Natural Environment Research Council (NERC)); ESA Polar+ Ice Shelves project; Netherlands Earth System Science Centre (NESSC); Netherlands Organisation for Scientific Research (NWO) VENI(Netherlands Organization for Scientific Research (NWO)); NERC(UK Research &amp; Innovation (UKRI)Natural Environment Research Council (NERC))</t>
  </si>
  <si>
    <t>This work was led by the School of Earth and Environment at the University of Leeds. Data processing was undertaken on ARC3, part of the high-performance computing facilities at the University of Leeds, UK. The authors gratefully acknowledge the European Space Agency and the European Commission for the acquisition and availability of Sentinel-1 data and the use of datasets produced through the Copernicus Marine Service. We also acknowledge the Polar Geospatial Center at the University of Minnesota for the availability of the REMA DEM and J. Lea of the University of Liverpool for the public availability of the GEEDiT and MaQiT digitization tools. B.J.W. is supported by the Panorama Natural Environment Research Council (NERC) Doctoral Training Partnership (DTP), under grant NE/S007458/1. A.E.H. and B.J.D. are supported by the NERC DeCAdeS project (NE/T012757/1) and ESA Polar+ Ice Shelves project (ESA-IPL-POE-EF-cb-LE-2019-834). M.R.v.d.B. was supported by the Netherlands Earth System Science Centre (NESSC). J.M.v.W. was supported by the Netherlands Organisation for Scientific Research (NWO) VENI grant VI.Veni.192.083.</t>
  </si>
  <si>
    <t>10.1038/s41561-023-01131-4</t>
  </si>
  <si>
    <t>Green Published, Green Accepted</t>
  </si>
  <si>
    <t>WOS:000940272900001</t>
  </si>
  <si>
    <t>Harrowfield, DL; Mabin, MCG</t>
  </si>
  <si>
    <t>Harrowfield, D. L.; Mabin, M. C. G.</t>
  </si>
  <si>
    <t>The Possession Islands Ross Sea Antarctica: A history of exploration and scientific endeavour at a Ross Sea archipelago since the first landing in 1841</t>
  </si>
  <si>
    <t>Ross Sea Islands; Possession Island; Foyn Island; Antarctic exploration; Geology; Geophysics; Geomorphology; Marine science; Temperature; Environmental change; Birdlife</t>
  </si>
  <si>
    <t>Possession Island was one of the first landing places in the Antarctic region, now more than 180 years ago, yet there is little scientific knowledge of this island archipelago in the western Ross Sea. Although the islands are often passed and have been landed on for a few brief hours a number of times, the area is a challenging environment to visit or work in, as weather, sea and ice conditions can be unpredictable.This paper documents the discovery of the islands, and their history of exploration, the broad range of fleetingly conducted science endeavours, weather and climate and since the 1990s, eco-tourism visits. The islands deserve to be better known, and their rich history provides a foundation for future research and eco-tourism.</t>
  </si>
  <si>
    <t>dh.adelie@gmail.com</t>
  </si>
  <si>
    <t>e13</t>
  </si>
  <si>
    <t>10.1017/S0032247422000390</t>
  </si>
  <si>
    <t>9I7KH</t>
  </si>
  <si>
    <t>WOS:000939684000001</t>
  </si>
  <si>
    <t>Tokunaga, S; Kawabata, Y; Takahashi, A</t>
  </si>
  <si>
    <t>Tokunaga, Soma; Kawabata, Yuuki; Takahashi, Akinori</t>
  </si>
  <si>
    <t>Penguin-mounted video camera provides new insights into predator-prey interactions with prey fish</t>
  </si>
  <si>
    <t>antipredator behavior; biologging; fish; penguin; predation; prey</t>
  </si>
  <si>
    <t>ANIMAL-BORNE VIDEO; BEHAVIOR; STRATEGY; PURSUIT</t>
  </si>
  <si>
    <t>[Tokunaga, Soma; Takahashi, Akinori] Grad Univ Adv Studies, SOKENDAI, Dept Polar Sci, Tachikawa, Japan; [Kawabata, Yuuki] Nagasaki Univ, Grad Sch Fisheries &amp; Environm Sci, Nagasaki, Japan; [Takahashi, Akinori] Natl Inst Polar Res, Tachikawa, Japan</t>
  </si>
  <si>
    <t>Graduate University for Advanced Studies - Japan; Nagasaki University; Research Organization of Information &amp; Systems (ROIS); National Institute of Polar Research (NIPR) - Japan</t>
  </si>
  <si>
    <t>Tokunaga, S (corresponding author), Grad Univ Adv Studies, SOKENDAI, Dept Polar Sci, Tachikawa, Japan.</t>
  </si>
  <si>
    <t>tokunaga.soma@nipr.ac.jp</t>
  </si>
  <si>
    <t>Kawabata, Yuuki/H-4109-2019</t>
  </si>
  <si>
    <t>Kawabata, Yuuki/0000-0001-8267-5199; Tokunaga, Soma/0000-0001-8298-3861</t>
  </si>
  <si>
    <t>Japanese Society for the Promotion of Science (JSPS) Kakenhi [20310016]; Japan Society for the Promotion of Science [20310016]; Japanese Antarctic Research Expedition [AP12]; Grants-in-Aid for Scientific Research [22K21355, 22K18432] Funding Source: KAKEN</t>
  </si>
  <si>
    <t>Japanese Society for the Promotion of Science (JSPS) Kakenhi(Ministry of Education, Culture, Sports, Science and Technology, Japan (MEXT)Japan Society for the Promotion of ScienceGrants-in-Aid for Scientific Research (KAKENHI)); Japan Society for the Promotion of Science(Ministry of Education, Culture, Sports, Science and Technology, Japan (MEXT)Japan Society for the Promotion of Science); Japanese Antarctic Research Expedition; Grants-in-Aid for Scientific Research(Ministry of Education, Culture, Sports, Science and Technology, Japan (MEXT)Japan Society for the Promotion of ScienceGrants-in-Aid for Scientific Research (KAKENHI))</t>
  </si>
  <si>
    <t>Japan Society for the Promotion of Science, Grant/Award Number: 20310016; Japanese Antarctic Research Expedition, Grant/Award Number: AP12</t>
  </si>
  <si>
    <t>10.1002/ecy.3992</t>
  </si>
  <si>
    <t>WOS:000941087600001</t>
  </si>
  <si>
    <t>Henson, SA; Briggs, N; Carvalho, F; Manno, C; Mignot, A; Thomalla, S</t>
  </si>
  <si>
    <t>Henson, Stephanie A.; Briggs, Nathan; Carvalho, Filipa; Manno, Clara; Mignot, Alexandre; Thomalla, Sandy</t>
  </si>
  <si>
    <t>A seasonal transition in biological carbon pump efficiency in the northern Scotia Sea, Southern Ocean</t>
  </si>
  <si>
    <t>DEEP-SEA RESEARCH PART II-TOPICAL STUDIES IN OCEANOGRAPHY</t>
  </si>
  <si>
    <t>PARTICULATE ORGANIC-CARBON; COMMUNITY STRUCTURE; EXPORT FLUX; PHYTOPLANKTON COMMUNITY; PARTICLE EXPORT; ATLANTIC; VARIABILITY; DYNAMICS; REMINERALIZATION; SEDIMENTATION</t>
  </si>
  <si>
    <t>The biological carbon pump (BCP) contributes to the oceanic CO2 sink by transferring particulate organic carbon (POC) into the deep ocean. The magnitude and efficiency of the BCP is likely to vary on timescales of days to seasons, however characterising this variability from shipboard observations is challenging. High resolution, sustained observations of primary production and particle fluxes by autonomous vehicles offer the potential to fill this knowledge gap. Here we present a 4 month, daily, 1 m vertical resolution glider dataset, collected in the high productivity bloom, downstream of South Georgia, Southern Ocean. The dataset reveals substantial temporal variability in primary production, POC flux and attenuation. During the pre-bloom peak phase we find high export efficiency, implying minimal heterotrophic POC consumption, i.e. productivity is decoupled from upper ocean remineralisation processes. As the bloom progresses from its peak through its declining phase, export flux decreases, but transfer efficiency within the upper 100 m of the mesopelagic increases. Conversely, transfer efficiency in the lower mesopelagic decreases in the post-bloom phase, implying that the flux attenuation processes operating in the upper and lower mesopelagic are effectively decoupled. This finding underscores an important limitation of using a single parameter, such as Martin's 'b', to characterise POC flux attenuation in a given location or season. Frequent pulses of export flux are observed throughout the deployment, indicating decoupling between primary production and the processes driving export of material from the upper ocean. The mechanisms underlying the observed seasonal changes in BCP magnitude and efficiency are unclear, as temperature and oxygen concentration changed minimally, although the nature of the sinking particles changed substantially as the bloom progressed. Our results highlight the difficulty of capturing temporal variability and episodic flux events with traditional shipboard observations, which affects our conceptual understanding of the BCP. The increasing use of autonomous vehicles to observe particle fluxes will be essential to characterising the temporal variability in magnitude and functioning of the BCP.</t>
  </si>
  <si>
    <t>[Henson, Stephanie A.; Briggs, Nathan; Carvalho, Filipa] Natl Oceanog Ctr, Southampton, England; [Manno, Clara] British Antarctic Survey, Cambridge, England; [Mignot, Alexandre] Mercator Ocean Int, Toulouse, France; [Thomalla, Sandy] CSIR, Southern Ocean Carbon &amp; Climate Observ, Cape Town, South Africa</t>
  </si>
  <si>
    <t>NERC National Oceanography Centre; UK Research &amp; Innovation (UKRI); Natural Environment Research Council (NERC); NERC British Antarctic Survey; Council for Scientific &amp; Industrial Research (CSIR) - South Africa</t>
  </si>
  <si>
    <t>Henson, SA (corresponding author), Natl Oceanog Ctr, Southampton, England.</t>
  </si>
  <si>
    <t>s.henson@noc.ac.uk</t>
  </si>
  <si>
    <t>; Carvalho, Filipa/B-7223-2017</t>
  </si>
  <si>
    <t>Briggs, Nathan/0000-0003-1549-1386; Carvalho, Filipa/0000-0002-8355-4329</t>
  </si>
  <si>
    <t>European Research Council Consolidator grant (GOCART) [724416]; Natural Environment Research Council [NE/M020835/1]; South Africa's Department of Science and Innovation [DST/CON0182/2017]; National Research Foundation [SANAP: SNA170522231782]; European Research Council (ERC) [724416] Funding Source: European Research Council (ERC)</t>
  </si>
  <si>
    <t>European Research Council Consolidator grant (GOCART)(European Research Council (ERC)); Natural Environment Research Council(UK Research &amp; Innovation (UKRI)Natural Environment Research Council (NERC)); South Africa's Department of Science and Innovation; National Research Foundation; European Research Council (ERC)(European Research Council (ERC)Spanish Government)</t>
  </si>
  <si>
    <t>This work was supported by a European Research Council Consolidator grant (GOCART, agreement number 724416) to SH. Shipboard work was funded by the Natural Environment Research Council through the COMICS project (Controls over Ocean Mesopelagic Interior Carbon Storage; NE/M020835/1) . Technical assistance with glider deployments was provided by Sea Technology Services (South Africa) and Marine Autonomous Robotic Systems (NOC) . ST was supported by South Africa's Department of Science and Innovation (DST/CON0182/2017) and the National Research Foundation (SANAP: SNA170522231782) . We thank Hugh Venables (BAS) for information on Southern Ocean fronts. Mooring sediment trap work was carried out as part of the Ecosystems programme at the British Antarctic Survey and the Scotia Sea Open Ocean Laboratories (SCOOBIES) sustained observation programme at the British Antarctic Survey in the frame of WCB-POETS survey cruises.</t>
  </si>
  <si>
    <t>0967-0645</t>
  </si>
  <si>
    <t>1879-0100</t>
  </si>
  <si>
    <t>DEEP-SEA RES PT II</t>
  </si>
  <si>
    <t>Deep-Sea Res. Part II-Top. Stud. Oceanogr.</t>
  </si>
  <si>
    <t>10.1016/j.dsr2.2023.105274</t>
  </si>
  <si>
    <t>H5BR9</t>
  </si>
  <si>
    <t>WOS:000996120100001</t>
  </si>
  <si>
    <t>Safi, KA; Rodríguez, AG; Hall, JA; Pinkerton, MH</t>
  </si>
  <si>
    <t>Safi, Karl A.; Rodriguez, Andres Gutierrez; Hall, Julie A.; Pinkerton, Matthew H.</t>
  </si>
  <si>
    <t>Phytoplankton dynamics, growth and microzooplankton grazing across the subtropical frontal zone, east of New Zealand</t>
  </si>
  <si>
    <t>Frontal zones; Phytoplankton; Microzooplankton; Grazing; Food web</t>
  </si>
  <si>
    <t>SUB-ANTARCTIC WATERS; CONVERGENCE REGION; CHATHAM RISE; AUSTRAL WINTER; SOUTHERN-OCEAN; SURFACE CHLOROPHYLL; EQUATORIAL PACIFIC; DILUTION TECHNIQUE; SEASONAL DYNAMICS; SPRING BLOOMS</t>
  </si>
  <si>
    <t>Elevated but variable phytoplankton biomass and productivity is often associated with the subtropical front (STF) where nitrogen-limited subtropical and iron-limited subantarctic waters mix. To understand variability within the STF east of New Zealand, we assessed phytoplankton community structure, growth, and grazing dynamics in relation to physico-chemical conditions across 23 stations distributed along the Chatham Rise region during late autumn-early winter. Serial dilution experiments were coupled with size-fractionated chlorophyll a (Chla) analysis (Total and &lt;20 mu m) and flow-cytometry (Synechococcus and picoeukaryote numbers, &lt;2 mu m) to estimate phytoplankton growth and microzooplankton grazing rates. Within the broad STF zone, subantarctic influenced waters (SAIW), frontal zone (FZ), and subtropical influenced waters (STIW) were delimited based on salinity, temperature and nutrient gradients. The chlorophyll a biomass (TChla) of phytoplankton and the abundance of larger sized cells (&gt;20 mu m chlorophyll a) peaked in FZ waters but declined steadily southwards into the colder SAIW, and rapidly reduced north into the STIW. Chlorophyll a &lt;2 mu m peaked in the northern STIW. Phytoplankton growth (TChla) was higher in warmer STIW (mu = 0.49 +/- 0.07 day(-1)) than in iron limited SAIW (mu = 0.29 +/- 0.06 day(-1)) but was on average moderate (mu = 0.42 +/- 0.05 day(-1)) when compared to previous studies in the region. Microzooplankton grazing on TChla was lower (m = 0.17 +/- 0.04 day(-1)) than growth and accounted for half of daily primary production (m:mu, 0.47 +/- 0.06). Growth in the &lt;20 mu m Chla size fraction was higher (mu = 0.52 +/- 0.06 day(-1)) but a larger proportion was consumed by microzooplankton (m:mu = 0.64 +/- 0.06). Picoeukaryotes showed the fastest growth (1.49 +/- 0.13 day(-1)) and grazing (1.43 +/- 0.11 day(-1)) rates on average, which peaked in the FZ but remained closely balanced across different waters (m:mu = 1.00 +/- 0.02). Conversely, Synechococcus rates peaked in STIW and decreased southwards, with growth (mu = 0.42 +/- 0.08 day(-1)) generally exceeding grazing (m = 0.28 +/- 0.06 day(-1)) across all regions. Our results indicate differences in grazing together with nutrient (likely iron) availability were the primary factors controlling phytoplankton dynamics in the STF zone. These factors also affected the accumulation of larger phytoplankton biomass in the FZ, including the potential for export or transfer to higher trophic levels.</t>
  </si>
  <si>
    <t>[Safi, Karl A.] Natl Inst Water &amp; Atmospher Res, POB 11-115, Hamilton 3251, New Zealand; [Rodriguez, Andres Gutierrez; Hall, Julie A.; Pinkerton, Matthew H.] Natl Inst Water &amp; Atmospher Res, Private Bag 14-901, Wellington 6021, New Zealand</t>
  </si>
  <si>
    <t>National Institute of Water &amp; Atmospheric Research (NIWA) - New Zealand; National Institute of Water &amp; Atmospheric Research (NIWA) - New Zealand</t>
  </si>
  <si>
    <t>Safi, KA (corresponding author), Natl Inst Water &amp; Atmospher Res, POB 11-115, Hamilton 3251, New Zealand.</t>
  </si>
  <si>
    <t>karl.safi@niwa.co.nz; Andres.GutierrezRodriguez@niwa.co.nz; Julie.Hall@niwa.co.nz; Matt.Pinkerton@niwa.co.nz</t>
  </si>
  <si>
    <t>Gutierrez Rodriguez, Andres/0000-0003-1274-3752; Safi, Karl/0000-0002-7785-1909</t>
  </si>
  <si>
    <t>Ministry of Business, Innovation and Employment (MBIE) [CO1X0501]; NIWA via MBIE's Strategic Science Investment</t>
  </si>
  <si>
    <t>Ministry of Business, Innovation and Employment (MBIE)(New Zealand Ministry of Business, Innovation and Employment (MBIE)); NIWA via MBIE's Strategic Science Investment</t>
  </si>
  <si>
    <t>We would like to acknowledge Karen Robinson (NIWA) for micro- zooplankton counts and identification and the Hamilton NIWA Water Quality lab for assistance with analysis. Niall Broekhuizen and Mark Hadfield (both NIWA) are thanked for their assistance with depth inte- gration and MLD calculations. Scott Nodder, Philip Sutton and Denise Fernandez (NIWA) we thank for help with interpretation of the mixing dynamics. We would also like to thank Scott Nodder for comments provided on this manuscript. The work was funded by the Foundation for Research Science &amp; Technology (Contract CO1X0501) , now the Ministry of Business, Innovation and Employment (MBIE) , and supported by NIWA via MBIE's Strategic Science Investment Funding to the National Coasts &amp; Oceans Centre.</t>
  </si>
  <si>
    <t>10.1016/j.dsr2.2023.105271</t>
  </si>
  <si>
    <t>H5DJ5</t>
  </si>
  <si>
    <t>WOS:000996163900001</t>
  </si>
  <si>
    <t>Aguilera, MA; Araya, A; Rojas, A; Ortiz, L; Strain, EMA</t>
  </si>
  <si>
    <t>Aguilera, Moises A.; Araya, Angelo; Rojas, Ariel; Ortiz, Leslie; Strain, Elisabeth M. A.</t>
  </si>
  <si>
    <t>Designing urban ports for improved coastal ecosystem services: Lessons learnt for enhancing biodiversity and reducing social-ecological conflicts</t>
  </si>
  <si>
    <t>REGIONAL STUDIES IN MARINE SCIENCE</t>
  </si>
  <si>
    <t>Built infrastructure; Ecological engineering; Ecosystem services; Port pressures; Urban metabolism</t>
  </si>
  <si>
    <t>OCEAN SPRAWL; MARINE; MANAGEMENT; FRAMEWORK; INFRASTRUCTURE; METABOLISM; SUSTAINABILITY; SYSTEMS; IMPACTS; LIGHT</t>
  </si>
  <si>
    <t>Ports are expanding urban systems worldwide which provide important economic benefits to local economies. But port land reclamation together with infrastructure deployment and operations, produce unprecedented pressure on surrounding coastal ecosystems. Thus, the implementation of effective management strategies to deal with social-environmental conflicts is often required. Only a few studies have addressed the socio-ecological link between port impact on coastal ecosystem services and how this related to social conflicts. Here, we use multidisciplinary research to address these questions considering two ports located in Coquimbo city-port (29 degrees S) in Chile, as our study port-system. Index scores of port impacts on urban natural ecosystem services and the city were calculated from known drivers of decline. Questionnaires were used to identify local citizens' concerns about port operations and expansion. Our results demonstrated significant pressures from port infrastructure and operations on maritime but also in shoreland coastal ecosystem services, which were perceived as a critical environmental concern by local respondents. There was low knowledge, but positive appreciation, of ecological engineering initiatives in urban environments to rehabilitate ecosystem attributes. Field experiments showed that biodiversity enhancement of port infrastructure is effective, and might be a good initiative to link people with the port. Our results suggest that port industries must engage in more explicit initiatives to compensate for the environmental impacts of the expansion of built infrastructure, resulting in more effective integration of these urban systems with natural ecosystems.(c) 2023 Elsevier B.V. All rights reserved.</t>
  </si>
  <si>
    <t>[Aguilera, Moises A.] Univ Adolfo Ibanez, Fac Artes Liberales, Dept Ciencias, Diagonal Las Torres 2640, Santiago, Chile; [Araya, Angelo] Univ Catolica Norte, Fac Ciencias Mar, Magister Gest Ambiental, Larrondo 1281, Coquimbo, Chile; [Rojas, Ariel] Crta Ballestero, Empresa AQUADEUSS SL, Dept Calidad &amp; Lab, Km 2, Robledo 02340, Albacete, Spain; [Ortiz, Leslie] Univ Catolica Norte, Fac Ciencias Mar, Dept Biol Marina, Larrondo 1281, Coquimbo, Chile; [Strain, Elisabeth M. A.] Univ Tasmania, Inst Marine &amp; Antarctic Studies, Hobart, Tas 7001, Australia; [Strain, Elisabeth M. A.] Univ Tasmania, Ctr Marine Socioecol, Hobart, Tas 7053, Australia</t>
  </si>
  <si>
    <t>Universidad Adolfo Ibanez; Universidad Catolica del Norte; Universidad Catolica del Norte; University of Tasmania; University of Tasmania</t>
  </si>
  <si>
    <t>Aguilera, MA (corresponding author), Univ Adolfo Ibanez, Fac Artes Liberales, Dept Ciencias, Diagonal Las Torres 2640, Santiago, Chile.</t>
  </si>
  <si>
    <t>moises.aguilera@uai.cl</t>
  </si>
  <si>
    <t>Strain, Elisabeth/U-3520-2017</t>
  </si>
  <si>
    <t>Aguilera, Moises/0000-0002-3517-6255</t>
  </si>
  <si>
    <t>FONDECYT [1160223, 1210146]</t>
  </si>
  <si>
    <t>FONDECYT(Comision Nacional de Investigacion Cientifica y Tecnologica (CONICYT)CONICYT FONDECYT)</t>
  </si>
  <si>
    <t>Fieldwork and writing were financed by FONDECYT grant #1160223 and #1210146 to MAA. We thank TPC port and Armada de Chile (Capitan?a de Puerto de Coquimbo) , for permission and assistance to conduct the field experiments. Jos? Pantoja gave as- sistance during the field experiments and surveys. We appreciate the comments made by two anonymous reviewers which greatly improve the final version of this manuscript.</t>
  </si>
  <si>
    <t>2352-4855</t>
  </si>
  <si>
    <t>REG STUD MAR SCI</t>
  </si>
  <si>
    <t>Reg. Stud. Mar. Sci.</t>
  </si>
  <si>
    <t>10.1016/j.rsma.2023.102886</t>
  </si>
  <si>
    <t>A0ZY6</t>
  </si>
  <si>
    <t>WOS:000952512700001</t>
  </si>
  <si>
    <t>Luo, L; Ma, XH; Guo, RZ; Jiang, T; Wang, TC; Shao, HB; He, H; Wang, HL; Liang, YT; McMinn, A; Guo, C; Wang, M</t>
  </si>
  <si>
    <t>Luo, Lin; Ma, Xiaohong; Guo, Ruizhe; Jiang, Tong; Wang, Tiancong; Shao, Hongbing; He, Hui; Wang, Hualong; Liang, Yantao; McMinn, Andrew; Guo, Cui; Wang, Min</t>
  </si>
  <si>
    <t>Characterization and genomic analysis of a novel Synechococcus phage S-H9-2 belonging to Bristolvirus genus isolated from the Yellow Sea</t>
  </si>
  <si>
    <t>VIRUS RESEARCH</t>
  </si>
  <si>
    <t>Cyanophage; Genomic and phylogenetic analysis; Auxiliary metabolic genes; Synechococcus</t>
  </si>
  <si>
    <t>PHOTOSYNTHESIS GENES; MARINE CYANOPHAGES; RIBONUCLEOTIDE REDUCTASES; VIRUSES; PROCHLOROCOCCUS; CLASSIFICATION; RESTRICTION; WIDESPREAD; MYOVIRUSES; DIVERSITY</t>
  </si>
  <si>
    <t>Cyanophages are known to influence the population dynamics and community structure of cyanobacteria and thus play an important role in biogeochemical cycles in aquatic ecosystems. In this study, a novel Synechococcus phage S-H9-2 infecting Synechococcus sp. WH 8102 was isolated from the coastal water of the Yellow Sea. Synechococcus phage S-H9-2 contains a 187,320 bp genome of double-stranded DNA with a G + C content of 40.3%, 202 potential open reading frames (ORFs), and 15 tRNAs. Phylogenetic analysis and nucleotide-based intergenomic similarity suggest that Synechococcus phage S-H9-2 belongs to the Bristolvirus genus under the family Kyanoviridae. Homologs of the S-H9-2 open reading frame can be found in a variety of marine envi-ronments, as shown by the results of mapping the genome sequence of S-H9-2 to the Global Ocean Viromes 2.0 dataset. The presence of auxiliary metabolic genes (AMGs) related to photosynthesis, carbon metabolism, and phosphorus assimilation, as well as phylogenetic relationships based on complete genome sequences, reflect the mechanism of phage-host interaction and host-specific strategies for adaptation to environmental conditions. This study enriches the current genomic database of cyanophage and contributed to our understanding of the virus-host interactions and their adaption to the environment.</t>
  </si>
  <si>
    <t>[Luo, Lin; Guo, Ruizhe; Jiang, Tong; Wang, Tiancong; Shao, Hongbing; He, Hui; Wang, Hualong; Liang, Yantao; McMinn, Andrew; Guo, Cui; Wang, Min] Ocean Univ China, Inst Evolut &amp; Marine Biodivers, Coll Marine Life Sci, Frontiers Sci Ctr Deep Ocean Multispheres &amp; Earth, Qingdao 266003, Peoples R China; [Ma, Xiaohong] Qingdao Municipal Hosp, Dept Pediat, Qingdao 266011, Peoples R China; [Shao, Hongbing; He, Hui; Wang, Hualong; Liang, Yantao; Guo, Cui; Wang, Min] UMT OUC Joint Ctr Marine Studies, Qingdao 266003, Peoples R China; [McMinn, Andrew] Univ Tasmania, Inst Marine &amp; Antarctic Studies, Hobart, SA 7001, Australia; [Wang, Min] Qingdao Univ, Affiliated Hosp, Qingdao 266000, Peoples R China</t>
  </si>
  <si>
    <t>Ocean University of China; Qingdao Municipal Hospital; University of Tasmania; Qingdao University</t>
  </si>
  <si>
    <t>Guo, C; Wang, M (corresponding author), Ocean Univ China, Inst Evolut &amp; Marine Biodivers, Coll Marine Life Sci, Frontiers Sci Ctr Deep Ocean Multispheres &amp; Earth, Qingdao 266003, Peoples R China.;Guo, C; Wang, M (corresponding author), UMT OUC Joint Ctr Marine Studies, Qingdao 266003, Peoples R China.;Wang, M (corresponding author), Qingdao Univ, Affiliated Hosp, Qingdao 266000, Peoples R China.</t>
  </si>
  <si>
    <t>guocui@ouc.edu.cn; mingwang@ouc.edu.cn</t>
  </si>
  <si>
    <t>Guo, Ruizhe/GQZ-7494-2022; Wang, Min/AFR-9645-2022; Li, Yan/JRW-0176-2023</t>
  </si>
  <si>
    <t>Wang, Min/0000-0002-2357-589X;</t>
  </si>
  <si>
    <t>National Natural Science Foundation of China [42176149, 41906126, 41976117, 42120104006]; Fundamental Research Funds for the Central Universities [201912003, 202172002]; [201812002]</t>
  </si>
  <si>
    <t>National Natural Science Foundation of China(National Natural Science Foundation of China (NSFC)); Fundamental Research Funds for the Central Universities(Fundamental Research Funds for the Central Universities);</t>
  </si>
  <si>
    <t>This study was supported by National Natural Science Foundation of China (No. 42176149, 41906126, 41976117, 42120104006) and the Fundamental Research Funds for the Central Universities (201912003,202172002, 201812002) .</t>
  </si>
  <si>
    <t>0168-1702</t>
  </si>
  <si>
    <t>1872-7492</t>
  </si>
  <si>
    <t>VIRUS RES</t>
  </si>
  <si>
    <t>Virus Res.</t>
  </si>
  <si>
    <t>APR 15</t>
  </si>
  <si>
    <t>10.1016/j.virusres.2023.199072</t>
  </si>
  <si>
    <t>Virology</t>
  </si>
  <si>
    <t>9X3DE</t>
  </si>
  <si>
    <t>WOS:000949651500001</t>
  </si>
  <si>
    <t>Zeng, QH; Hu, D; Wang, RH; Li, YF; Wen, YH; Xiao, HD; Zhao, Y; Wang, JJ</t>
  </si>
  <si>
    <t>Zeng, Qiao-Hui; Hu, Di; Wang, Rong-Han; Li, Yufeng; Wen, Yuhui; Xiao, Hongdong; Zhao, Yong; Wang, Jing Jing</t>
  </si>
  <si>
    <t>Curcumin-loaded emulsions stabilized by the succinylated Antarctic krill proteins: Establishment of photodynamic inactivation to preserve salmon</t>
  </si>
  <si>
    <t>Antarctic krill proteins; Photodynamic inactivation; Succinylation; Salmon; Storage quality</t>
  </si>
  <si>
    <t>QUALITY; ICE; NMR</t>
  </si>
  <si>
    <t>The succinylated Antarctic krill proteins (SAKP) were fabricated using the ultrasound, and the curcumin-loaded emulsions stabilized by SAKP were selected as photosensitizers to construct a photodynamic inactivation (PDI) system to preserve salmon during storage at 4 degrees C. The SAKP treated with 200 W ultrasound (SAKP-U-200) presented an expanded and flexible structure, a decreased particle size from 465 nm to 358 nm, an increased surface hydrophobicity from 207.1 to 411.5, and its interface absorption capacity was increased by similar to 8.0%, which displayed a superior encapsulation and emulsification ability compared with the other succinylated proteins. The emulsions stabilized by SAKP-U-200 efficiently loaded curcumin, and the established PDI mediated by the coating photosensitizers potently inactivated the bacteria in salmon by similar to 3.0 Log(10) CFU/g (99.9%) after the illumination of 18.72 J/cm(2). Meanwhile, the PDI inhibited the changes of color and pH, maintained the integrity of muscle fibers, and reduced the water loss of salmon during the post-treatment storage. Notably, the PDI treatment inhibited the degradation of proteins by similar to 7.7%, and decreased the oxidation of unsaturated fatty acids by similar to 21%. Therefore, this study expands the application of PDI in preserving the storage quality of aquatic products.</t>
  </si>
  <si>
    <t>[Zeng, Qiao-Hui; Hu, Di; Wen, Yuhui; Xiao, Hongdong; Wang, Jing Jing] Foshan Univ, Guangdong Prov Key Lab Intelligent Food Mfg, Foshan 528225, Peoples R China; [Wang, Rong-Han; Li, Yufeng; Zhao, Yong; Wang, Jing Jing] Shanghai Ocean Univ, Coll Food Sci &amp; Technol, Shanghai 201306, Peoples R China; [Hu, Di; Wang, Jing Jing] Foshan Univ, Natl Tech Ctr Foshan Qual Control Famous &amp; Special, Foshan 528225, Peoples R China; [Zhao, Yong; Wang, Jing Jing] Minist Agr &amp; Rural Affairs, Lab Qual &amp; Safety Risk Assessment Aquat Prod Stora, Shanghai 201306, Peoples R China; [Zhao, Yong] Shanghai Engn Res Ctr Aquat Prod Proc &amp; Preservat, Shanghai 201306, Peoples R China</t>
  </si>
  <si>
    <t>Foshan University; Shanghai Ocean University; Foshan University; Ministry of Agriculture &amp; Rural Affairs</t>
  </si>
  <si>
    <t>Wang, JJ (corresponding author), Foshan Univ, Guangdong Prov Key Lab Intelligent Food Mfg, Foshan 528225, Peoples R China.</t>
  </si>
  <si>
    <t>w_j2010@126.com</t>
  </si>
  <si>
    <t>lu, kai/KBB-4008-2024; Zhang, Yuyao/KEH-7175-2024</t>
  </si>
  <si>
    <t>National Natural Science Foundation of China [32102105]; Program of Shanghai Academic Research Leader [21XD1401200]; Guangdong Basic and Applied Basic Research Foundation [2020A1515110960, 2020A1515110326, 2021A151501 0015]; Guangdong Provincial Department of Education Research Project [2022KTSCX120]; Guangdong Provincial Key Laboratory of Intelligent Food Manufacturing [2022B1212010015]; Scientific Research Foundation of Anhui Polytechnic University [2021YQQ046]; Free Exploration Foundation for Graduate Students in Foshan University [2021ZYTS42]</t>
  </si>
  <si>
    <t>National Natural Science Foundation of China(National Natural Science Foundation of China (NSFC)); Program of Shanghai Academic Research Leader; Guangdong Basic and Applied Basic Research Foundation; Guangdong Provincial Department of Education Research Project; Guangdong Provincial Key Laboratory of Intelligent Food Manufacturing; Scientific Research Foundation of Anhui Polytechnic University; Free Exploration Foundation for Graduate Students in Foshan University</t>
  </si>
  <si>
    <t>This work was supported by the National Natural Science Foundation of China (32102105) ; Program of Shanghai Academic Research Leader (21XD1401200) ; the Guangdong Basic and Applied Basic Research Foundation (2020A1515110960; 2020A1515110326; 2021A151501 0015) ; Guangdong Provincial Department of Education Research Project (2022KTSCX120) ; Guangdong Provincial Key Laboratory of Intelligent Food Manufacturing (2022B1212010015) ; Scientific Research Foundation of Anhui Polytechnic University (2021YQQ046) ; Free Exploration Foundation for Graduate Students in Foshan University (2021ZYTS42) . We removed all the codes in the graphs following the demand of the journal's editor.</t>
  </si>
  <si>
    <t>10.1016/j.lwt.2023.114613</t>
  </si>
  <si>
    <t>K8KD9</t>
  </si>
  <si>
    <t>WOS:001018862900001</t>
  </si>
  <si>
    <t>Adams, CIM; Jeunen, GJ; Cross, H; Taylor, HR; Bagnaro, A; Currie, K; Hepburn, C; Gemmell, NJ; Urban, L; Baltar, F; Stat, M; Bunce, M; Knapp, M</t>
  </si>
  <si>
    <t>Adams, Clare I. M.; Jeunen, Gert-Jan; Cross, Hugh; Taylor, Helen R.; Bagnaro, Antoine; Currie, Kim; Hepburn, Chris; Gemmell, Neil J.; Urban, Lara; Baltar, Federico; Stat, Michael; Bunce, Michael; Knapp, Michael</t>
  </si>
  <si>
    <t>Environmental DNA metabarcoding describes biodiversity across marine gradients</t>
  </si>
  <si>
    <t>community biodiversity; eDNA; environmental DNA; monitoring; Munida transect; spatial heterogeneity; temporal heterogeneity</t>
  </si>
  <si>
    <t>NEW-ZEALAND; SP-NOV; PHYTOPLANKTON ASSEMBLAGES; OTAGO PENINSULA; BACTERIAL COMMUNITIES; SOUTHLAND CURRENT; PSEUDO-NITZSCHIA; NORTH-ATLANTIC; SURFACE-WATER; FISH</t>
  </si>
  <si>
    <t>In response to climate change, biodiversity patterns in the oceans are predicted to shift rapidly, thus increasing the need for efficient monitoring methods. Environmental DNA (eDNA) metabarcoding recently emerged as a potent and cost-effective candidate to answer this challenge. We targeted three molecular markers to determine multicellular metazoan communities from two timepoints across a long-standing transect in the Southern Hemisphere, the Munida Observational Time Series. We detected four community types across the successive water masses-neritic, sub-tropical, frontal, and sub-Antarctic-crossed by the transect, together with important community differences between the two sampling points. From indicator species analysis, we found diversity patterns were mostly driven by planktonic organisms. Mesopelagic communities differed from surface-water communities in the sub-Antarctic water mass, with at-depth communities dominated by single-cellular organisms. We evaluate the ability of eDNA to detect species-compositional changes across surface and depth gradients and lay the foundations for using this technique in multi-trophic environmental monitoring efforts across long time series. We observed community differences across time and space. More intensive sampling will be critical to fully capture diversity across marine gradients, but this multi-trophic method represents an invaluable opportunity to understand shifts in marine biota.</t>
  </si>
  <si>
    <t>[Adams, Clare I. M.] Minist Primary Ind, Coastal People Southern Skies Ctr Res Excellence, Charles Fergusson Bldg,34-38 Bowen St, Pipitea 6011, Wellington, New Zealand; [Jeunen, Gert-Jan; Gemmell, Neil J.] Univ Otago, Dept Anat, Dunedin 9016, Otago, New Zealand; [Cross, Hugh] Natl Ecol Observ Network NEON, Boulder, CO 80301 USA; [Taylor, Helen R.] Royal Zool Soc Scotland, Edinburgh EH12 6TS, Scotland; [Bagnaro, Antoine; Hepburn, Chris] Univ Otago, Coastal People Southern Skies Ctr Res Excellence, Dept Marine Sci, Dunedin 9016, Otago, New Zealand; [Currie, Kim] Univ Otago, Coastal People Southern Skies Ctr Res Excellence, Dept Chem, Dunedin 9016, Otago, New Zealand; [Currie, Kim] Univ Otago, NIWA, Res Ctr Oceanog, Dunedin 9016, Otago, New Zealand; [Urban, Lara] Helmholtz Munich, Ingolstadter Landstr, Neuherberg, Germany; [Baltar, Federico] Univ Vienna, Dept Funct &amp; Evolutionary Ecol, A-1090 Vienna, Austria; [Stat, Michael] Univ Newcastle, Sch Environm &amp; Life Sci, Callaghan, NSW 2300, Australia; [Bunce, Michael] Conservat House, Dept Conservat, 18-32 Manners St, Te Aro 6011, Wellington, New Zealand; [Knapp, Michael] Univ Otago, Coastal People Southern Skies Ctr Res Excellence, Dept Anat, Dunedin 9016, Otago, New Zealand</t>
  </si>
  <si>
    <t>University of Otago; University of Otago; University of Otago; University of Otago; University of Vienna; University of Newcastle; University of Otago</t>
  </si>
  <si>
    <t>Adams, CIM (corresponding author), Minist Primary Ind, Coastal People Southern Skies Ctr Res Excellence, Charles Fergusson Bldg,34-38 Bowen St, Pipitea 6011, Wellington, New Zealand.</t>
  </si>
  <si>
    <t>clare.im.adams@gmail.com</t>
  </si>
  <si>
    <t>Stat, Michael/K-5290-2012; Gemmell, Neil J/C-6774-2009; Baltar, Federico/C-3260-2012</t>
  </si>
  <si>
    <t>Baltar, Federico/0000-0001-8907-1494; Adams, Clare/0000-0002-3379-7795</t>
  </si>
  <si>
    <t>MAY 18</t>
  </si>
  <si>
    <t>10.1093/icesjms/fsad017</t>
  </si>
  <si>
    <t>G5TY4</t>
  </si>
  <si>
    <t>WOS:000939211200001</t>
  </si>
  <si>
    <t>Gros, C; Jansen, J; Untiedt, C; Pearman, TRR; Downey, R; Barnes, DKA; Bowden, DA; Welsford, DC; Hill, NA</t>
  </si>
  <si>
    <t>Gros, Charley; Jansen, Jan; Untiedt, Candice; Pearman, Tabitha R. R.; Downey, Rachel; Barnes, David K. A.; Bowden, David A.; Welsford, Dirk C.; Hill, Nicole A.</t>
  </si>
  <si>
    <t>Identifying vulnerable marine ecosystems: an image-based vulnerability index for the Southern Ocean seafloor</t>
  </si>
  <si>
    <t>CCAMLR; deep sea; deep-sea fisheries; multi-criteria assessment; VME</t>
  </si>
  <si>
    <t>DEEP; BOTTOM; CONSERVATION; FISHERIES; IDENTIFICATION; ANTARCTICA; PROTECTION; MANAGEMENT; IMPACT; AREAS</t>
  </si>
  <si>
    <t>A significant proportion of Southern Ocean seafloor biodiversity is thought to be associated with fragile, slow growing, long-lived, and habitat-forming taxa. Minimizing adverse impact to these so-called vulnerable marine ecosystems (VMEs) is a conservation priority that is often managed by relying on fisheries bycatch data, combined with threshold-based conservation rules in which all indicator taxa are considered equal. However, VME indicator taxa have different vulnerabilities to fishing disturbance and more consideration needs to be given to how these taxa may combine to form components of ecosystems with high conservation value. Here, we propose a multi-criteria approach to VME identification that explicitly considers multiple taxa identified from imagery as VME indicator morpho-taxa. Each VME indicator morpho-taxon is weighted differently, based on its vulnerability to fishing. Using the Antarctic Seafloor Annotated Imagery Database, where 53 VME indicator morpho-taxa were manually annotated generating &gt;40000 annotations, we computed an index of cumulative abundance and overall richness and assigned it to spatial grid cells. Our analysis quantifies the assemblage-level vulnerability to fishing, and allows assemblages to be characterized, e.g. as highly diverse or highly abundant. The implementation of this quantitative method is intended to enhance VME identification and contextualize the bycatch events.</t>
  </si>
  <si>
    <t>[Gros, Charley; Jansen, Jan; Hill, Nicole A.] Univ Tasmania, Inst Marine &amp; Antarctic Studies, Hobart, Tas 7001, Australia; [Untiedt, Candice] CSIRO Coasts &amp; Oceans Res, Hobart, Tas 7001, Australia; [Pearman, Tabitha R. R.] South Atlantic Environm Res Inst, Stanley FIQQ 1ZZ, Falkland Island; [Downey, Rachel] Australian Natl Univ, Fenner Sch Environm &amp; Soc, Canberra 2601, Australia; [Barnes, David K. A.] British Antarctic Survey, UKRI, Madingley Rd,6021, Cambridge CB3 0ET, England; [Bowden, David A.] Natl Inst Water &amp; Atmospher Res, Wellington 7050, New Zealand; [Welsford, Dirk C.] Australian Antarctic Div, Dept Climate Change Energy Environm &amp; Water, Kingston, Tas, Australia</t>
  </si>
  <si>
    <t>University of Tasmania; Commonwealth Scientific &amp; Industrial Research Organisation (CSIRO); Australian National University; UK Research &amp; Innovation (UKRI); Natural Environment Research Council (NERC); NERC British Antarctic Survey; National Institute of Water &amp; Atmospheric Research (NIWA) - New Zealand; Australian Antarctic Division</t>
  </si>
  <si>
    <t>Gros, C (corresponding author), Univ Tasmania, Inst Marine &amp; Antarctic Studies, Hobart, Tas 7001, Australia.</t>
  </si>
  <si>
    <t>charley.gros@utas.edu.au</t>
  </si>
  <si>
    <t>Downey, Rachel/Q-4156-2019; Jansen, Jan/O-8632-2014</t>
  </si>
  <si>
    <t>Jansen, Jan/0000-0001-5896-365X</t>
  </si>
  <si>
    <t>10.1093/icesjms/fsad021</t>
  </si>
  <si>
    <t>WOS:000939214100001</t>
  </si>
  <si>
    <t>Okazaki, R; Marty, B; Busemann, H; Hashizume, K; Gilmour, JD; Meshik, A; Yada, T; Kitajima, F; Broadley, MW; Byrne, D; Füri, E; Riebe, MEI; Krietsch, D; Maden, C; Ishida, A; Clay, P; Crowther, SA; Fawcett, L; Lawton, T; Pravdivtseva, O; Miura, YN; Park, J; Bajo, KI; Takano, Y; Yamada, K; Kawagucci, S; Matsui, Y; Yamamoto, M; Righter, K; Sakai, S; Iwata, N; Shirai, N; Sekimoto, S; Inagaki, M; Ebihara, M; Yokochi, R; Nishiizumi, K; Nagao, K; Lee, JI; Kano, A; Caffee, MW; Uemura, R; Nakamura, T; Naraoka, H; Noguchi, T; Yabuta, H; Yurimoto, H; Tachibana, S; Sawada, H; Sakamoto, K; Abe, M; Arakawa, M; Fujii, A; Hayakawa, M; Hirata, N; Hirata, N; Honda, R; Honda, C; Hosoda, S; Iijima, YI; Ikeda, H; Ishiguro, M; Ishihara, Y; Iwata, T; Kawahara, K; Kikuchi, S; Kitazato, K; Matsumoto, K; Matsuoka, M; Michikami, T; Mimasu, Y; Miura, A; Morota, T; Nakazawa, S; Namiki, N; Noda, H; Noguchi, R; Ogawa, N; Ogawa, K; Okada, T; Okamoto, C; Ono, G; Ozaki, M; Saiki, T; Sakatani, N; Senshu, H; Shimaki, Y; Shirai, K; Sugita, S; Takei, Y; Takeuchi, H; Tanaka, S; Tatsumi, E; Terui, F; Tsukizaki, R; Wada, K; Yamada, M; Yamada, T; Yamamoto, Y; Yano, H; Yokota, Y; Yoshihara, K; Yoshikawa, M; Yoshikawa, K; Furuya, S; Hatakeda, K; Hayashi, T; Hitomi, Y; Kumagai, K; Miyazaki, A; Nakato, A; Nishimura, M; Soejima, H; Iwamae, A; Yamamoto, D; Yogata, K; Yoshitake, M; Fukai, R; Usui, T; Connolly, HCC; Lauretta, D; Watanabe, SI; Tsuda, Y</t>
  </si>
  <si>
    <t>Okazaki, Ryuji; Marty, Bernard; Busemann, Henner; Hashizume, Ko; Gilmour, Jamie D.; Meshik, Alex; Yada, Toru; Kitajima, Fumio; Broadley, Michael W.; Byrne, David; Fueri, Evelyn; Riebe, My E. I.; Krietsch, Daniela; Maden, Colin; Ishida, Akizumi; Clay, Patricia; Crowther, Sarah A.; Fawcett, Lydia; Lawton, Thomas; Pravdivtseva, Olga; Miura, Yayoi N.; Park, Jisun; Bajo, Ken-ichi; Takano, Yoshinori; Yamada, Keita; Kawagucci, Shinsuke; Matsui, Yohei; Yamamoto, Mizuki; Righter, Kevin; Sakai, Saburo; Iwata, Naoyoshi; Shirai, Naoki; Sekimoto, Shun; Inagaki, Makoto; Ebihara, Mitsuru; Yokochi, Reika; Nishiizumi, Kunihiko; Nagao, Keisuke; Lee, Jong Ik; Kano, Akihiro; Caffee, Marc W.; Uemura, Ryu; Nakamura, Tomoki; Naraoka, Hiroshi; Noguchi, Takaaki; Yabuta, Hikaru; Yurimoto, Hisayoshi; Tachibana, Shogo; Sawada, Hirotaka; Sakamoto, Kanako; Abe, Masanao; Arakawa, Masahiko; Fujii, Atsushi; Hayakawa, Masahiko; Hirata, Naoyuki; Hirata, Naru; Honda, Rie; Honda, Chikatoshi; Hosoda, Satoshi; Iijima, Yu-ichi; Ikeda, Hitoshi; Ishiguro, Masateru; Ishihara, Yoshiaki; Iwata, Takahiro; Kawahara, Kosuke; Kikuchi, Shota; Kitazato, Kohei; Matsumoto, Koji; Matsuoka, Moe; Michikami, Tatsuhiro; Mimasu, Yuya; Miura, Akira; Morota, Tomokatsu; Nakazawa, Satoru; Namiki, Noriyuki; Noda, Hirotomo; Noguchi, Rina; Ogawa, Naoko; Ogawa, Kazunori; Okada, Tatsuaki; Okamoto, Chisato; Ono, Go; Ozaki, Masanobu; Saiki, Takanao; Sakatani, Naoya; Senshu, Hiroki; Shimaki, Yuri; Shirai, Kei; Sugita, Seiji; Takei, Yuto; Takeuchi, Hiroshi; Tanaka, Satoshi; Tatsumi, Eri; Terui, Fuyuto; Tsukizaki, Ryudo; Wada, Koji; Yamada, Manabu; Yamada, Tetsuya; Yamamoto, Yukio; Yano, Hajime; Yokota, Yasuhiro; Yoshihara, Keisuke; Yoshikawa, Makoto; Yoshikawa, Kent; Furuya, Shizuho; Hatakeda, Kentaro; Hayashi, Tasuku; Hitomi, Yuya; Kumagai, Kazuya; Miyazaki, Akiko; Nakato, Aiko; Nishimura, Masahiro; Soejima, Hiromichi; Iwamae, Ayako; Yamamoto, Daiki; Yogata, Kasumi; Yoshitake, Miwa; Fukai, Ryota; Usui, Tomohiro; Connolly Jr, Harold C.; Lauretta, Dante; Watanabe, Sei-ichiro; Tsuda, Yuichi</t>
  </si>
  <si>
    <t>Noble gases and nitrogen in samples of asteroid Ryugu record its volatile sources and recent surface evolution</t>
  </si>
  <si>
    <t>ANTARCTIC MICROMETEORITES; CARBONACEOUS CHONDRITES; ISOTOPIC COMPOSITIONS; ABUNDANCES; ARGON; SOLAR; NEON; METEORITES; HISTORY; HELIUM</t>
  </si>
  <si>
    <t>The near-Earth carbonaceous asteroid (162173) Ryugu is expected to contain volatile chemical species that could provide information on the origin of Earth's volatiles. Samples of Ryugu were retrieved by the Hayabusa2 spacecraft. We measured noble gas and nitrogen isotopes in Ryugu samples and found that they are dominated by presolar and primordial components, incorporated during Solar System formation. Noble gas concentrations are higher than those in Ivuna-type carbonaceous (CI) chondrite meteorites. Several host phases of isotopically distinct nitrogen have different abundances among the samples. Our measurements support a close relationship between Ryugu and CI chondrites. Noble gases produced by galactic cosmic rays, indicating a similar to 5 million year exposure, and from implanted solar wind record the recent irradiation history of Ryugu after it migrated to its current orbit.</t>
  </si>
  <si>
    <t>[Okazaki, Ryuji] Kyushu Univ, Dept Earth &amp; Planetary Sci, Fukuoka 8190395, Japan; [Marty, Bernard; Broadley, Michael W.; Byrne, David; Fueri, Evelyn] Univ Lorraine, CNRS, CRPG, F-54000 Nancy, France; [Busemann, Henner; Riebe, My E. I.; Krietsch, Daniela; Maden, Colin] Eidgenoss TH Zurich, Inst Geochem &amp; Petrol, CH-8092 Zurich, Switzerland; [Hashizume, Ko] Ibaraki Univ, Fac Sci, Mito 3108512, Japan; [Gilmour, Jamie D.; Crowther, Sarah A.; Fawcett, Lydia; Lawton, Thomas] Univ Manchester, Dept Earth &amp; Environm Sci, Manchester M13 9PL, England; [Pravdivtseva, Olga] Washington Univ St Louis, Dept Phys, St Louis, MO 63130 USA; [Yada, Toru; Sawada, Hirotaka; Sakamoto, Kanako; Abe, Masanao; Fujii, Atsushi; Hayakawa, Masahiko; Ikeda, Hitoshi; Iwata, Takahiro; Kawahara, Kosuke; Mimasu, Yuya; Miura, Akira; Nakazawa, Satoru; Ogawa, Naoko; Okada, Tatsuaki; Ozaki, Masanobu; Saiki, Takanao; Shimaki, Yuri; Shirai, Kei; Takei, Yuto; Takeuchi, Hiroshi; Tanaka, Satoshi; Tsukizaki, Ryudo; Yamada, Manabu; Yamamoto, Yukio; Yano, Hajime; Yokota, Yasuhiro; Yoshihara, Keisuke; Yoshikawa, Makoto; Yoshikawa, Kent; Furuya, Shizuho; Miyazaki, Akiko; Nakato, Aiko; Nishimura, Masahiro; Yamamoto, Daiki; Yogata, Kasumi; Yoshitake, Miwa; Fukai, Ryota; Usui, Tomohiro; Tsuda, Yuichi] Inst Space &amp; Astronaut Sci, Japan Aerosp Explorat Agcy JAXA, Sagamihara 2525210, Japan; [Ishida, Akizumi; Nakamura, Tomoki] Tohoku Univ, Dept Earth Sci, Sendai 9808578, Japan; [Miura, Yayoi N.] Univ Tokyo, Earthquake Res Inst, Tokyo 1130032, Japan; [Park, Jisun] City Univ New York, Kingsborough Community Coll, Dept Phys Sci, Brooklyn, NY 11235 USA; [Park, Jisun] Amer Museum Nat Hist, Dept Earth &amp; Planetary Sci, New York, NY 10024 USA; [Bajo, Ken-ichi] Hokkaido Univ, Dept Earth &amp; Planetary Sci, Sapporo 0600810, Japan; [Takano, Yoshinori; Sakai, Saburo] Japan Agcy Marine Earth Sci &amp; Technol JAMSTEC, Biogeochem Res Ctr, Yokosuka 2370061, Japan; [Yamada, Keita] Tokyo Inst Technol, Dept Chem Sci &amp; Engn, Yokohama 2268503, Japan; [Kawagucci, Shinsuke; Matsui, Yohei] JAMSTEC, Res Inst Global Change, Yokosuka 2370061, Japan; [Kawagucci, Shinsuke; Matsui, Yohei] JAMSTEC, Inst Extracutting Edge Sci &amp; Technol Avant Garde, Yokosuka 2370061, Japan; [Righter, Kevin] NASA Johnson Space Ctr, Astromat Res &amp; Explorat Sci, Houston, TX 77058 USA; [Iwata, Naoyoshi] Yamagata Univ, Fac Sci, Yamagata 9908560, Japan; [Shirai, Naoki; Ebihara, Mitsuru] Tokyo Metropolitan Univ, Grad Sch Sci &amp; Engn, Hachioji 1920397, Japan; [Shirai, Naoki] Kanagawa Univ, Fac Sci, Dept Chem, Hiratsuka, Kanagawa 2591293, Japan; [Sekimoto, Shun; Inagaki, Makoto] Kyoto Univ, Inst Integrated Radiat &amp; Nucl Sci, Osaka 5900494, Japan; [Yokochi, Reika] Univ Chicago, Dept Geophys Sci, Chicago, IL 60637 USA; [Nagao, Keisuke; Lee, Jong Ik] Univ Calif Berkeley, Space Sci Lab, Berkeley, CA 94720 USA; [Kano, Akihiro] Korea Polar Res Inst, Div Earth Sci, Incheon 21990, South Korea; [Kano, Akihiro; Morota, Tomokatsu; Sugita, Seiji; Tatsumi, Eri] Univ Tokyo, Sch Sci, Tokyo 1130033, Japan; [Caffee, Marc W.] Purdue Univ, Dept Phys &amp; Astron, W Lafayette, IN 47907 USA; [Caffee, Marc W.] Purdue Univ, Dept Earth Atmospher &amp; Planetary Sci, W Lafayette, IN 47907 USA; [Uemura, Ryu; Watanabe, Sei-ichiro] Nagoya Univ, Dept Earth &amp; Environm Sci, Nagoya 4648601, Japan; [Noguchi, Takaaki] Kyoto Univ, Div Earth &amp; Planetary Sci, Kyoto 6068502, Japan; [Yabuta, Hikaru] Hiroshima Univ, Dept Earth &amp; Planetary Syst Sci, Higashihiroshima 7398526, Japan; [Tachibana, Shogo] Univ Tokyo, UTokyo Org Planetary &amp; Space Sci, Tokyo 1130033, Japan; [Abe, Masanao; Matsumoto, Koji; Namiki, Noriyuki; Noda, Hirotomo; Ozaki, Masanobu; Saiki, Takanao; Yano, Hajime; Yoshikawa, Makoto] Grad Univ Adv Studies, Dept Space &amp; Astronaut Sci, Hayama 2400193, Japan; [Arakawa, Masahiko; Hirata, Naoyuki; Okamoto, Chisato; Shirai, Kei] Kobe Univ, Dept Planetol, Kobe 6578501, Japan; [Hirata, Naru; Honda, Chikatoshi; Kitazato, Kohei] Univ Aizu, Aizu Res Cluster Space Sci, Aizu Wakamatsu 9658580, Japan; [Honda, Rie] Ehime Univ, Ctr Data Sci, Matsuyama 7908577, Japan; [Ishiguro, Masateru] Seoul Natl Univ, Dept Phys &amp; Astron, Seoul 08826, South Korea; [Ishihara, Yoshiaki; Ogawa, Kazunori] JAXA, JAXA Space Explorat Ctr, Sagamihara 2525210, Japan; [Kikuchi, Shota; Senshu, Hiroki] Chiba Inst Technol, Planetary Explorat Res Ctr, Narashino 2750016, Japan; [Kikuchi, Shota; Matsumoto, Koji; Namiki, Noriyuki; Noda, Hirotomo] Natl Astron Observ Japan, Mitaka 1818588, Japan; [Matsuoka, Moe] Natl Inst Adv Ind Sci &amp; Technol, Geol Survey Japan, Tsukuba, Ibaraki 3058567, Japan; [Michikami, Tatsuhiro] Kindai Univ, Fac Engn, Higashihiroshima 7392116, Japan; [Noguchi, Rina] Niigata Univ, Fac Sci, Niigata 9502181, Japan; [Okada, Tatsuaki] Univ Tokyo, Dept Chem, Tokyo 1130033, Japan; [Ono, Go] JAXA, Res &amp; Dev Directorate, Sagamihara 2525210, Japan; [Sakatani, Naoya] Rikkyo Univ, Dept Phys, Tokyo 1718501, Japan; [Tatsumi, Eri] Univ La Laguna, Inst Astrofis Canarias, San Cristobal la Laguna 38205, Spain; [Terui, Fuyuto] Kanagawa Inst Technol, Dept Mech Engn, Atsugi 2430292, Japan; [Hatakeda, Kentaro; Hitomi, Yuya; Kumagai, Kazuya; Soejima, Hiromichi; Iwamae, Ayako] Marine Works Japan Ltd, Yokosuka 2370063, Japan; [Yamamoto, Daiki] Tokyo Inst Technol, Dept Earth &amp; Planetary Sci, Tokyo 1528550, Japan; [Connolly Jr, Harold C.] Rowan Univ, Sch Earth &amp; Environm, Dept Geol, Glassboro, NJ 08028 USA; [Lauretta, Dante] Univ Arizona, Lunar &amp; Planetary Lab, Tucson, AZ 85705 USA</t>
  </si>
  <si>
    <t>Kyushu University; Centre National de la Recherche Scientifique (CNRS); Universite de Lorraine; Ibaraki University; University of Manchester; Washington University (WUSTL); Japan Aerospace Exploration Agency (JAXA); Institute of Space &amp; Astronautical Science (ISAS); Tohoku University; University of Tokyo; City University of New York (CUNY) System; American Museum of Natural History (AMNH); Hokkaido University; Japan Agency for Marine-Earth Science &amp; Technology (JAMSTEC); Tokyo Institute of Technology; Japan Agency for Marine-Earth Science &amp; Technology (JAMSTEC); Japan Agency for Marine-Earth Science &amp; Technology (JAMSTEC); National Aeronautics &amp; Space Administration (NASA); NASA Johnson Space Center; Yamagata University; Tokyo Metropolitan University; Kanagawa University; Kyoto University; University of Chicago; University of California System; University of California Berkeley; Korea Polar Research Institute (KOPRI); University of Tokyo; Purdue University System; Purdue University; Purdue University System; Purdue University; Nagoya University; Kyoto University; Hiroshima University; University of Tokyo; Graduate University for Advanced Studies - Japan; Kobe University; University of Aizu; Ehime University; Seoul National University (SNU); Japan Aerospace Exploration Agency (JAXA); Chiba Institute of Technology; National Institutes of Natural Sciences (NINS) - Japan; National Astronomical Observatory of Japan (NAOJ); National Institute of Advanced Industrial Science &amp; Technology (AIST); Kindai University (Kinki University); Niigata University; University of Tokyo; Japan Aerospace Exploration Agency (JAXA); Rikkyo University; Instituto de Astrofisica de Canarias; Universidad de la Laguna; Kanagawa Institute Technology; Tokyo Institute of Technology; Rowan University; University of Arizona</t>
  </si>
  <si>
    <t>Okazaki, R (corresponding author), Kyushu Univ, Dept Earth &amp; Planetary Sci, Fukuoka 8190395, Japan.</t>
  </si>
  <si>
    <t>okazaki.ryuji.703@m.kyushu-u.ac.jp</t>
  </si>
  <si>
    <t>Uemura, Ryu/C-9793-2012; Lawton, Thomas Peter/HCH-2796-2022; Noguchi, Takaaki/IWV-1123-2023; Inagaki, Makoto/JNS-7159-2023; Füri, Evelyn/N-7691-2016; Yurimoto, Hisayoshi/S-9938-2018; Fukai, Ryota/I-1911-2016; Yano, Hajime/M-5023-2013; Iwata, Naoyoshi/B-7554-2008; Tachibana, Shogo/R-7884-2018</t>
  </si>
  <si>
    <t>Uemura, Ryu/0000-0002-4236-0085; Lawton, Thomas Peter/0000-0002-7994-5829; Noguchi, Takaaki/0000-0001-7211-2595; Inagaki, Makoto/0000-0001-7268-7962; Füri, Evelyn/0000-0002-7680-2478; Fukai, Ryota/0000-0002-1477-829X; Yano, Hajime/0000-0002-4125-0802; Iwata, Naoyoshi/0000-0002-0017-9130; Saiki, Takanao/0000-0003-3100-420X; Broadley, Michael/0000-0002-5031-4687; Takeuchi, Hiroshi/0000-0001-5863-4653; Okazaki, Ryuji/0000-0003-0177-7527; Gilmour, Jamie/0000-0003-1990-8636; Crowther, Sarah/0000-0002-5396-1775; Tachibana, Shogo/0000-0002-4603-9440; Busemann, Henner/0000-0002-0867-6908; Marty, Bernard/0000-0001-7936-1519; Meshik, Alexander/0000-0002-9693-833X</t>
  </si>
  <si>
    <t>Grants-in-Aid for Scientific Research [22H04900] Funding Source: KAKEN</t>
  </si>
  <si>
    <t>Grants-in-Aid for Scientific Research(Ministry of Education, Culture, Sports, Science and Technology, Japan (MEXT)Japan Society for the Promotion of ScienceGrants-in-Aid for Scientific Research (KAKENHI))</t>
  </si>
  <si>
    <t>FEB 24</t>
  </si>
  <si>
    <t>U52</t>
  </si>
  <si>
    <t>abo0431</t>
  </si>
  <si>
    <t>10.1126/science.abo0431</t>
  </si>
  <si>
    <t>F3UA0</t>
  </si>
  <si>
    <t>WOS:000981616600006</t>
  </si>
  <si>
    <t>Ryan-Keogh, TJ; Thomalla, SJ; Monteiro, PMS; Tagliabue, A</t>
  </si>
  <si>
    <t>Ryan-Keogh, Thomas J.; Thomalla, Sandy J.; Monteiro, Pedro M. S.; Tagliabue, Alessandro</t>
  </si>
  <si>
    <t>Multidecadal trend of increasing iron stress in Southern Ocean phytoplankton</t>
  </si>
  <si>
    <t>LIGHT INTERACTIONS; CLIMATE-CHANGE; CARBON; GROWTH; AVAILABILITY; CHLOROPHYLL; ANTARCTICA; FLUXES; BLOOM; PH</t>
  </si>
  <si>
    <t>Southern Ocean primary productivity is principally controlled by adjustments in light and iron limitation, but the spatial and temporal determinants of iron availability, accessibility, and demand are poorly constrained, which hinders accurate long-term projections. We present a multidecadal record of phytoplankton photophysiology between 1996 and 2022 from historical in situ datasets collected by Biogeochemical Argo (BGC-Argo) floats and ship-based platforms. We find a significant multidecadal trend in irradiance-normalized nonphotochemical quenching due to increasing iron stress, with concomitant declines in regional net primary production. The observed trend of increasing iron stress results from changing Southern Ocean mixed-layer physics as well as complex biological and chemical feedback that is indicative of important ongoing changes to the Southern Ocean carbon cycle.</t>
  </si>
  <si>
    <t>[Ryan-Keogh, Thomas J.; Thomalla, Sandy J.; Monteiro, Pedro M. S.] CSIR, Southern Ocean Carbon Climate Observ, ZA-7700 Cape Town, South Africa; [Thomalla, Sandy J.] Univ Cape Town, Marine &amp; Antarctic Res Innovat &amp; Sustainabil, ZA-7700 Cape Town, South Africa; [Monteiro, Pedro M. S.] Stellenbosch Univ, Sch Climate Studies, ZA-7602 Stellenbosch, South Africa; [Tagliabue, Alessandro] Univ Liverpool, Sch Environm Sci, Dept Earth Ocean &amp; Ecol Sci, Liverpool L69 3GP, England</t>
  </si>
  <si>
    <t>Council for Scientific &amp; Industrial Research (CSIR) - South Africa; University of Cape Town; Stellenbosch University; University of Liverpool</t>
  </si>
  <si>
    <t>Ryan-Keogh, TJ (corresponding author), CSIR, Southern Ocean Carbon Climate Observ, ZA-7700 Cape Town, South Africa.</t>
  </si>
  <si>
    <t>tryankeogh@csir.co.za</t>
  </si>
  <si>
    <t>Monteiro, Pedro M. S./D-3767-2009</t>
  </si>
  <si>
    <t>Monteiro, Pedro M. S./0000-0003-0425-0552; Tagliabue, Alessandro/0000-0002-3572-3634; Thomalla, Sandy/0000-0002-6802-520X</t>
  </si>
  <si>
    <t>CSIR's Southern Ocean and Carbon Climate Observatory (SOCCO) Programme - Department of Science and Innovation [DST/CON 0182/2017]; European Research Council (ERC) under the European Union's Horizon 2020 research and innovation program [724289]; CSIR's Parliamentary Grant</t>
  </si>
  <si>
    <t>CSIR's Southern Ocean and Carbon Climate Observatory (SOCCO) Programme - Department of Science and Innovation; European Research Council (ERC) under the European Union's Horizon 2020 research and innovation program(European Research Council (ERC)); CSIR's Parliamentary Grant</t>
  </si>
  <si>
    <t>T.J.R.K., S.J.T., and P.M.S.M. were supported through the CSIR's Southern Ocean and Carbon Climate Observatory (SOCCO) Programme (http://socco.org.za/) funded by the Department of Science and Innovation (DST/CON 0182/2017) and the CSIR's Parliamentary Grant. A.T. received funding from the European Research Council (ERC) under the European Union's Horizon 2020 research and innovation program (grant agreement no. 724289) .</t>
  </si>
  <si>
    <t>eabl5237</t>
  </si>
  <si>
    <t>10.1126/science.abl5237</t>
  </si>
  <si>
    <t>WOS:000981616600001</t>
  </si>
  <si>
    <t>Donda, F; Romeo, R; Leitchenkov, G; Gei, D; Rosenthal, Y; Leventer, A; Lodolo, E; Noble, TL; Post, A; O'Brien, PE; Opdyke, BN; Olivo, E</t>
  </si>
  <si>
    <t>Donda, Federica; Romeo, Roberto; Leitchenkov, German; Gei, Davide; Rosenthal, Yair; Leventer, Amy; Lodolo, Emanuele; Noble, Taryn L.; Post, Alexandra; O'Brien, Philip E.; Opdyke, Bradley N.; Olivo, Elisabetta</t>
  </si>
  <si>
    <t>Evidence of the evolution of the East Antarctic Ice Sheet on the continental slope and rise sedimentary record: Insights from the Sabrina Coast, East Antarctica</t>
  </si>
  <si>
    <t>WILKES LAND MARGIN; WATER MASSES; TOTTEN; SHELF; GREENLAND</t>
  </si>
  <si>
    <t>Deciphering how the Antarctic Ice Sheet has responded to past climate warming is critical to understanding its sensitivity and role in current and future climate change. In this context, knowledge of the evolution of the Antarctic Ice Sheet in catchments with large potential sea-level contributions plays a key role. The Sabrina Coast of East Antarctica lies seaward of the second largest, but least known, subglacial basin on Earth, the Aurora Subglacial Basin. It is part of the East Antarc-tic Ice Sheet and drains to the Sabrina Coast via the Totten Glacier, the third largest drain-age system in East Antarctica. Our refined, comprehensive seismic stratigraphic analysis of a large multichannel seismic data set col-lected in this sector of the Antarctic margin shows that sediments deposited on the con-tinental slope and rise of the Sabrina Coast retain a well-preserved record of variations in glacial and oceanographic dynamics. Iso-bath and isopach maps evidence a complex, asymmetric evolution of the Sabrina slope and rise, with the western sector being the main sediment depocenter since the emplace-ment of the East Antarctic Ice Sheet, as indi-cated by the up to 4-km-thick glacial-related sequences and inferred sedimentation rates of up to 300 m/m.y. However, significant sedi-ment accumulation also occurs in the eastern area, particularly in the western levees of the canyons. Our findings highlight the potential of this region for deep ocean drilling that will provide an unprecedented history of the dy-namics of the marine-based ice sheet in the Aurora Subglacial Basin and its sensitivity to climate change under different background climate conditions.</t>
  </si>
  <si>
    <t>[Donda, Federica; Gei, Davide; Lodolo, Emanuele] Natl Inst Oceanog &amp; Appl Geophys OGS, Sect Geophys, Borgo Grotta Gigante 42-C, I-34010 Trieste, Italy; [Romeo, Roberto] Natl Inst Oceanog &amp; Appl Geophys OGS, Ctr Management Maritime Infrastruct, Borgo Grotta Gigante 42-C, I-34010 Trieste, Italy; [Leitchenkov, German] All Russia Sci Res Inst Geol &amp; Mineral Resources O, St Petersburg, Russia; [Leitchenkov, German] St Petersburg State Univ, Inst Earth Sci, St Petersburg 199034, Russia; [Rosenthal, Yair] Rutgers State Univ, Dept Marine &amp; Coastal Sci, New Brunswick, NJ 08901 USA; [Leventer, Amy] Colgate Univ, Geol Dept, Hamilton, NY 13346 USA; [Noble, Taryn L.] Univ Tasmania, Inst Marine &amp; Antarctic Studies, Hobart, Tas 7001, Australia; [Post, Alexandra] Geosci Australia, GPO Box 378, Canberra, ACT 2601, Australia; [O'Brien, Philip E.] Macquarie Univ, Earth &amp; Environm Sci, Sydney, NSW 2109, Australia; [Opdyke, Bradley N.] Australian Natl Univ, Res Sch Earth Sci, Acton, ACT 2601, Australia; [Olivo, Elisabetta] Univ Ferrara, Dept Environm Sci &amp; Prevent, I-44121 Ferrara, Italy</t>
  </si>
  <si>
    <t>Istituto Nazionale di Oceanografia e di Geofisica Sperimentale; Istituto Nazionale di Oceanografia e di Geofisica Sperimentale; Saint Petersburg State University; Rutgers University System; Rutgers University New Brunswick; Colgate University; University of Tasmania; Geoscience Australia; Macquarie University; Australian National University; University of Ferrara</t>
  </si>
  <si>
    <t>Donda, F (corresponding author), Natl Inst Oceanog &amp; Appl Geophys OGS, Sect Geophys, Borgo Grotta Gigante 42-C, I-34010 Trieste, Italy.</t>
  </si>
  <si>
    <t>fdonda@ogs.it</t>
  </si>
  <si>
    <t>Noble, Taryn/0000-0002-5708-751X; LODOLO, Emanuele/0000-0002-4706-2095</t>
  </si>
  <si>
    <t>NOV 1</t>
  </si>
  <si>
    <t>11-12</t>
  </si>
  <si>
    <t>10.1130/B36674.1</t>
  </si>
  <si>
    <t>LW6J0</t>
  </si>
  <si>
    <t>WOS:000982534800001</t>
  </si>
  <si>
    <t>Kershaw, J; Stewart, JA; Strawson, I; Ferreira, MLD; Robinson, LF; Hendry, KR; Samperiz, A; Burke, A; Rae, JWB; Day, RD; Etnoyer, PJ; Williams, B; Haussermann, V</t>
  </si>
  <si>
    <t>Kershaw, James; Stewart, Joseph A.; Strawson, Ivo; Ferreira, Maria Luiza de Carvalho; Robinson, Laura F.; Hendry, Katharine R.; Samperiz, Ana; Burke, Andrea; Rae, James W. B.; Day, Rusty D.; Etnoyer, Peter J.; Williams, Branwen; Haussermann, Vreni</t>
  </si>
  <si>
    <t>Ba/Ca of stylasterid coral skeletons records dissolved seawater barium concentrations</t>
  </si>
  <si>
    <t>CHEMICAL GEOLOGY</t>
  </si>
  <si>
    <t>Ba; Ca; Barium; Scleractinia; Stylasteridae; Coral</t>
  </si>
  <si>
    <t>TRACE-ELEMENT; ISOTOPE FRACTIONATION; SCLERACTINIAN CORAL; GROWTH-RATE; ARAGONITE; CALCITE; WATER; SR/CA; CALCIFICATION; PRECIPITATION</t>
  </si>
  <si>
    <t>The concentration of dissolved barium in seawater ([Ba]SW) is influenced by both primary productivity and ocean circulation patterns. Reconstructing past subsurface [Ba]SW can therefore provide important information on processes which regulate global climate. Previous Ba/Ca measurements of scleractinian and bamboo deep-sea coral skeletons exhibit linear relationships with [Ba]SW, acting as archives for past Ba cycling. However, skeletal Ba/Ca ratios of the Stylasteridae - a group of widely distributed, azooxanthellate, hydrozoan coral - have not been previously studied. Here, we present Ba/Ca ratios of modern stylasterid (aragonitic, calcitic and mixed mineralogy) and azoox-anthellate scleractinian skeletons, paired with published proximal hydrographic data. We find that [Ba]SW and sample mineralogy are the primary controls on stylasterid Ba/Ca, while seawater temperature exerts a weak secondary control. [Ba]SW also exerts a strong control on azooxanthellate scleractinian Ba/Ca. However, Ba-incorporation into scleractinian skeletons varies between locations and across depth gradients, and we find a more sensitive relationship between scleractinian Ba/Ca and [Ba]SW than previously reported. Paired Sr/Ca measurements suggest that this variability in scleractinian Ba/Ca may result from the influence of varying degrees of Rayleigh fractionation during calcification. We find that these processes exert a smaller in-fluence on Ba-incorporation into stylasterid coral skeletons, a result consistent with other aspects of their skeletal geochemistry. Stylasterid Ba/Ca ratios are therefore a powerful, novel archive of past changes in [Ba]SW, particularly when measured in combination with temperature sensitive tracers such as Li/Mg or Sr/Ca. Indeed, with robust [Ba]SW and temperature proxies now established, stylasterids have the potential to be an important new archive for palaeoceanographic studies.</t>
  </si>
  <si>
    <t>[Kershaw, James; Stewart, Joseph A.; Strawson, Ivo; Ferreira, Maria Luiza de Carvalho; Robinson, Laura F.; Hendry, Katharine R.; Samperiz, Ana] Univ Bristol, Sch Earth Sci, Queens Rd, Bristol BS8 1RJ, England; [Stewart, Joseph A.; Day, Rusty D.] NIST, Chem Sci Div, Hollings Marine Lab, Charleston, SC USA; [Strawson, Ivo] Univ Cambridge, Dept Earth Sci, Downing St, Cambridge CB2 3EQ, England; [Ferreira, Maria Luiza de Carvalho] Univ Chicago, Dept Geophys Sci, 5734 S Ellis Ave, Chicago, IL 60637 USA; [Hendry, Katharine R.] British Antarctic Survey, Cambridge CB3 0ET, England; [Samperiz, Ana] Cardiff Univ, Sch Earth &amp; Environm Sci, Cardiff CF10 3AT, Wales; [Burke, Andrea; Rae, James W. B.] Univ St Andrews, Sch Earth &amp; Environm Sci, Bute Bldg, St Andrews KY16 9TS, Scotland; [Day, Rusty D.] Marine Sci &amp; Naut Training Acad MANTA, 417 Planters Trace Dr, Charleston, SC 29412 USA; [Etnoyer, Peter J.] NOAA Natl Ctr Coastal Ocean Sci, Charleston, SC 29412 USA; [Williams, Branwen] Claremont McKenna Pitzer Scripps Coll, Keck Sci Dept, Claremont, CA 91711 USA; [Haussermann, Vreni] Pontificia Univ Catolica Valparaiso, Escuela Ciencias Mar, Fac Recursos Nat, Valparaiso, Chile</t>
  </si>
  <si>
    <t>University of Bristol; National Institute of Standards &amp; Technology (NIST) - USA; University of Cambridge; University of Chicago; UK Research &amp; Innovation (UKRI); Natural Environment Research Council (NERC); NERC British Antarctic Survey; Cardiff University; University of St Andrews; National Oceanic Atmospheric Admin (NOAA) - USA; Claremont Colleges; Claremont Graduate School; Pontificia Universidad Catolica de Valparaiso</t>
  </si>
  <si>
    <t>Kershaw, J (corresponding author), Univ Bristol, Sch Earth Sci, Queens Rd, Bristol BS8 1RJ, England.</t>
  </si>
  <si>
    <t>james.kershaw@bristol.ac.uk</t>
  </si>
  <si>
    <t>Hendry, Katharine/E-4793-2011; Rae, James/R-3812-2017</t>
  </si>
  <si>
    <t>Hendry, Katharine/0000-0002-0790-5895; Samperiz, Ana/0000-0002-9553-1124; Stewart, Joseph/0000-0003-3092-5058; Rae, James/0000-0003-3904-2526; Burke, Andrea/0000-0002-3754-1498; Haussermann, Verena Susanne/0000-0001-9630-7477; de Carvalho Ferreira, Maria Luiza/0000-0002-3979-0711; Williams, Branwen/0000-0001-6378-9828</t>
  </si>
  <si>
    <t>NERC [NE/S007504/1, NE/S001743/1, NE/R005117/1, NE/N003861/1, NE/X00127X/1]; European Research Council [678371]</t>
  </si>
  <si>
    <t>NERC(UK Research &amp; Innovation (UKRI)Natural Environment Research Council (NERC)); European Research Council(European Research Council (ERC))</t>
  </si>
  <si>
    <t>Funding for this work was provided by a NERC GW4+ Doctoral Training Partnership (NE/S007504/1) studentship awarded to J.K., an Antarctic Bursary awarded to J.A.S, and NERC grants awarded to L.F.R. (NE/S001743/1; NE/R005117/1; NE/N003861/1; NE/X00127X/1). Cruise DY081 was funded by European Research Council starting grant ICY-LAB (Grant Agreement 678371).</t>
  </si>
  <si>
    <t>0009-2541</t>
  </si>
  <si>
    <t>1872-6836</t>
  </si>
  <si>
    <t>CHEM GEOL</t>
  </si>
  <si>
    <t>Chem. Geol.</t>
  </si>
  <si>
    <t>10.1016/j.chemgeo.2023.121355</t>
  </si>
  <si>
    <t>D0RX4</t>
  </si>
  <si>
    <t>Green Accepted, hybrid, Green Published</t>
  </si>
  <si>
    <t>WOS:000965895900001</t>
  </si>
  <si>
    <t>Vermeulen, E; Thavar, T; Glarou, M; Ganswindt, A; Christiansen, F</t>
  </si>
  <si>
    <t>Vermeulen, Els; Thavar, Terriann; Glarou, Maria; Ganswindt, Andre; Christiansen, Fredrik</t>
  </si>
  <si>
    <t>Decadal decline in maternal body condition of a Southern Ocean capital breeder</t>
  </si>
  <si>
    <t>RIGHT WHALES; EUBALAENA-AUSTRALIS; CLIMATE-CHANGE; EUPHAUSIA-SUPERBA; SEA-ICE; NUTRITIONAL-VALUE; FETAL-GROWTH; KRILL; REPRODUCTION; POPULATION</t>
  </si>
  <si>
    <t>The changing physical properties of the Southern Ocean are known to impact the recruitment and survival of Antarctic krill (Euphausia superba). For oceanic krill predators, the resulting reduced energy intake may lead to population-level effects likely preceded by an alteration in the animals' body condition. This is especially true for capital breeders that rely on stored energy for successful reproduction. One such Southern Ocean capital breeder, the southern right whale (Eubalaena australis), has been monitored over the past 43 years in their South African wintering ground. Changes in the population have been documented in the past decade, including a decreased reproductive rate and a shift in foraging strategy. To evaluate if a reduced foraging success is an underlying factor, we assessed the temporal variation in morphological body condition through aerial photogrammetry. Results showed a 23% reduction in maternal body condition, potentially contributing to the decreased reproductive rate of the population. To the best of our knowledge, this is the first study to quantify a decadal reduction in the body condition of a capital breeder dependent on Southern Ocean productivity. Understanding the bioenergetic consequences of environmental change is vital to predicting species' resilience to climate change.</t>
  </si>
  <si>
    <t>[Vermeulen, Els; Thavar, Terriann; Ganswindt, Andre] Univ Pretoria, Mammal Res Inst, Pretoria, South Africa; [Glarou, Maria] Univ Iceland, Husavik Res Ctr, IS-640 Husavik, Iceland; [Christiansen, Fredrik] Aarhus Univ, Dept Ecosci, Marine Mammal Res, DK-4000 Roskilde, Denmark</t>
  </si>
  <si>
    <t>University of Pretoria; University of Iceland; Aarhus University</t>
  </si>
  <si>
    <t>Vermeulen, E (corresponding author), Univ Pretoria, Mammal Res Inst, Pretoria, South Africa.</t>
  </si>
  <si>
    <t>els.vermeulen@up.ac.za</t>
  </si>
  <si>
    <t>Vermeulen, Els/AAW-2716-2020; Christiansen, Fredrik/O-3655-2017; Ganswindt, Andre/G-9856-2014</t>
  </si>
  <si>
    <t>Vermeulen, Els/0000-0002-3667-1290; Christiansen, Fredrik/0000-0001-9090-8458;</t>
  </si>
  <si>
    <t>ExxonMobil; ENI; Anadarko and TotalEnergies; National Research Foundation (NRF), South Africa</t>
  </si>
  <si>
    <t>ExxonMobil(Exxon Mobil Corporation); ENI; Anadarko and TotalEnergies; National Research Foundation (NRF), South Africa(National Research Foundation - South Africa)</t>
  </si>
  <si>
    <t>The authors wish to acknowledge Prof Peter Best for his substantial research efforts on the South African southern right whale population, ensuring the availability of historical photogrammetry data. We further wish to thank Christopher Wilkinson, DroneAir, the Endangered Wildlife Trust and MRI Whale Unit students who made fieldwork for this project possible. Funding for this project was provided by ExxonMobil, ENI, Anadarko and TotalEnergies, and the National Research Foundation (NRF), South Africa. T.T. received an MSc bursary from the NRF to process parts of the data. All research was carried out under permits of the Department of Forestry, Fisheries and the Environment to approach whales, relevant ethics permits of the University of Pretoria and under specific Marine Protected Area permits from the relevant conservation authorities. All drone work was conducted in accordance with the rules and regulations of the Civil Aviation Authority of South Africa.</t>
  </si>
  <si>
    <t>10.1038/s41598-023-30238-2</t>
  </si>
  <si>
    <t>9M5PH</t>
  </si>
  <si>
    <t>WOS:000942280900048</t>
  </si>
  <si>
    <t>Yi, L; Medina-Elizalde, M; Tan, LC; Kemp, DB; Li, YZ; Kletetschka, G; Xie, Q; Yao, HQ; He, HY; Deng, CL; Ogg, JG</t>
  </si>
  <si>
    <t>Yi, Liang; Medina-Elizalde, Martin; Tan, Liangcheng; Kemp, David B.; Li, Yanzhen; Kletetschka, Gunther; Xie, Qiang; Yao, Huiqiang; He, Huaiyu; Deng, Chenglong; Ogg, James G.</t>
  </si>
  <si>
    <t>Plio-Pleistocene deep-sea ventilation in the eastern Pacific and potential linkages with Northern Hemisphere glaciation</t>
  </si>
  <si>
    <t>SCIENCE ADVANCES</t>
  </si>
  <si>
    <t>ANTARCTIC BOTTOM WATER; SOUTHERN-OCEAN; ICE-SHEET; FERROMANGANESE NODULES; CLIMATE; CIRCULATION; VARIABILITY; VOLUME; SCALE; ZONE</t>
  </si>
  <si>
    <t>Antarctic bottom water (AABW) production is a key factor governing global ocean circulation, and the present disintegration of the Antarctic Ice Sheet slows it. However, its long-term variability has not been well documented. On the basis of high-resolution chemical scanning of a well-dated marine ferromanganese nodule from the eastern Pacific, we derive a record of abyssal ventilation spanning the past 4.7 million years and evaluate its linkage to AABW formation over this period. We find that abyssal ventilation was relatively weak in the early Pliocene and persistently intensified from 3.4 million years ago onward. Seven episodes of markedly reduced ocean ventilation indicative of AABW formation collapse are identified since the late Pliocene, which were accompanied by key stages of Northern Hemisphere glaciation. We suggest that the interpolar climate synchronization within these inferred seven collapse events may have intensified global glaciation by inducing poleward moisture transport in the Northern Hemisphere.</t>
  </si>
  <si>
    <t>[Yi, Liang] Tongji Univ, State Key Lab Marine Geol, Shanghai, Peoples R China; [Medina-Elizalde, Martin] Univ Massachusetts, Dept Geosci, Amherst, MA USA; [Tan, Liangcheng; Li, Yanzhen] Chinese Acad Sci, Inst Earth Environm, State Key Lab Loess &amp; Quaternary Geol, Xian, Peoples R China; [Tan, Liangcheng] Xi An Jiao Tong Univ, Inst Global Environmen tal Change, Xian, Peoples R China; [Kemp, David B.; Li, Yanzhen] China Univ Geosci Wuhan, State Key Lab Biogeol &amp; Environm Geol, Sch Earth Sci, Wuhan, Peoples R China; [Kemp, David B.; Li, Yanzhen] China Univ Geosci Wuhan, Sch Earth Sci, Hubei Key Lab Crit Zone Evolut, Wuhan, Peoples R China; [Kletetschka, Gunther] Charles Univ Prague, Inst Hydrogeol Engn Geol &amp; Appl Geophys, Fac Sci, Prague, Czech Republic; [Kletetschka, Gunther] Univ Alaska Fairbanks, Geophys Inst, Fairbanks, AK USA; [Xie, Qiang] Chinese Acad Sci, Inst Deep Sea Sci &amp; Engn, Sanya, Peoples R China; [Yao, Huiqiang] China Geol Survey, Minist Nat Resources, Key Lab Marine Mineral Resources, Guangzhou Marine Geol Survey, Guangzhou, Peoples R China; [Yao, Huiqiang] Southern Marine Sci &amp; Engn Guangdong Lab Guangzhou, Guangzhou, Peoples R China; [He, Huaiyu; Deng, Chenglong] Chinese Acad Sci, Inst Geol &amp; Geophys, State Key Lab Lithospher Evolut, Beijing, Peoples R China; [He, Huaiyu; Deng, Chenglong] Univ Chinese Acad Sci, Beijing, Peoples R China; [Ogg, James G.] Purdue Univ, Dept Earth Atmospher &amp; Planetary Sci, W Lafayette, IN USA</t>
  </si>
  <si>
    <t>Tongji University; University of Massachusetts System; University of Massachusetts Amherst; Chinese Academy of Sciences; Institute of Earth Environment, CAS; Xi'an Jiaotong University; China University of Geosciences; China University of Geosciences; Charles University Prague; University of Alaska System; University of Alaska Fairbanks; Chinese Academy of Sciences; Institute of Deep-Sea Science &amp; Engineering, CAS; China Geological Survey; Guangzhou Marine Geological Survey; Ministry of Natural Resources of the People's Republic of China; Southern Marine Science &amp; Engineering Guangdong Laboratory; Southern Marine Science &amp; Engineering Guangdong Laboratory (Guangzhou); Chinese Academy of Sciences; Institute of Geology &amp; Geophysics, CAS; Chinese Academy of Sciences; University of Chinese Academy of Sciences, CAS; Purdue University System; Purdue University</t>
  </si>
  <si>
    <t>Yi, L (corresponding author), Tongji Univ, State Key Lab Marine Geol, Shanghai, Peoples R China.;Yao, HQ (corresponding author), China Geol Survey, Minist Nat Resources, Key Lab Marine Mineral Resources, Guangzhou Marine Geol Survey, Guangzhou, Peoples R China.;Yao, HQ (corresponding author), Southern Marine Sci &amp; Engn Guangdong Lab Guangzhou, Guangzhou, Peoples R China.;Deng, CL (corresponding author), Chinese Acad Sci, Inst Geol &amp; Geophys, State Key Lab Lithospher Evolut, Beijing, Peoples R China.;Deng, CL (corresponding author), Univ Chinese Acad Sci, Beijing, Peoples R China.</t>
  </si>
  <si>
    <t>yiliang@tongji.edu.cn; hqyao@163.com; cldeng@mail.iggcas.ac.cn</t>
  </si>
  <si>
    <t>王, 娅冰/JGE-0541-2023; Tan, Liangcheng/ABH-6099-2020; He, Huaiyu/C-3414-2018; Yi, Liang/AAM-9737-2020; Kemp, David B/D-7288-2012; Kletetschka, Gunther/C-9996-2011; ?, ??/B-8871-2009</t>
  </si>
  <si>
    <t>Tan, Liangcheng/0000-0003-1932-7102; Yi, Liang/0000-0003-3377-8591; Medina-Elizalde, Martin/0000-0002-0186-9096; Kletetschka, Gunther/0000-0002-0645-9037; Yao, Huiqiang/0000-0001-9757-4833; ?, ??/0000-0003-1848-3170</t>
  </si>
  <si>
    <t>National Natural Science Foundation of China [42177422, XDB40000000]; Strategic Priority Research Program of Chinese Academy of Sciences [GML2019 ZD0106]; Key Special Project for Introduced Talents Team of Southern Marine Science and Engineering Guangdong Laboratory (Guangzhou) [08294S]; Czech Science Foundation [LTAUSA 19141]; Ministry of Education, Youth, and Sports of the CR; [41888101]</t>
  </si>
  <si>
    <t>National Natural Science Foundation of China(National Natural Science Foundation of China (NSFC)); Strategic Priority Research Program of Chinese Academy of Sciences(Chinese Academy of Sciences); Key Special Project for Introduced Talents Team of Southern Marine Science and Engineering Guangdong Laboratory (Guangzhou); Czech Science Foundation(Grant Agency of the Czech Republic); Ministry of Education, Youth, and Sports of the CR(Ministry of Education, Youth &amp; Sports - Czech Republic);</t>
  </si>
  <si>
    <t>This research was supported by the National Natural Science Foundation of China (41888101 and 42177422) , the Strategic Priority Research Program of Chinese Academy of Sciences (XDB40000000) , and the Key Special Project for Introduced Talents Team of Southern Marine Science and Engineering Guangdong Laboratory (Guangzhou) (GML2019 ZD0106) . G.K. obtained further support from the Czech Science Foundation (20 08294S) and Ministry of Education, Youth, and Sports of the CR (LTAUSA 19141) .</t>
  </si>
  <si>
    <t>2375-2548</t>
  </si>
  <si>
    <t>SCI ADV</t>
  </si>
  <si>
    <t>Sci. Adv.</t>
  </si>
  <si>
    <t>eadd1467</t>
  </si>
  <si>
    <t>10.1126/sciadv.add1467</t>
  </si>
  <si>
    <t>9V1RH</t>
  </si>
  <si>
    <t>WOS:000948176900017</t>
  </si>
  <si>
    <t>Ciria, JGO; Oliva, M; Palacios, D; Fernández-Fernández, JM; Schimmelpfennig, I; Medialdea, A; Fernandes, M; Giralt, S; Jomelli, V; Antoniades, D</t>
  </si>
  <si>
    <t>Garcia-Oteyza Ciria, Julia; Oliva, Marc; Palacios, David; M. Fernandez-Fernandez, Jose; Schimmelpfennig, Irene; Medialdea, Alicia; Fernandes, Marcelo; Giralt, Santiago; Jomelli, Vincent; Antoniades, Dermot</t>
  </si>
  <si>
    <t>ASTER TEAM</t>
  </si>
  <si>
    <t>Holocene glacial oscillations in the Tyroler Valley (NE Greenland)</t>
  </si>
  <si>
    <t>LAND DEGRADATION &amp; DEVELOPMENT</t>
  </si>
  <si>
    <t>cosmic-ray exposure dating; glacial oscillations; Greenland; Holocene; little ice age; Tyroler Valley</t>
  </si>
  <si>
    <t>EAST GREENLAND; ICE-SHEET; SCORESBY SUND; JAMESON LAND; SEA-LEVEL; BE-10; CLIMATE; HISTORY; RATES; AGE</t>
  </si>
  <si>
    <t>Although the spatiotemporal oscillations of the Greenland Ice Sheet (GrIS) during the last millennia have played a prominent role in global environmental changes, its glacial response to the natural variability still needs to be better constrained. Here, we focused on the reconstruction of the glacial behavior and deglaciation process along the Tyroler Valley (74 degrees N, 22 degrees E), within the Northeast Greenland National Park. This NW-SE valley connects with the GrIS via the Pasterze Glacier and divides two ice caps (A.P. Olsen Land and Payer Land), this last one feeding two piedmont glaciers (Copeland and Kloft glaciers). For this study, we combined the interpretation of the spatial pattern of geomorphological features and the chronological framework defined by a new dataset of 15 Be-10 cosmic-ray exposure (CRE) ages from glacially polished bedrock surfaces and moraine boulders together with one optically stimulated luminescence (OSL) age of a glaciolacustrine deposit. CRE ages indicate that the deglaciation of the lowest parts of the valley and the exposure of the highest slopes took place during the Early Holocene, at ca. 10-8.5 ka (ka = thousand year [BP]). Furthermore, this ice thinning also favored the disconnection of the valley tributary glaciers. Samples from the moraines of the two tributary glaciers indicate that the deglaciation was not continuous, but it was interrupted by at least three phases of glacial advance during the Neoglacial cooling (before ca. 5.9 ka), and the Little Ice Age (LIA, 0.6, and 0.3 ka). The larger piedmont glacier (Copeland Glacier) occupied the valley floor during these major advances, damming the river and allowing the formation of a proglacial glacial lake upvalley, as confirmed by the OSL date of lacustrine sediments that yielded an age of 0.53 +/- 0.06 ka. In short, our study provides new evidence of the relative stability of GrIS and the regional ice caps in the area, in which glacial fronts have been rather stable since their advances during the Neoglacial and the LIA.</t>
  </si>
  <si>
    <t>[Garcia-Oteyza Ciria, Julia; Oliva, Marc] Univ Barcelona, Dept Geog, Barcelona, Spain; [Palacios, David; M. Fernandez-Fernandez, Jose] Univ Complutense Madrid, Dept Geog, Madrid, Spain; [Schimmelpfennig, Irene; Jomelli, Vincent; ASTER TEAM] Aix Marseille Univ, Coll France, CNRS, IRD,INRAE,UM CEREGE 34, Aix En Provence, France; [Medialdea, Alicia] Natl Res Ctr Human Evolut CENIEH, Burgos, Spain; [Fernandes, Marcelo] Univ Lisbon, Ctr Geog Studies, IGOT, Lisbon, Portugal; [Giralt, Santiago] Geosci Barcelona GEO3BCN CSIC, Barcelona, Spain; [Antoniades, Dermot] Univ Laval, Dept Geog, Quebec City, PQ, Canada; [Antoniades, Dermot] Univ Laval, Ctr Northern Studies, Quebec City, PQ, Canada</t>
  </si>
  <si>
    <t>University of Barcelona; Complutense University of Madrid; Institut de Recherche pour le Developpement (IRD); Aix-Marseille Universite; Universite PSL; College de France; INRAE; Centre National de la Recherche Scientifique (CNRS); Centro Nacional de Investigacion de La Evolucion Humana (CENIEH); Universidade de Lisboa; Laval University; Laval University</t>
  </si>
  <si>
    <t>Ciria, JGO (corresponding author), Univ Barcelona, Dept Geog, Montalegre 6-8,3r Floor, Barcelona 08001, Spain.</t>
  </si>
  <si>
    <t>juliagarciadeoteyza@ub.edu</t>
  </si>
  <si>
    <t>; PALACIOS, DAVID/H-3737-2015; Oliva, Marc/K-5423-2014</t>
  </si>
  <si>
    <t>Fernandes, Marcelo/0000-0001-6840-4317; PALACIOS, DAVID/0000-0002-8289-0398; Oliva, Marc/0000-0001-6521-6388; Garcia-Oteyza Ciria, Julia Nieves/0000-0002-0187-2922; Medialdea, Alicia/0000-0001-5895-0736</t>
  </si>
  <si>
    <t>Agencia de Gestio d'Ajuts Universitaris i de Recerca of the Government of Catalonia; research group ANTALP (Antarctic, Arctic, Alpine Environments) [2017-SGR-1102]; Spanish Ministerio de Economia y Competitividad; Spanish Ministry of Science, Innovation and Universities</t>
  </si>
  <si>
    <t>Agencia de Gestio d'Ajuts Universitaris i de Recerca of the Government of Catalonia; research group ANTALP (Antarctic, Arctic, Alpine Environments); Spanish Ministerio de Economia y Competitividad(Spanish Government); Spanish Ministry of Science, Innovation and Universities(Spanish Government)</t>
  </si>
  <si>
    <t>Agencia de Gestio d'Ajuts Universitaris i de Recerca of the Government of Catalonia; research group ANTALP (Antarctic, Arctic, Alpine Environments; 2017-SGR-1102); Spanish Ministerio de Economia y Competitividad; Spanish Ministry of Science, Innovation and Universities</t>
  </si>
  <si>
    <t>1085-3278</t>
  </si>
  <si>
    <t>1099-145X</t>
  </si>
  <si>
    <t>LAND DEGRAD DEV</t>
  </si>
  <si>
    <t>Land Degrad. Dev.</t>
  </si>
  <si>
    <t>MAY 30</t>
  </si>
  <si>
    <t>10.1002/ldr.4633</t>
  </si>
  <si>
    <t>Environmental Sciences; Soil Science</t>
  </si>
  <si>
    <t>Environmental Sciences &amp; Ecology; Agriculture</t>
  </si>
  <si>
    <t>AR0O3</t>
  </si>
  <si>
    <t>WOS:000939647900001</t>
  </si>
  <si>
    <t>He, RL; Zheng, HF; Ma, S; Wu, YM; Yang, SL; Dai, Y; Wang, YJ</t>
  </si>
  <si>
    <t>He, Ruilin; Zheng, Hanfeng; Ma, Shuo; Wu, Yumei; Yang, Shenglong; Dai, Yang; Wang, Yongjin</t>
  </si>
  <si>
    <t>Hydrodynamic simulation and experiment of depth adjustable beam trawl for Antarctic krill</t>
  </si>
  <si>
    <t>JOURNAL OF MARINE SCIENCE AND TECHNOLOGY</t>
  </si>
  <si>
    <t>Pelagic fishery; Trawl; Antarctic krill; Numerical analysis; Water channel</t>
  </si>
  <si>
    <t>TURBULENCE MODELS; PEPTIDES; DESIGN; SYSTEM</t>
  </si>
  <si>
    <t>At present, the primary fishing method of Antarctic krill is beam trawl, in which the fishing vessel drags the beam equipped with nets through the trawl warp for midwater trawling. Due to the behavioral characteristic of collective activities, the shoal of Antarctic krill often appears in some specific depths of the sea. The existing fishing method needs to adjust the trawling depth by modifying the length of the trawl warp and the navigation speed of the vessel, which cannot adjust the trawling depth independently. To solve this problem, we proposed a depth variable device installed on the beam to adjust the trawling depth independently, aiming to track the depth where the shoal of Antarctic krill is located for accurate fishing. Investigate the hydrodynamic feature of the proposed beam trawl device by numerical analysis and water channel experiment to design the wing's profile and determine the effective range of angle of attack. It was found that when the angle of attack of the wing is 0 degrees-17.7 degrees, the regulation effect of depth adjusting is better. The analysis results can be used as the parameter basis for compiling the control program for the depth variable beam.</t>
  </si>
  <si>
    <t>[He, Ruilin] Dalian Ocean Univ, Dalian 116023, Peoples R China; [He, Ruilin; Zheng, Hanfeng; Ma, Shuo; Wu, Yumei; Yang, Shenglong; Dai, Yang; Wang, Yongjin] Chinese Acad Fishery Sci, East China Sea Fisheries Res Inst, Shanghai 200090, Peoples R China; [He, Ruilin; Wu, Yumei; Yang, Shenglong; Dai, Yang] Key Lab Fisheries Remote Sensing Minist Agr &amp; Rura, Shanghai, Peoples R China</t>
  </si>
  <si>
    <t>Dalian Ocean University; Chinese Academy of Fishery Sciences; East China Sea Fisheries Research Institute, CAFS</t>
  </si>
  <si>
    <t>Dai, Y (corresponding author), Chinese Acad Fishery Sci, East China Sea Fisheries Res Inst, Shanghai 200090, Peoples R China.;Dai, Y (corresponding author), Key Lab Fisheries Remote Sensing Minist Agr &amp; Rura, Shanghai, Peoples R China.</t>
  </si>
  <si>
    <t>13162787852@163.com</t>
  </si>
  <si>
    <t>Fan, xiao/AEF-7654-2022; CHEN, WENJIE/JQW-1608-2023; Lu, Jia/JVO-6891-2024; yang, zhou/JKI-3744-2023; zhou, chuyue/JOJ-9001-2023</t>
  </si>
  <si>
    <t>Fan, xiao/0000-0001-5147-6701; Dai, Yang/0000-0002-2875-0183</t>
  </si>
  <si>
    <t>National Key Research and Development Project of China [2020YFD0901204]; Scientific Research Program of the Shanghai Science and Technology Commission [18391900800]</t>
  </si>
  <si>
    <t>National Key Research and Development Project of China; Scientific Research Program of the Shanghai Science and Technology Commission</t>
  </si>
  <si>
    <t>AcknowledgementsThis research was supported by the National Key Research and Development Project of China (2020YFD0901204). It was also supported by the Scientific Research Program of the Shanghai Science and Technology Commission (18391900800).</t>
  </si>
  <si>
    <t>0948-4280</t>
  </si>
  <si>
    <t>1437-8213</t>
  </si>
  <si>
    <t>J MAR SCI TECH-JAPAN</t>
  </si>
  <si>
    <t>J. Mar. Sci. Technol.</t>
  </si>
  <si>
    <t>10.1007/s00773-023-00930-z</t>
  </si>
  <si>
    <t>Engineering, Marine; Engineering, Civil</t>
  </si>
  <si>
    <t>H7HU0</t>
  </si>
  <si>
    <t>WOS:000939199700002</t>
  </si>
  <si>
    <t>Ali, SA; Sadiq, I; Ahmad, T</t>
  </si>
  <si>
    <t>Ali, Syed Asim; Sadiq, Iqra; Ahmad, Tokeer</t>
  </si>
  <si>
    <t>Oxide based Heterostructured Photocatalysts for CO2 Reduction and Hydrogen Generation</t>
  </si>
  <si>
    <t>CHEMISTRYSELECT</t>
  </si>
  <si>
    <t>CO2 reduction; Environment; Heterojunctions; H-2 Energy; Photocatalysis</t>
  </si>
  <si>
    <t>HIGHLY EFFICIENT PHOTOCATALYSTS; REDUCED GRAPHENE OXIDE; CARBON-DIOXIDE; PHOTOELECTROCHEMICAL REDUCTION; STABLE PHOTOCATALYST; WATER OXIDATION; TIO2; PHOTOREDUCTION; NANOPARTICLES; ENERGY</t>
  </si>
  <si>
    <t>Global warming and its cause and effects have necessitated the researchers to look beyond fossil and its derivatives. The scalability of CO2 reduction and H-2 energy is one of the most enigmatic questions asked by the calamitous environmental changes happening across the world such as bushfires in Australia, Amazon and California or the melting of Arctic and Antarctic ice scalps. Thus, the research fraternity is keen to elevate the efficiency of CO2 reduction and H-2 energy to the extent that the good chemical livestock produced by CO2 conversion and H-2 fuel would become principal energy resources. In this quest, photocatalytic pathway envisions the environmentally benign protocol to bring about CO2 reduction and H-2 production. Photo-reduction of CO2 and H-2 generation via photocatalytic water splitting by utilizing oxide based heterostructured photocatalysts are the promising approaches to carry out CO2 mitigation and H-2 production efficiently ascribed to the advanced optoelectronic and structural superiority of oxides photocatalysts as discussed in this review.</t>
  </si>
  <si>
    <t>[Ali, Syed Asim; Sadiq, Iqra; Ahmad, Tokeer] Jamia Millia Islamia, Dept Chem, Nanochem Lab, New Delhi 110025, India</t>
  </si>
  <si>
    <t>Jamia Millia Islamia</t>
  </si>
  <si>
    <t>Ahmad, T (corresponding author), Jamia Millia Islamia, Dept Chem, Nanochem Lab, New Delhi 110025, India.</t>
  </si>
  <si>
    <t>tahmad3@jmi.ac.in</t>
  </si>
  <si>
    <t>Ahmad, Tokeer/G-8594-2016</t>
  </si>
  <si>
    <t>Ahmad, Tokeer/0000-0002-7807-315X</t>
  </si>
  <si>
    <t>UGC, New Delhi, Govt. of India; SERB-DST; CSIR; Ministry of Education, Govt. of India [SPARC/2018-2019/P843/SL]; UGC, New Delhi; DST PURSE program at CIF, JMI</t>
  </si>
  <si>
    <t>UGC, New Delhi, Govt. of India(University Grants Commission, India); SERB-DST(Department of Science &amp; Technology (India)Science Engineering Research Board (SERB), India); CSIR(Council of Scientific &amp; Industrial Research (CSIR) - India); Ministry of Education, Govt. of India; UGC, New Delhi(University Grants Commission, India); DST PURSE program at CIF, JMI</t>
  </si>
  <si>
    <t>TA thanks UGC, New Delhi, Govt. of India for Research Grant for In-service Faculty Members. Authors also thank the various research schemes sponsored by SERB-DST, CSIR and Ministry of Education (SPARC/2018-2019/P843/SL), Govt. of India for financial support to Nano Chemistry and Nano Energy Research Labs at JMI. SAA and IS thank to UGC, New Delhi for the Research Fellowships. Authors also acknowledge the DST PURSE program at CIF, JMI.</t>
  </si>
  <si>
    <t>2365-6549</t>
  </si>
  <si>
    <t>ChemistrySelect</t>
  </si>
  <si>
    <t>FEB 23</t>
  </si>
  <si>
    <t>e202203176</t>
  </si>
  <si>
    <t>10.1002/slct.202203176</t>
  </si>
  <si>
    <t>9C1PZ</t>
  </si>
  <si>
    <t>WOS:000935199000001</t>
  </si>
  <si>
    <t>Stevens, C; Robinson, N; O'Connor, G; Grant, B</t>
  </si>
  <si>
    <t>Stevens, Craig; Robinson, Natalie; O'Connor, Gabby; Grant, Brett</t>
  </si>
  <si>
    <t>Ocean turbulent boundary-layer influence on ice crystal behaviour beneath fast ice in an Antarctic ice shelf water plume: The dirty ice</t>
  </si>
  <si>
    <t>ice shelf water (ISW); frazil ice; turbulent boundary layer; Antarctica; fast ice formation; shear microstructure; supercool seawater</t>
  </si>
  <si>
    <t>BUOYANCY-DRIVEN DISKS; SEA-ICE; FRAZIL-ICE; MCMURDO SOUND; PLATELET ICE; WEDDELL SEA; GROWTH; DYNAMICS; PATH</t>
  </si>
  <si>
    <t>The oceanic connection between ice shelf cavities and sea ice influences sea ice development and persistence. One unique feature in regions near ice shelves is the potential for sea ice growth due to crystal accretion on its underside. Here we present observations of ocean boundary-layer processes and ice crystal behaviour in an Ice Shelf Water outflow region from the Ross/McMurdo Ice Shelves. From a fast ice field camp during the Spring of 2015, we captured the kinematics of free-floating relatively large (in some cases 10s of mm in scale) ice crystals that were advecting and then settling upwards in a depositional layer on the sea ice underside (SIPL, sub-ice platelet layer). Simultaneously, we measured the background oceanic temperature, salinity, currents and turbulence structure. At the camp location the total water depth was 536 m, with the uppermost 50 m of the water column being in-situ super-cooled. Tidal flow speeds had an amplitude of around 0.1 m s(-1) with dissipation rates in the under-ice boundary layer measured to be up to epsilon=10(-6) W kg(-1). Acoustic sampling (200 kHz) identified backscatter from large, individually identifiable suspended crystals associated with crystal sizes larger than normally described as frazil. Measurement of crystals in the SIPL found dimensions of the range 5-200 mm with an average of 93-101 mm depending on the year. The existence and settlement of crystals has implications for understanding SIPL evolution, the structure of sea ice, as well as the fate of Ice Shelf Water.</t>
  </si>
  <si>
    <t>[Stevens, Craig; Robinson, Natalie; Grant, Brett] Natl Inst Water &amp; Atmospher Res, Wellington, New Zealand; [Stevens, Craig] Univ Auckland, Dept Phys, Auckland, New Zealand; [O'Connor, Gabby] Univ Auckland, Fac Creat Arts, Auckland, New Zealand</t>
  </si>
  <si>
    <t>National Institute of Water &amp; Atmospheric Research (NIWA) - New Zealand; University of Auckland; University of Auckland</t>
  </si>
  <si>
    <t>Stevens, C (corresponding author), Natl Inst Water &amp; Atmospher Res, Wellington, New Zealand.;Stevens, C (corresponding author), Univ Auckland, Dept Phys, Auckland, New Zealand.</t>
  </si>
  <si>
    <t>craig.stevens@niwa.co.nz</t>
  </si>
  <si>
    <t>Royal Society of New Zealand Marsden Fund; NIWA Strategic Science Investment Funding; N.Z. Antarctic Research Institute; Deep South National Science Challenge; New Zealand Ministry of Business, Innovation and Employment through the Antarctic SciencePlatform [ANTA1801]</t>
  </si>
  <si>
    <t>Royal Society of New Zealand Marsden Fund(Royal Society of New ZealandMarsden Fund (NZ)); NIWA Strategic Science Investment Funding; N.Z. Antarctic Research Institute; Deep South National Science Challenge; New Zealand Ministry of Business, Innovation and Employment through the Antarctic SciencePlatform</t>
  </si>
  <si>
    <t>Funding was provided by the Royal Society of New Zealand Marsden Fund, NIWA Strategic Science Investment Funding, N.Z. Antarctic Research Institute, the Deep South National Science Challenge, and the New Zealand Ministry of Business, Innovation and Employment through the Antarctic SciencePlatform (ANTA1801).</t>
  </si>
  <si>
    <t>10.3389/fmars.2023.1103740</t>
  </si>
  <si>
    <t>9R6NJ</t>
  </si>
  <si>
    <t>WOS:000945767100001</t>
  </si>
  <si>
    <t>Conroy, JA; Steinberg, DK; Thomas, MI; West, LT</t>
  </si>
  <si>
    <t>Conroy, John A.; Steinberg, Deborah K.; Thomas, Maya I.; West, Leigh T.</t>
  </si>
  <si>
    <t>Seasonal and interannual changes in a coastal Antarctic zooplankton community</t>
  </si>
  <si>
    <t>Phenology; Succession; Biomass; Copepod; Krill; Salp; Pteropod; Southern Ocean</t>
  </si>
  <si>
    <t>SOUTHERN-OCEAN; SEA-ICE; CLIMATE-CHANGE; EUPHAUSIA-SUPERBA; PELAGIC ECOSYSTEM; LIFE-CYCLES; WEDDELL SEA; SCOTIA SEA; FOOD-WEB; ABUNDANCE</t>
  </si>
  <si>
    <t>Seasonal fluctuations are key features of high-latitude marine ecosystems, where zooplankton exhibit a wide array of adaptations within their life cycles. Repeated, sub-seasonal sampling of Antarctic zooplankton is rare, even along the West Antarctic Peninsula (WAP), where multidecadal changes in sea ice and phytoplankton are well documented. We quantified zooplankton biomass, size structure, and composition at 2 coastal time-series stations in the northern WAP over 3 field seasons (November-March) with different sea-ice, temperature, and phytoplankton conditions. Seasonal peaks in zooplankton biomass followed weeks after phytoplankton blooms. Biomass of mesozooplankton (0.2-2 mm) was consistent and low, while high biomass of macrozooplankton (&gt;2 mm) occasionally resulted in a size distribution dominated by krill and salps, which appears to be a characteristic phenomenon of the Southern Ocean. Zooplankton composition and size changed between years and from spring to summer as the water column warmed after sea-ice breakup. Seasonal succession was apparent typically in decreasing zooplankton size and a shift to species that are less dependent upon phytoplankton. Mean central abundance dates varied by 54 d across 14 taxa, and specific feeding preferences and life-history traits explained the different seasonal abundance patterns. In all 3 yr, the dominant euphausiid species switched from Euphausia superba in spring to Thysanoessa macrura in late summer. Various taxa shifted their phenology between years in response to the timing of sea-ice breakup and the onset of phytoplankton productivity, a level of natural environmental variability to which they appear resilient. Nevertheless, the limits to this resilience in response to climate change remain uncertain.</t>
  </si>
  <si>
    <t>[Conroy, John A.; Steinberg, Deborah K.; Thomas, Maya I.; West, Leigh T.] Virginia Inst Marine Sci, William &amp; Mary, Gloucester Point, VA 23062 USA; [West, Leigh T.] Univ Washington, Dept Biol, Ctr Ecosyst Sentinels, Seattle, WA 98195 USA</t>
  </si>
  <si>
    <t>William &amp; Mary; Virginia Institute of Marine Science; University of Washington; University of Washington Seattle</t>
  </si>
  <si>
    <t>Conroy, JA (corresponding author), Virginia Inst Marine Sci, William &amp; Mary, Gloucester Point, VA 23062 USA.</t>
  </si>
  <si>
    <t>jaconroy@vims.edu</t>
  </si>
  <si>
    <t>Steinberg, Deborah K./0000-0001-9884-4655; Conroy, Jack/0000-0001-6559-8240; Thomas, Maya/0000-0001-8525-5392</t>
  </si>
  <si>
    <t>National Science Foundation Antarctic Organisms and Ecosystems Program [PLR-1440435, OPP-2026045]; VIMS Research Experience for Undergraduates program [NSF OCE-1659656]; NSF [NSF 1924730, 1951603]; Office of Polar Programs (OPP); Directorate For Geosciences [1951603] Funding Source: National Science Foundation</t>
  </si>
  <si>
    <t>National Science Foundation Antarctic Organisms and Ecosystems Program(National Science Foundation (NSF)NSF - Directorate for Geosciences (GEO)); VIMS Research Experience for Undergraduates program; NSF(National Science Foundation (NSF)); Office of Polar Programs (OPP); Directorate For Geosciences(National Science Foundation (NSF)NSF - Directorate for Geosciences (GEO))</t>
  </si>
  <si>
    <t>Acknowledgements. This work was supported by the National Science Foundation Antarctic Organisms and Ecosystems Program (PLR-1440435 and OPP-2026045). M.I.T. was supported by the VIMS Research Experience for Undergraduates program (NSF OCE-1659656). Tide data were made available by the University of Wisconsin-Madison and Madison College AMRDC (NSF 1924730 and 1951603). Thank you to the Antarctic Support Contract personnel at Palmer Station for their scientific and logistical support. We thank Kharis Schrage, Andrew Corso, Ashley Hann, and Rachael Young for their field contributions to this project. Michael Gibson assisted with laboratory work. Sharon Stammerjohn, Oscar Schofield, Schuyler Nardelli, and Nicole Waite provided environmental data. Comments from Kim Bernard, David Johnson, Walker Smith, Mike Vecchione, and 3 anonymous reviewers improved this manuscript.</t>
  </si>
  <si>
    <t>10.3354/meps14256</t>
  </si>
  <si>
    <t>9S3BY</t>
  </si>
  <si>
    <t>WOS:000946221000002</t>
  </si>
  <si>
    <t>Puigcorbé, V; Ruiz-González, C; Masqué, P; Gasol, JM</t>
  </si>
  <si>
    <t>Puigcorbe, Viena; Ruiz-Gonzalez, Clara; Masque, Pere; Gasol, Josep M.</t>
  </si>
  <si>
    <t>Impact of particle flux on the vertical distribution and diversity of size-fractionated prokaryotic communities in two East Antarctic polynyas</t>
  </si>
  <si>
    <t>prokaryotic communities; marine particles; (234)Thorium; particle export; polynyas; Antarctica; particle size fractionation; particle-attached and free-living prokaryotes</t>
  </si>
  <si>
    <t>PARTICULATE ORGANIC-CARBON; AMUNDSEN SEA; BACTERIOPLANKTON DISTRIBUTION; INVERSE RELATIONSHIP; EXPORT EFFICIENCY; GLOBAL DATABASE; SURFACE; TH-234; OCEAN; WATER</t>
  </si>
  <si>
    <t>Antarctic polynyas are highly productive open water areas surrounded by ice where extensive phytoplankton blooms occur, but little is known about how these surface blooms influence carbon fluxes and prokaryotic communities from deeper waters. By sequencing the 16S rRNA gene, we explored the vertical connectivity of the prokaryotic assemblages associated with particles of three different sizes in two polynyas with different surface productivity, and we linked it to the magnitude of the particle export fluxes measured using thorium-234 (Th-234) as particle tracer. Between the sunlit and the mesopelagic layers (700 m depth), we observed compositional changes in the prokaryotic communities associated with the three size-fractions, which were mostly dominated by Flavobacteriia, Alphaproteobacteria, and Gammaproteobacteria. Interestingly, the vertical differences between bacterial communities attached to the largest particles decreased with increasing Th-234 export fluxes, indicating a more intense downward transport of surface prokaryotes in the most productive polynya. This was accompanied by a higher proportion of surface prokaryotic taxa detected in deep particle-attached microbial communities in the station with the highest Th-234 export flux. Our results support recent studies evidencing links between surface productivity and deep prokaryotic communities and provide the first evidence of sinking particles acting as vectors of microbial diversity to depth in Antarctic polynyas, highlighting the direct influence of particle export in shaping the prokaryotic communities of mesopelagic waters.</t>
  </si>
  <si>
    <t>[Puigcorbe, Viena; Ruiz-Gonzalez, Clara; Gasol, Josep M.] CSIC, Inst Ciencies Mar, ICM, Dept Marine Biol &amp; Oceanog, Barcelona, Spain; [Puigcorbe, Viena; Masque, Pere] Edith Cowan Univ, Ctr Marine Ecosyst Res, Sch Sci, Joondalup, WA, Australia; [Masque, Pere] IAEA, City Of Monaco, Monaco</t>
  </si>
  <si>
    <t>Consejo Superior de Investigaciones Cientificas (CSIC); CSIC - Centro Mediterraneo de Investigaciones Marinas y Ambientales (CMIMA); CSIC - Instituto de Ciencias del Mar (ICM); Edith Cowan University</t>
  </si>
  <si>
    <t>Puigcorbé, V; Ruiz-González, C (corresponding author), CSIC, Inst Ciencies Mar, ICM, Dept Marine Biol &amp; Oceanog, Barcelona, Spain.;Puigcorbé, V (corresponding author), Edith Cowan Univ, Ctr Marine Ecosyst Res, Sch Sci, Joondalup, WA, Australia.</t>
  </si>
  <si>
    <t>viena.puigcorbe@outlook.com; clararg@icm.csic.es</t>
  </si>
  <si>
    <t>Gasol, Josep M M/B-1709-2008; Masque, Pere/AAC-9349-2022; Puigcorbé, Viena/I-9349-2016</t>
  </si>
  <si>
    <t>Masque, Pere/0000-0002-1789-320X; Puigcorbé, Viena/0000-0001-5892-2305</t>
  </si>
  <si>
    <t>la Caixa Foundation [100010434]; European Union's Horizon 2020 research and innovation program under the Marie Sklodowska-Curie grant [847648, LCF/BQ/PI21/11830020]; Edith Cowan University [G1003456]; School of Science at Edith Cowan University [G1003362]; Spanish Ministry of Science and Innovation [RTI2018-101025-B-I00, RYC2019-026758-I, CTM2015-70340-R, PID2021-125469NB-C31]; Generalitat de Catalunya Consolidated Research Group [2017SGR/1568]</t>
  </si>
  <si>
    <t>la Caixa Foundation(La Caixa Foundation); European Union's Horizon 2020 research and innovation program under the Marie Sklodowska-Curie grant(Marie Curie ActionsHorizon 2020); Edith Cowan University; School of Science at Edith Cowan University; Spanish Ministry of Science and Innovation(Spanish Government); Generalitat de Catalunya Consolidated Research Group</t>
  </si>
  <si>
    <t>The project that gave rise to these results received the support of a fellowship to VP from la Caixa Foundation (ID 100010434) and from the European Union's Horizon 2020 research and innovation program under the Marie Sklodowska-Curie grant agreement no 847648 (fellowship code LCF/BQ/PI21/11830020). VP also received funding from Edith Cowan University (G1003456) and from the School of Science at Edith Cowan University (G1003362) to support this work. CR-G was supported by the grants RTI2018-101025-B-I00 and a Ramon y Cajal contract (RYC2019-026758-I) and JG by grants CTM2015-70340-R and PID2021-125469NB-C31 of the Spanish Ministry of Science and Innovation and by the Generalitat de Catalunya Consolidated Research Group 2017SGR/1568.</t>
  </si>
  <si>
    <t>10.3389/fmicb.2023.1078469</t>
  </si>
  <si>
    <t>9R7BQ</t>
  </si>
  <si>
    <t>WOS:000945804200001</t>
  </si>
  <si>
    <t>Xia, ZY; Chen, LJ; Gu, WY; Horne, RB; Miyoshi, Y; Kasahara, Y; Kumamoto, A; Tsuchiya, F; Nakamura, S; Kitahara, M; Shinohara, I</t>
  </si>
  <si>
    <t>Xia, Zhiyang; Chen, Lunjin; Gu, Wenyao; Horne, Richard B.; Miyoshi, Yoshizumi; Kasahara, Yoshiya; Kumamoto, Atsushi; Tsuchiya, Fuminori; Nakamura, Satoko; Kitahara, Masahiro; Shinohara, Iku</t>
  </si>
  <si>
    <t>Latitudinal dependence of ground VLF transmitter wave power in the inner magnetosphere</t>
  </si>
  <si>
    <t>FRONTIERS IN ASTRONOMY AND SPACE SCIENCES</t>
  </si>
  <si>
    <t>VLF transmitter; whistler wave; wave propagation; ray tracing; inner magnetosphere; ERG; Arase; van allen probes (RBSP)</t>
  </si>
  <si>
    <t>SHEATH IMPEDANCE; PROPAGATION; MODEL</t>
  </si>
  <si>
    <t>In this study, we use approximately 3 years of observations from the Exploration of energization and Radiation in Geospace (ERG/Arase) satellite to statistically study the meridional distribution of wave power from very-low-frequency (VLF) ground transmitters in the inner magnetosphere and analyze the corresponding latitudinal dependence. The results show that the mean intensity of NWC transmitter signals decreases as the transmitter emission propagates from the southern latitude (similar to -30 degrees) region to the equator in the inner magnetosphere and then increases as the emission propagates to the northern latitude (similar to 30 degrees) region again. Similar latitudinal dependence can be found from the Van Allen Probes' observation with a narrower latitude range (similar to -20 degrees to 0 degrees). A ray-tracing simulation of the transmitter emission propagation is performed and reproduces a meridional wave power distribution similar to the observation. Similar latitudinal dependence can also be found for NAA, NLK and NLM transmitters.</t>
  </si>
  <si>
    <t>[Xia, Zhiyang; Chen, Lunjin; Gu, Wenyao] Univ Texas Dallas, Dept Phys, Richardson, TX 75080 USA; [Horne, Richard B.] British Antarctic Survey, Cambridge, England; [Miyoshi, Yoshizumi; Nakamura, Satoko] Nagoya Univ, Inst Space Earth Environm Res, Nagoya, Japan; [Kasahara, Yoshiya] Kanazawa Univ, Grad Sch Nat Sci &amp; Technol, Kanazawa, Japan; [Kumamoto, Atsushi; Tsuchiya, Fuminori; Kitahara, Masahiro] Tohoku Univ, Grad Sch Sci, Sendai, Japan; [Shinohara, Iku] Japan Aerosp Explorat Agcy, Inst Space &amp; Astronaut Sci, Sagamihara, Japan</t>
  </si>
  <si>
    <t>University of Texas System; University of Texas Dallas; UK Research &amp; Innovation (UKRI); Natural Environment Research Council (NERC); NERC British Antarctic Survey; Nagoya University; Kanazawa University; Tohoku University; Japan Aerospace Exploration Agency (JAXA); Institute of Space &amp; Astronautical Science (ISAS)</t>
  </si>
  <si>
    <t>Xia, ZY (corresponding author), Univ Texas Dallas, Dept Phys, Richardson, TX 75080 USA.</t>
  </si>
  <si>
    <t>Zhiyang.Xia@utdallas.edu</t>
  </si>
  <si>
    <t>KASAHARA, Yoshiya/E-7073-2015; Tsuchiya, Fuminori/T-1957-2019; Horne, Richard B/U-3764-2019; Miyoshi, Yoshizumi/T-5748-2019; Chen, Lunjin/L-1250-2013; 熊本, 篤志/JBS-8512-2023</t>
  </si>
  <si>
    <t>Tsuchiya, Fuminori/0000-0003-3386-6794; Horne, Richard B/0000-0002-0412-6407; Miyoshi, Yoshizumi/0000-0001-7998-1240; 熊本, 篤志/0000-0002-3988-1488; Gu, Wenyao/0000-0003-3562-0595; Xia, Zhiyang/0000-0001-8922-6484</t>
  </si>
  <si>
    <t>NASA [80NSSC19K0282, 80NSSC21K0728, 80NSSC21K1688]; NERC [NE/P01738X/1, NE/V00249X/1]</t>
  </si>
  <si>
    <t>NASA(National Aeronautics &amp; Space Administration (NASA)); NERC(UK Research &amp; Innovation (UKRI)Natural Environment Research Council (NERC))</t>
  </si>
  <si>
    <t>Work at UTD is supported by NASA grants 80NSSC19K0282, 80NSSC21K0728, and 80NSSC21K1688. RBH was supported by NERC Highlight Topic Grant NE/P01738X/1 (Rad-Sat) and NERC grant NE/V00249X/1 (Sat-Risk).</t>
  </si>
  <si>
    <t>2296-987X</t>
  </si>
  <si>
    <t>FRONT ASTRON SPACE</t>
  </si>
  <si>
    <t>Front. Astron. Space Sci.</t>
  </si>
  <si>
    <t>10.3389/fspas.2023.1135509</t>
  </si>
  <si>
    <t>9S3DZ</t>
  </si>
  <si>
    <t>WOS:000946226300001</t>
  </si>
  <si>
    <t>Han, MAX; Sun, JH; Yang, QW; Liang, YT; Jiang, Y; Gao, C; Gu, CX; Liu, Q; Chen, XC; Liu, G; Shao, HB; Guo, C; He, H; Wang, HL; Sung, YY; Mok, WJ; Wong, LL; Wang, ZL; McMinn, A; Wang, M</t>
  </si>
  <si>
    <t>Han, Meiaoxue; Sun, Jianhua; Yang, Qingwei; Liang, Yantao; Jiang, Yong; Gao, Chen; Gu, Chengxiang; Liu, Qian; Chen, Xuechao; Liu, Gang; Shao, Hongbing; Guo, Cui; He, Hui; Wang, Hualong; Sung, Yeong Yik; Mok, Wen Jye; Wong, Li Lian; Wang, Zongling; McMinn, Andrew; Wang, Min</t>
  </si>
  <si>
    <t>Spatiotemporal Dynamics of Coastal Viral Community Structure and Potential Biogeochemical Roles Affected by an Ulva prolifera Green Tide</t>
  </si>
  <si>
    <t>virome; Ulva prolifera green tide; spatiotemporal dynamics; viral auxiliary metabolic genes; coastal waters of Yellow Sea</t>
  </si>
  <si>
    <t>MARINE VIRUSES; EMILIANIA-HUXLEYI; INFECTION; BLOOM; PICOPLANKTON; CYANOPHAGES; ABUNDANCE; ALIGNMENT; PATTERNS; GROWTH</t>
  </si>
  <si>
    <t>To the best of our knowledge, this study is the first to investigate the responses of viruses to the world's largest macroalgal green tide. It revealed the spatiotemporal dynamics of the unique viral assemblages and auxiliary metabolic genes (AMGs) following the variation and degradation of Ulva prolifera. These findings demonstrate a tight coupling between viral assemblages, and prokaryotic and eukaryotic abundances were influenced by the green tide. The world's largest macroalgal green tide, caused by Ulva prolifera, has resulted in serious consequences for coastal waters of the Yellow Sea, China. Although viruses are considered to be one of the key factors in controlling microalgal bloom demise, understanding of the relationship between viral communities and the macroalgal green tide is still poor. Here, a Qingdao coastal virome (QDCV) time-series data set was constructed based on the metagenomic analysis of 17 DNA viromes along three coastal stations of the Yellow Sea, covering different stages of the green tide from Julian days 165 to 271. A total of 40,076 viral contigs were detected and clustered into 28,058 viral operational taxonomic units (vOTUs). About 84% of the vOTUs could not be classified, and 62% separated from vOTUs in other ecosystems. Green tides significantly influenced the spatiotemporal dynamics of the viral community structure, diversity, and potential functions. For the classified vOTUs, the relative abundance of Pelagibacter phages declined with the arrival of the bloom and rebounded after the bloom, while Synechococcus and Roseobacter phages increased, although with a time lag from the peak of their hosts. More than 80% of the vOTUs reached peaks in abundance at different specific stages, and the viral peaks were correlated with specific hosts at different stages of the green tide. Most of the viral auxiliary metabolic genes (AMGs) were associated with carbon and sulfur metabolism and showed spatiotemporal dynamics relating to the degradation of the large amount of organic matter released by the green tide.IMPORTANCE To the best of our knowledge, this study is the first to investigate the responses of viruses to the world's largest macroalgal green tide. It revealed the spatiotemporal dynamics of the unique viral assemblages and auxiliary metabolic genes (AMGs) following the variation and degradation of Ulva prolifera. These findings demonstrate a tight coupling between viral assemblages, and prokaryotic and eukaryotic abundances were influenced by the green tide.</t>
  </si>
  <si>
    <t>[Han, Meiaoxue; Sun, Jianhua; Yang, Qingwei; Liang, Yantao; Jiang, Yong; Gao, Chen; Gu, Chengxiang; Liu, Qian; Chen, Xuechao; Liu, Gang; Shao, Hongbing; Guo, Cui; He, Hui; Wang, Hualong; McMinn, Andrew; Wang, Min] Ocean Univ China, Inst Evolut &amp; Marine Biodivers, Coll Marine Life Sci, Key Lab Polar Oceanog &amp; Global Ocean Change, Qingdao, Peoples R China; [Liang, Yantao; Shao, Hongbing; Guo, Cui; He, Hui; Wang, Hualong; Sung, Yeong Yik; Mok, Wen Jye; Wong, Li Lian; Wang, Min] Univ Malaysia Terengganu Ocean Univ China Joint Ct, Qingdao, Peoples R China; [Sung, Yeong Yik; Mok, Wen Jye; Wong, Li Lian] Univ Malaysia Terengganu, Inst Marine Biotechnol, Kuala Nerus, Malaysia; [Wang, Zongling] Minist Nat Resources, Inst Oceanog 1, Key Lab Marine Ecoenvironm Sci &amp; Technol, Qingdao, Peoples R China; [McMinn, Andrew] Univ Tasmania, Inst Marine &amp; Antarctic Studies, Hobart, Tas, Australia; [Wang, Min] Ocean Univ China, Haide Coll, Qingdao, Peoples R China; [Wang, Min] Qingdao Univ, Affiliated Hosp, Qingdao, Peoples R China</t>
  </si>
  <si>
    <t>Ocean University of China; Universiti Malaysia Terengganu; Ministry of Natural Resources of the People's Republic of China; First Institute of Oceanography, Ministry of Natural Resources; University of Tasmania; Ocean University of China; Qingdao University</t>
  </si>
  <si>
    <t>Liang, YT; McMinn, A; Wang, M (corresponding author), Ocean Univ China, Inst Evolut &amp; Marine Biodivers, Coll Marine Life Sci, Key Lab Polar Oceanog &amp; Global Ocean Change, Qingdao, Peoples R China.;Liang, YT; Wang, M (corresponding author), Univ Malaysia Terengganu Ocean Univ China Joint Ct, Qingdao, Peoples R China.;Wang, ZL (corresponding author), Minist Nat Resources, Inst Oceanog 1, Key Lab Marine Ecoenvironm Sci &amp; Technol, Qingdao, Peoples R China.;McMinn, A (corresponding author), Univ Tasmania, Inst Marine &amp; Antarctic Studies, Hobart, Tas, Australia.;Wang, M (corresponding author), Ocean Univ China, Haide Coll, Qingdao, Peoples R China.;Wang, M (corresponding author), Qingdao Univ, Affiliated Hosp, Qingdao, Peoples R China.</t>
  </si>
  <si>
    <t>liangyantao@ouc.edu.cn; wangzl@fio.org.cn; andrew.mcminn@utas.edu.au; mingwang@ouc.edu.cn</t>
  </si>
  <si>
    <t>Wang, Min/AFR-9645-2022; Mok, Wen Jye/AAF-9229-2019; Jiang, Yong/AGK-3016-2022; Li, Yan/JRW-0176-2023; gu, chengxiang/ABA-7780-2021; Gao, Chen/AAT-5126-2021; wong, li/ABF-6896-2021</t>
  </si>
  <si>
    <t>Wang, Min/0000-0002-2357-589X; Mok, Wen Jye/0000-0002-7629-8312; Jiang, Yong/0000-0002-4072-1668; Gao, Chen/0000-0001-9892-7928; wong, li/0000-0003-0649-2010; Yeong, Yik Sung/0000-0001-5897-9037; liang, yan tao/0000-0002-2477-8197</t>
  </si>
  <si>
    <t>Laoshan Laboratory [LSKJ202203201]; National Key Research and Development Program of China; Natural Science Foundation of China [42120104006, 42176111, 42188102, 202172002]; Fundamental Research Funds for the Central Universities [201812002, 202072001, 2022YFC2807500]; [41976117]</t>
  </si>
  <si>
    <t>Laoshan Laboratory; National Key Research and Development Program of China; Natural Science Foundation of China(National Natural Science Foundation of China (NSFC)); Fundamental Research Funds for the Central Universities(Fundamental Research Funds for the Central Universities);</t>
  </si>
  <si>
    <t>We thank Curtis A. Suttle for insightful comments on this work. We are grateful for the use of the high-performance server at the Center for High Performance Computing and System Simulation, Pilot National Laboratory for Marine Science and Technology (Qingdao, China). We appreciate the computing resources provided by IEMB-1, a high-performance computation cluster operated by the Institute of Evolution and Marine Biodiversity, and Marine Big Data Center of Institute for Advanced Ocean Study of Ocean University of China. This work was supported by Laoshan Laboratory grant LSKJ202203201; National Key Research and Development Program of China grant 2022YFC2807500; Natural Science Foundation of China grants 41976117, 42120104006, 42176111, and 42188102; and Fundamental Research Funds for the Central Universities grants 202172002, 201812002, and 202072001. We declare no conflict of interest. Conceptualization, revision, project administration, supervision and funding acquisition, Y.L., A.M., Z.W., and M.W.; methodology, formal analysis, writing, and original draft preparation, M.H., J.S., and Q.Y.; software, validation, and visualization, C. Gao and C. Gu; investigation and resources and data curation, Y.J., Q.L., X.C., G.L., H.S., C. Guo, H.H., and H.W.; review and editing, Y.Y.S., W.J.M., and L.L.W. All authors contributed to the article and approved the submitted version.</t>
  </si>
  <si>
    <t>10.1128/msystems.01211-22</t>
  </si>
  <si>
    <t>WOS:000937495400001</t>
  </si>
  <si>
    <t>Pal, N; Barton, KN; Petersen, MR; Brus, SR; Engwirda, D; Arbic, BK; Roberts, AF; Westerink, JJ; Wirasaet, D</t>
  </si>
  <si>
    <t>Pal, Nairita; Barton, Kristin N.; Petersen, Mark R.; Brus, Steven R.; Engwirda, Darren; Arbic, Brian K.; Roberts, Andrew F.; Westerink, Joannes J.; Wirasaet, Damrongsak</t>
  </si>
  <si>
    <t>Barotropic tides in MPAS-Ocean (E3SM V2): impact of ice shelf cavities</t>
  </si>
  <si>
    <t>INTERNAL WAVE DRAG; MODEL; GENERATION; DISSIPATION; ACCURACY; BALANCE; ENERGY</t>
  </si>
  <si>
    <t>Oceanic tides are seldom represented in Earth system models (ESMs) owing to the need for high horizontal resolution to accurately represent the associated barotropic waves close to coasts. This paper presents results of tides implemented in the Model for Prediction Across Scales-Ocean or MPAS-Ocean, which is the ocean component within the U.S. Department of Energy developed Energy Exascale Earth System Model (E3SM). MPAS-Ocean circumvents the limitation of low resolution using unstructured global meshing. We are at this stage simulating the largest semidiurnal (M-2, S-2, N-2) and diurnal (K-1, O-1) tidal constituents in a single-layer version of MPAS-O. First, we show that the tidal constituents calculated using MPAS-Ocean closely agree with the results of the global tidal prediction model TPXO8 when suitably tuned topographic wave drag and bottom drag coefficients are employed. Thereafter, we present the sensitivity of global tidal evolution due to the presence of Antarctic ice shelf cavities. The effect of ice shelves on the amplitude and phase of tidal constituents are presented. Lower values of complex errors (with respect to TPXO8 results) for the M-2 tidal constituents are observed when the ice shelf is added in the simulations, with particularly strong improvement in the Southern Ocean. Our work points towards future research with varying Antarctic ice shelf geometries and sea ice coupling that might lead to better comparison and prediction of tides and thus better prediction of sea-level rise and also the future climate variability.</t>
  </si>
  <si>
    <t>[Pal, Nairita; Petersen, Mark R.; Engwirda, Darren; Roberts, Andrew F.] Los Alamos Natl Lab, Los Alamos, NM 87545 USA; [Pal, Nairita] Indian Inst Technol, Ctr Ocean River Atmosphere &amp; Land Sci, Kharagpur 721302, India; [Barton, Kristin N.] Univ Michigan, Dept Phys, Ann Arbor, MI 48109 USA; [Brus, Steven R.] Argonne Natl Lab, Lemont, IL 60439 USA; [Arbic, Brian K.] Univ Michigan, Dept Earth &amp; Environm Sci, Ann Arbor, MI 48109 USA; [Westerink, Joannes J.; Wirasaet, Damrongsak] Univ Notre Dame, Dept Civil &amp; Environm Engn &amp; Earth Sci, 156 Fitzpatrick Hall, Notre Dame, IN 46556 USA</t>
  </si>
  <si>
    <t>United States Department of Energy (DOE); Los Alamos National Laboratory; Indian Institute of Technology System (IIT System); Indian Institute of Technology (IIT) - Kharagpur; University of Michigan System; University of Michigan; United States Department of Energy (DOE); Argonne National Laboratory; University of Michigan System; University of Michigan; University of Notre Dame</t>
  </si>
  <si>
    <t>Pal, N (corresponding author), Los Alamos Natl Lab, Los Alamos, NM 87545 USA.;Pal, N (corresponding author), Indian Inst Technol, Ctr Ocean River Atmosphere &amp; Land Sci, Kharagpur 721302, India.</t>
  </si>
  <si>
    <t>nairitap2009@gmail.com</t>
  </si>
  <si>
    <t>Brus, Steven Richard/ABB-8389-2021; Pal, Nairita/AAK-1341-2021</t>
  </si>
  <si>
    <t>Brus, Steven Richard/0000-0002-0314-9201; Pal, Nairita/0000-0003-2273-0699; Arbic, Brian K/0000-0002-7969-2294; Engwirda, Darren/0000-0002-3379-9109; Petersen, Mark/0000-0001-7170-7511</t>
  </si>
  <si>
    <t>Biological and Environmental Research [DE-AC05-76RL01830]</t>
  </si>
  <si>
    <t>Biological and Environmental Research</t>
  </si>
  <si>
    <t>his research has been supported by the Biological and Environmental Research (grant no. DE-AC05-76RL01830)</t>
  </si>
  <si>
    <t>10.5194/gmd-16-1297-2023</t>
  </si>
  <si>
    <t>9E9WY</t>
  </si>
  <si>
    <t>WOS:000937129900001</t>
  </si>
  <si>
    <t>Wang, YC; Lu, HY; Lyu, H; Cai, DX; Qiang, XK; Li, YX; Wang, XY; Lai, W; Wang, Y; Zhang, HZ; Wang, KX; Huang, ZH; Yu, XC; Hu, SL</t>
  </si>
  <si>
    <t>Wang, Yichao; Lu, Huayu; Lyu, Hengzhi; Cai, Dongxu; Qiang, Xiaoke; Li, Yongxiang; Wang, Xianyan; Lai, Wen; Wang, Yao; Zhang, Hanzhi; Wang, Kexin; Huang, Zihan; Yu, Xiaochun; Hu, Shaolei</t>
  </si>
  <si>
    <t>East Asian hydroclimate responses to the Eocene-Oligocene transition in the Weihe Basin, central China</t>
  </si>
  <si>
    <t>East Asian monsoon; Lake level variation; Global cooling; Time series analysis; Orbital forcing</t>
  </si>
  <si>
    <t>TIBETAN PLATEAU; CLIMATE TRANSITION; XINING BASIN; INDIAN MONSOON; TARIM BASIN; GRAIN-SIZE; ARIDIFICATION; RECORD; GREENHOUSE; EVOLUTION</t>
  </si>
  <si>
    <t>The Eocene-Oligocene transition (EOT) at -34 Ma marked a significant global cooling on Earth when the ice cover in the Antarctic was formed. How the regional hydroclimate responded to this global cooling event has been extensively investigated, but the specific processes in the Asian monsoon dominated regions are still elusive, due to the lack of independent and detailed timescales. Moreover, previous sedimentary records are mainly from the Asian interior and the influence of tectonic deformation/uplifts in northeastern Tibetan Plateau on the deposit records has not been effectively separated. Here, we present a high-resolution hydroclimate record from a fluvial-lacustrine sequence in the Weihe Basin, central China, which is dated from -34.9 to 31.5 Ma by a highresolution magnetostratigraphy with age controls of mammal fossil assemblages and apatite fission track (AFT) chronometry. This record shows a remarkable hydroclimatic shift occurred at -33.7 Ma, as manifested by a sedimentary environment change from lakeshore to lake-delta. The associated significant changes in sediment grain size and magnetic susceptibility exhibit responses of regional drying to the EOT and the Early Oligocene Glacial Maximum (EOGM). In addition, spectral analyses of the time series of paleoenvironmental proxies reveal that the hydroclimate also varied at orbital frequencies with relatively persistent eccentricity cycles (-100 kyr), accompanied by precession (-20 kyr) and obliquity (- 40 kyr) cycles after the formation of the Antarctic ice sheet at -33.2 Ma. Our results suggest that the monsoon-like paleoclimate variations in the mid-latitude northern Hemisphere during the EOT were partly modulated by high-latitude temperature and insolation variations.</t>
  </si>
  <si>
    <t>[Wang, Yichao; Lu, Huayu; Lyu, Hengzhi; Cai, Dongxu; Wang, Xianyan; Lai, Wen; Wang, Yao; Zhang, Hanzhi; Wang, Kexin; Huang, Zihan; Yu, Xiaochun; Hu, Shaolei] Nanjing Univ, Frontiers Sci Ctr Crit Earth Mat Cycling, Sch Geog &amp; Ocean Sci, Nanjing 210023, Peoples R China; [Qiang, Xiaoke] Chinese Acad Sci, Inst Earth Environm, State Key Lab Loess &amp; Quaternary Geol, Xian 710061, Peoples R China; [Li, Yongxiang] Nanjing Univ, Sch Earth Sci &amp; Engn, State Key Lab Mineral Deposits Res, Nanjing 210023, Peoples R China</t>
  </si>
  <si>
    <t>Nanjing University; Chinese Academy of Sciences; Institute of Earth Environment, CAS; Nanjing University</t>
  </si>
  <si>
    <t>Lu, HY (corresponding author), Nanjing Univ, Frontiers Sci Ctr Crit Earth Mat Cycling, Sch Geog &amp; Ocean Sci, Nanjing 210023, Peoples R China.</t>
  </si>
  <si>
    <t>huayulu@nju.edu.cn</t>
  </si>
  <si>
    <t>li, yongxiang/GPW-6930-2022; Zhang, Hanzhi/GLN-6996-2022; Huang, Zihan/ACI-4397-2022</t>
  </si>
  <si>
    <t>Zhang, Hanzhi/0000-0001-7112-2302; Cai, Dongxu/0000-0002-0899-2150</t>
  </si>
  <si>
    <t>National Natural Science Foundation of China [42021001, 41888101, 42111530065]; Program A for Outstanding PhD Candidate of Nanjing University [202101A007]</t>
  </si>
  <si>
    <t>National Natural Science Foundation of China(National Natural Science Foundation of China (NSFC)); Program A for Outstanding PhD Candidate of Nanjing University</t>
  </si>
  <si>
    <t>We thank Hongyi Qiu, Haipeng Ye, Xinchao Chen, Yao Chen, Dongyu Xiang, Rong Hu, Lin Zhao, Chenghong Liang, Fan Yang, Xiaoyi Dong, Xin Gao, Jing He, Zhengchen Li and Qinmian Xu for their assistance in the field and laboratory. This research is supported by National Natural Science Foundation of China (42021001, 41888101, 42111530065) and the Program A for Outstanding PhD Candidate of Nanjing University (202101A007)</t>
  </si>
  <si>
    <t>10.1016/j.palaeo.2023.111436</t>
  </si>
  <si>
    <t>H3RW3</t>
  </si>
  <si>
    <t>WOS:000995182100001</t>
  </si>
  <si>
    <t>Yang, X; Hu, Y; Shang, ZH; Ma, B; Ashley, MCB; Cui, XQ; Du, FJ; Fu, JN; Gong, XF; Gu, BZ; Jiang, P; Li, XY; Li, ZY; Tao, C; Wang, LF; Xu, LZ; Yang, SH; Yu, C; Yuan, XY; Zhou, JL; Zhu, ZX</t>
  </si>
  <si>
    <t>Yang, Xu; Hu, Yi; Shang, Zhaohui; Ma, Bin; Ashley, Michael C. B.; Cui, Xiangqun; Du, Fujia; Fu, Jianning; Gong, Xuefei; Gu, Bozhong; Jiang, Peng; Li, Xiaoyan; Li, Zhengyang; Tao, Charling; Wang, Lifan; Xu, Lingzhe; Yang, Shi-hai; Yu, Ce; Yuan, Xiangyan; Zhou, Ji-lin; Zhu, Zhenxi</t>
  </si>
  <si>
    <t>Data release of the AST3-2 automatic survey from Dome A, Antarctica</t>
  </si>
  <si>
    <t>surveys; catalogues; stars: variables: general</t>
  </si>
  <si>
    <t>POINT-SOURCE CATALOG; SOUTHERN CVZ; 1ST RELEASE; EXOPLANETS; CHESPA; ASTRONOMY; PROJECT; SYSTEM</t>
  </si>
  <si>
    <t>AST3-2 is the second of the three Antarctic Survey Telescopes, aimed at wide-field time-domain optical astronomy. It is located at Dome A, Antarctica, which is by many measures the best optical astronomy site on the Earth's surface. Here we present the data from the AST3-2 automatic survey in 2016 and the photometry results. The median 5 sigma limiting magnitude in i-band is 17.8 mag and the light-curve precision is 4 mmag for bright stars. The data release includes photometry for over 7 million stars, from which over 3500 variable stars were detected, with 70 of them newly discovered. We classify these new variables into different types by combining their light-curve features with stellar properties from surveys such as StarHorse.</t>
  </si>
  <si>
    <t>[Yang, Xu; Hu, Yi; Shang, Zhaohui] Chinese Acad Sci, Natl Astron Observ, d, Beijing 100101, Peoples R China; [Yang, Xu] Univ Chinese Acad Sci, Beijing 100049, Peoples R China; [Ma, Bin] Sun Yat Sen Univ, Sch Phys &amp; Astron, Zhuhai 519082, Peoples R China; [Ashley, Michael C. B.] Univ New South Wales, Sch Phys, Sydney, NSW 2052, Australia; [Cui, Xiangqun; Du, Fujia; Gong, Xuefei; Gu, Bozhong; Li, Xiaoyan; Li, Zhengyang; Xu, Lingzhe; Yang, Shi-hai; Yuan, Xiangyan] Nanjing Inst Astron Opt &amp; Technol, Nanjing 210042, Peoples R China; [Cui, Xiangqun; Du, Fujia; Gong, Xuefei; Gu, Bozhong; Jiang, Peng; Li, Xiaoyan; Li, Zhengyang; Wang, Lifan; Yang, Shi-hai; Yuan, Xiangyan; Zhu, Zhenxi] Chinese Ctr Antarctic Astron, Nanjing 210008, Peoples R China; [Fu, Jianning] Beijing Normal Univ, Dept Astron, Beijing 100875, Peoples R China; [Jiang, Peng] Polar Res Inst China, Key Lab Polar Sci, MNR, Shanghai 200136, Peoples R China; [Tao, Charling] Aix Marseille Univ, CNRS IN2P3, CPPM, F-13007 Marseille, France; [Tao, Charling] Tsinghua Univ, Phys Dept, Beijing 100084, Peoples R China; [Tao, Charling] Tsinghua Univ, Tsinghua Ctr Astrophys THCA, Beijing 100084, Peoples R China; [Wang, Lifan] Texas A&amp;M Univ, Dept Phys &amp; Astron, College Stn, TX 77843 USA; [Wang, Lifan; Zhu, Zhenxi] Chinese Acad Sci, Purple Mt Observ, Nanjing 210008, Peoples R China; [Yu, Ce] Tianjin Univ, Coll Intelligence &amp; Comp, Tianjin 300350, Peoples R China; [Zhou, Ji-lin] Nanjing Univ, Sch Astron &amp; Space Sci, Nanjing 210023, Peoples R China</t>
  </si>
  <si>
    <t>Chinese Academy of Sciences; National Astronomical Observatory, CAS; Chinese Academy of Sciences; University of Chinese Academy of Sciences, CAS; Sun Yat Sen University; University of New South Wales Sydney; Chinese Academy of Sciences; Nanjing Institute of Astronomical Optics &amp; Technology, NAOC, CAS; Beijing Normal University; Polar Research Institute of China; Centre National de la Recherche Scientifique (CNRS); CNRS - National Institute of Nuclear and Particle Physics (IN2P3); Aix-Marseille Universite; Tsinghua University; Tsinghua University; Texas A&amp;M University System; Texas A&amp;M University College Station; Chinese Academy of Sciences; Nanjing Institute of Astronomical Optics &amp; Technology, NAOC, CAS; Purple Mountain Observatory, CAS; Tianjin University; Nanjing University</t>
  </si>
  <si>
    <t>Hu, Y; Shang, ZH (corresponding author), Chinese Acad Sci, Natl Astron Observ, d, Beijing 100101, Peoples R China.</t>
  </si>
  <si>
    <t>huyi.naoc@gmail.com; zshang@gmail.com</t>
  </si>
  <si>
    <t>Yang, Shihai/J-1593-2012</t>
  </si>
  <si>
    <t>du, fu jia/0000-0002-3211-3240; Yu, Ce/0000-0003-2416-4547; hu, yi/0000-0003-3317-4771</t>
  </si>
  <si>
    <t>National Natural Science Foundation of China [11733007, 11673037, 11403057, 11403048, CHINARE2016-02-03]; Chinese Polar Environment Comprehensive Investigation and Assessment Programmes [2013CB834900]; National Basic Research Program of China (973 Program); Australian Antarctic Division; China National Astronomical Data Center (NADC); CAS Astronomical Data Center; Chinese Virtual Observatory (China-VO); Astronomical Big Data Joint Research Center - National Astronomical Observatories, Chinese Academy of Sciences; Alibaba Cloud; [11873010]</t>
  </si>
  <si>
    <t>National Natural Science Foundation of China(National Natural Science Foundation of China (NSFC)); Chinese Polar Environment Comprehensive Investigation and Assessment Programmes; National Basic Research Program of China (973 Program)(National Basic Research Program of China); Australian Antarctic Division; China National Astronomical Data Center (NADC); CAS Astronomical Data Center; Chinese Virtual Observatory (China-VO); Astronomical Big Data Joint Research Center - National Astronomical Observatories, Chinese Academy of Sciences; Alibaba Cloud;</t>
  </si>
  <si>
    <t>We thank the CHINARE for their great efforts in installing AST3-2, maintaining AST3-2 and PLATO-A, and retrieving data. This work has been supported by the National Natural Science Foundation of China under Grant Numbers 11873010, 11733007, 11673037, 11403057, and 11403048, the Chinese Polar Environment Comprehensive Investigation and Assessment Programmes under grant number CHINARE2016-02-03, and the National Basic Research Program of China (973 Program) under Grant Number 2013CB834900. PLATO-A is supported by the Australian Antarctic Division. Data Publishing is supported by China National Astronomical Data Center (NADC), CAS Astronomical Data Center and Chinese Virtual Observatory (China-VO). This work is supported by Astronomical Big Data Joint Research Center, co-founded by National Astronomical Observatories, Chinese Academy of Sciences and Alibaba Cloud.</t>
  </si>
  <si>
    <t>FEB 22</t>
  </si>
  <si>
    <t>10.1093/mnras/stad498</t>
  </si>
  <si>
    <t>9Z7WA</t>
  </si>
  <si>
    <t>WOS:000951346200002</t>
  </si>
  <si>
    <t>Purcell, E; Nejad, AR; Bekker, A</t>
  </si>
  <si>
    <t>Purcell, Etienne; Nejad, Amir R.; Bekker, Anriette</t>
  </si>
  <si>
    <t>Detection of ice using ship propulsion and navigation measurements</t>
  </si>
  <si>
    <t>OCEAN ENGINEERING</t>
  </si>
  <si>
    <t>Ice detection; Supervised classification; Ship propulsion; Ice impact; Ice milling; Condition monitoring</t>
  </si>
  <si>
    <t>The presence of sea-ice influences the operation of ships in polar waters. Ice navigation leads to increased rates of damage accumulation in propulsion machinery. Methods and algorithms used to monitor the condition of the propulsion machinery can benefit from indicators that detect either operation in ice-infested waters or direct detection of propeller-ice interaction. This paper explores existing methods that inform the novel application of automatically detecting sea-ice based on high frequency shaft response measurements, low frequency propulsion control measurements, and navigation data. These methods include rule-based approaches, machine learning based classification, and statistical change detection. Methods are evaluated based on misclassification errors during cross-validation. It is shown that detection using the selected data is possible and able to give satisfactory prediction accuracy based on a case-study vessel. The results also show that machine learning approaches provide a solution that balances prediction accuracy and the rate of false negative predictions. The recommended method is to use support vector machine classifiers with a radial basis function kernel.</t>
  </si>
  <si>
    <t>[Purcell, Etienne; Nejad, Amir R.] Norwegian Univ Sci &amp; Technol, Dept Marine Technol, N-7034 Trondheim, Norway; [Bekker, Anriette] Stellenbosch Univ, Dept Mech &amp; Mechatron Engn, ZA-7600 Stellenbosch, South Africa</t>
  </si>
  <si>
    <t>Norwegian University of Science &amp; Technology (NTNU); Stellenbosch University</t>
  </si>
  <si>
    <t>Purcell, E (corresponding author), Norwegian Univ Sci &amp; Technol, Dept Marine Technol, N-7034 Trondheim, Norway.</t>
  </si>
  <si>
    <t>etienne.purcell@ntnu.no; annieb@sun.ac.za</t>
  </si>
  <si>
    <t>Purcell, Etienne/0000-0002-4554-535X</t>
  </si>
  <si>
    <t>MarTERA - an ERA-NET Cofund scheme of Horizon 2020 of the European Commission; Research Council of Norway [311502]; Department of Science and Technology of South Africa through the HealthProp project; NRF (National Research Foundation) through the South African National Antarctic Programme [110737]</t>
  </si>
  <si>
    <t>MarTERA - an ERA-NET Cofund scheme of Horizon 2020 of the European Commission; Research Council of Norway(Research Council of Norway); Department of Science and Technology of South Africa through the HealthProp project; NRF (National Research Foundation) through the South African National Antarctic Programme</t>
  </si>
  <si>
    <t>This work was supported by MarTERA - an ERA-NET Cofund scheme of Horizon 2020 of the European Commission and the Research Council of Norway (Project no. 311502) and Department of Science and Technology of South Africa through the HealthProp project. Vessel access and financial assistance of the NRF (National Research Foundation) through the South African National Antarctic Programme (Grant 110737) towards this research is gratefully acknowledged. The authors would like to thank Mostafa Valavi for technical inputs and researchers at Stellenbosch University for data gathering.</t>
  </si>
  <si>
    <t>0029-8018</t>
  </si>
  <si>
    <t>1873-5258</t>
  </si>
  <si>
    <t>OCEAN ENG</t>
  </si>
  <si>
    <t>Ocean Eng.</t>
  </si>
  <si>
    <t>10.1016/j.oceaneng.2023.113992</t>
  </si>
  <si>
    <t>Engineering, Marine; Engineering, Civil; Engineering, Ocean; Oceanography</t>
  </si>
  <si>
    <t>9V7GN</t>
  </si>
  <si>
    <t>WOS:000948557100001</t>
  </si>
  <si>
    <t>Di Roberto, A; Re, G; Scateni, B; Petrelli, M; Tesi, T; Capotondi, L; Morigi, C; Galli, G; Colizza, E; Melis, R; Torricella, F; Giordano, P; Giglio, F; Gallerani, A; Gariboldi, K</t>
  </si>
  <si>
    <t>Di Roberto, Alessio; Re, Giuseppe; Scateni, Bianca; Petrelli, Maurizio; Tesi, Tommaso; Capotondi, Lucilla; Morigi, Caterina; Galli, Giacomo; Colizza, Ester; Melis, Romana; Torricella, Fiorenza; Giordano, Patrizia; Giglio, Federico; Gallerani, Andrea; Gariboldi, Karen</t>
  </si>
  <si>
    <t>Cryptotephras in the marine sediment record of the Edisto Inlet, Ross Sea: Implications for the volcanology and tephrochronology of northern Victoria Land, Antarctica</t>
  </si>
  <si>
    <t>QUATERNARY SCIENCE ADVANCES</t>
  </si>
  <si>
    <t>SOUTHERN MCMURDO SOUND; DOME ICE CORE; TEPHRA LAYERS; VOLCANIC ACTIVITY; AND-2A CORE; TALOS DOME</t>
  </si>
  <si>
    <t>We present the results of the tephrochronology study of a 14.49 m long marine sediment core (TR 17-08) collected in the Edisto Inlet, Ross Sea (Antarctica). The core contains four cryptotephra layers at 55-56, 512-513, 517-518, and 524-525 cm of depth, which have been characterised by a detailed description of the texture, mineral assemblage, and single glass shards major and trace element geochemistry. The age model of the investigated sedimentary sequence, based on radiocarbon dating, indicates that the topmost cryptotephra correlates with the widespread 1254 CE tephra erupted by a historical eruption (696 +/- 2 cal yrs BP) of Mount Rittmann, in northern Victoria Land. Deeper cryptotephra layers were derived from previously unknown explosive eruptions of Mount Melbourne volcano and were emplaced between 1615 cal yrs BP and 1677 cal yrs BP, e.g. between the 3rd and 4th centuries CE. This discovery demonstrates that the Mount Melbourne volcanic complex has been highly active in historical times allowing significant progress in the current understanding of regional eruptive history. Moreover, from a teph-rochronological point of view, the detected cryptotephra provide new regional isochron markers to facilitate high-precision correlations and help stratigraphically constrain changes in environmental and climatic conditions that are identified by multidisciplinary studies.</t>
  </si>
  <si>
    <t>[Di Roberto, Alessio; Re, Giuseppe; Scateni, Bianca] Ist Nazl Geofis &amp; Vulcanol, Sez Pisa, Via C Battisti 53, I-56125 Pisa, Italy; [Petrelli, Maurizio] Univ Studi Perugia, Dipartimento Fis &amp; Geol, Via Alessandro Pascoli, I-06123 Perugia, Italy; [Tesi, Tommaso; Giordano, Patrizia; Giglio, Federico] Ist Sci Polari, CNR, Area Ric Bologna, Via P Gobetti 101, I-40129 Bologna, Italy; [Capotondi, Lucilla; Gallerani, Andrea] Ist Sci Marine, CNR, Area Ric Bologna, Via P Gobetti 101, I-40129 Bologna, Italy; [Morigi, Caterina; Galli, Giacomo; Gariboldi, Karen] Univ Pisa, Dipartimento Sci Terra, Via S Maria 53, I-56126 Pisa, Italy; [Galli, Giacomo] Univ CaFoscari Venezia, Campus Sci, I-30172 Venice, Italy; [Colizza, Ester; Melis, Romana; Torricella, Fiorenza] Univ Trieste, Dipartimento Matemat &amp; Geosci, Via E Weiss 2, I-34128 Trieste, Italy; [Torricella, Fiorenza] Ist Nazl Oceanog &amp; Geofis Sperimentale OGS, Borgo Grotta Gigante 42-C, I-34010 Sgonico, TS, Italy</t>
  </si>
  <si>
    <t>Istituto Nazionale Geofisica e Vulcanologia (INGV); University of Perugia; Consiglio Nazionale delle Ricerche (CNR); Istituto di Scienze Polari (ISP-CNR); Consiglio Nazionale delle Ricerche (CNR); Istituto di Scienze Marine (ISMAR-CNR); University of Pisa; Universita Ca Foscari Venezia; University of Trieste; Istituto Nazionale di Oceanografia e di Geofisica Sperimentale</t>
  </si>
  <si>
    <t>Di Roberto, A (corresponding author), Ist Nazl Geofis &amp; Vulcanol, Sez Pisa, Via C Battisti 53, I-56125 Pisa, Italy.</t>
  </si>
  <si>
    <t>alessio.diroberto@ingv.it</t>
  </si>
  <si>
    <t>Lucilla, Capotondi/C-8874-2015; Petrelli, Maurizio/L-6858-2015; Morigi, Caterina/B-3316-2012; Di Roberto, Alessio/C-3547-2014</t>
  </si>
  <si>
    <t>Lucilla, Capotondi/0000-0003-3282-7910; Petrelli, Maurizio/0000-0001-6956-4742; Morigi, Caterina/0000-0003-1340-9932; Galli, Giacomo/0009-0008-2199-379X; Di Roberto, Alessio/0000-0003-1167-8290; Scateni, Bianca/0000-0003-3592-6113; Tesi, Tommaso/0000-0002-1686-3375</t>
  </si>
  <si>
    <t>Italian MIUR-PNRA program (Ministero dell'Universit'a e della Ricerca -Programma Nazionale di Ricerche in Antartide) [PNRA2016-A3/00055]; SCAR (Scientific Committee on Antarctic Research) Expert Group, AntVolc; [PNRA18_00158-A]; [PNRA2018_00010]</t>
  </si>
  <si>
    <t>Italian MIUR-PNRA program (Ministero dell'Universit'a e della Ricerca -Programma Nazionale di Ricerche in Antartide); SCAR (Scientific Committee on Antarctic Research) Expert Group, AntVolc; ;</t>
  </si>
  <si>
    <t>This work was funded by Italian MIUR-PNRA program (Ministero dell'Universit'a e della Ricerca -Programma Nazionale di Ricerche in Antartide) in the framework of TRACERS project (TephRochronology and mArker events for the CorrElation of natural archives in the Ross Sea, Antarctica; grant PNRA2016-A3/00055), CHIMERA project (CryptotepHra In Marine sEquences of the Ross Sea, Antarctica: implications and potential applications; grant PNRA18_00158-A), and EDIS-THO project (Edisto inlet DIatom laminations Sequences Through the HOlocene; grant PNRA2018_00010).This paper is sponsored by the SCAR (Scientific Committee on Antarctic Research) Expert Group, AntVolc.</t>
  </si>
  <si>
    <t>2666-0334</t>
  </si>
  <si>
    <t>QUAT SCI ADV</t>
  </si>
  <si>
    <t>Quat. Sci. Adv.</t>
  </si>
  <si>
    <t>10.1016/j.qsa.2023.100079</t>
  </si>
  <si>
    <t>9V3QF</t>
  </si>
  <si>
    <t>WOS:000948310300001</t>
  </si>
  <si>
    <t>Ma, PF; Ma, C; Yang, SJ; Fernandez, AR</t>
  </si>
  <si>
    <t>Ma, Pengfei; Ma, Chao; Yang, Sijie; Fernandez, Adrian Raymund</t>
  </si>
  <si>
    <t>East Asian summer monsoon evolution recorded by the middle Miocene pelagic reddish clay, South China Sea</t>
  </si>
  <si>
    <t>Clay mineral; Cyclostratigraphy; Hydrological cycle; Sea-level change; Climate transition; IODP Site U1433</t>
  </si>
  <si>
    <t>ASTRONOMICAL TIME-SCALE; CLIMATE; EROSION; ONSET; RATES</t>
  </si>
  <si>
    <t>The East Asian summer monsoon (EASM) is essential for the livelihoods of billions of people in East and Southeast Asia. Its present features and evolution history of the Quaternary have been well studied, yet how did EASM operate in much older geological times, especially before the late Miocene, is relatively less constrained. Scientific drillings conducted in the South China Sea (SCS) offer excellent opportunities to resolve this issue to a certain extent considering the EASM has been prevailing in this area since at least the earliest Miocene. In this study, mineralogical and stratigraphic studies were carried out on the middle Miocene pelagic reddish clay recovered at International Ocean Discovery Program Site U1433 using clay mineralogical and natural gamma radiation data. Our results show that the smectite content and illite crystallinity of the deep SCS clay were direct consequences of the EASM intensity varying in precession rhythm and modulated by eccentricity cycles. A high -resolution temporal framework constructed with onboard age controls and cyclostratigraphic analyses demon-strates that the pelagic reddish clay from Site U1433 was accumulated from 17.17 to 12.69 Ma. During this period, deep-sea sedimentation of the SCS was controlled by the EASM and influenced by the sea-level change. Importantly, clay mineral is proved to be an efficient terrigenous standard of astronomical tuning and strati -graphic correlation for pelagic sediments. It is also verified that the EASM intensified during the Miocene Cli-matic Optimum and the following Middle Miocene Climate Transition, and induced higher humidity and seasonality, respectively. Then, the EASM gradually weakened since the expansion of the East Antarctic Ice Sheet.</t>
  </si>
  <si>
    <t>[Ma, Pengfei; Fernandez, Adrian Raymund] Tongji Univ, State Key Lab Marine Geol, Shanghai 200092, Peoples R China; [Ma, Chao] Chengdu Univ Technol, State Key Lab Oil &amp; Gas Reservoir Geol &amp; Exploitat, Chengdu 610059, Sichuan, Peoples R China; [Ma, Chao] Chengdu Univ Technol, Key Lab Deep time Geog &amp; Environm Reconstruct &amp; Ap, Minist Nat Resources, Chengdu 610059, Sichuan, Peoples R China; [Ma, Chao] Chengdu Univ Technol, Inst Sedimentary Geol, Chengdu 610059, Sichuan, Peoples R China; [Yang, Sijie] Zhejiang Univ, Ocean Coll, Zhoushan 316021, Peoples R China; [Yang, Sijie] China Univ Geosci, Sch Ocean Sci, Beijing 100083, Peoples R China</t>
  </si>
  <si>
    <t>Tongji University; Chengdu University of Technology; Chengdu University of Technology; Ministry of Natural Resources of the People's Republic of China; Chengdu University of Technology; Zhejiang University; China University of Geosciences</t>
  </si>
  <si>
    <t>Ma, PF (corresponding author), Tongji Univ, State Key Lab Marine Geol, Shanghai 200092, Peoples R China.</t>
  </si>
  <si>
    <t>pma@tongji.edu.cn</t>
  </si>
  <si>
    <t>Ma, Pengfei/0000-0001-8078-6784</t>
  </si>
  <si>
    <t>Kochi Core Center (KCC) of the International Ocean Discovery Program; National Natural Science Foundation of China [42050102, 41806053, 42172137, 41888101]; Natural Science Foundation of Shanghai [21ZR1466800]</t>
  </si>
  <si>
    <t>Kochi Core Center (KCC) of the International Ocean Discovery Program; National Natural Science Foundation of China(National Natural Science Foundation of China (NSFC)); Natural Science Foundation of Shanghai(Natural Science Foundation of Shanghai)</t>
  </si>
  <si>
    <t>We thank the Kochi Core Center (KCC) of the International Ocean Discovery Program (IODP) for providing core samples. We are grateful to Dr. Meichen Jiang (East China Normal University) for her help with data analysis, Dr. Yusuke Kubo (KCC) for his effort and suggestions in core sampling, Dr. Yanli Li and Mr. Mingyang Yu (Tongji University) for their assistance during clay mineral analysis, and Prof. Zhifei Liu and Dr. Xuan Lyv (Tongji University) for valuable discussions. We also thank Prof. Fabienne Marret-Davies for her patience in handling our manu- script and the anonymous reviewers for their constructive comments. This research was financially supported by the National Natural Science Foundation of China (42050102, 41806053, 42172137, and 41888101) , the Natural Science Foundation of Shanghai (21ZR1466800) , and experiment funding provided by the Office of Asset and Laboratory Management, Tongji University. This is also a contribution to the Deep-time Digital Earth (DDE) Big Science Program.</t>
  </si>
  <si>
    <t>10.1016/j.gloplacha.2023.104072</t>
  </si>
  <si>
    <t>9S4IV</t>
  </si>
  <si>
    <t>WOS:000946306500001</t>
  </si>
  <si>
    <t>Uy, T; Fitzgibbon, QP; Codabaccus, BM; Smith, GG</t>
  </si>
  <si>
    <t>Uy, Theodore; Fitzgibbon, Quinn P.; Codabaccus, Basseer M.; Smith, Gregory G.</t>
  </si>
  <si>
    <t>Thermal physiology of tropical rock lobster (Panulirus ornatus); defining physiological constraints to high temperature tolerance</t>
  </si>
  <si>
    <t>Tropical spiny lobsters; Lobster aquaculture; Metabolic rates; Aerobic scope; Gastrointestinal evacuation</t>
  </si>
  <si>
    <t>STANDARD METABOLIC-RATES; JUVENILE SPINY LOBSTER; SALMON SALMO-SALAR; CLIMATE-CHANGE; WATER TEMPERATURE; FEEDING-BEHAVIOR; GUT EVACUATION; ATLANTIC COD; GROWTH; SURVIVAL</t>
  </si>
  <si>
    <t>This study investigated the effect of chronic temperature acclimation (24, 26, 28, 30, and 32 degrees C) on growth, aerobic metabolism, feeding, and gut evacuation rate of early juvenile spiny lobster, Panulirus ornatus (initial weight = 0.48 +/- 0. 03 g) to determine thermal optima for growth and identify physiological constraints at high temperatures for this emerging aquaculture species. Groups of 7 juvenile lobsters were communally cultured (n = 4) for 45 days post-acclimation and solely fed on a formulated feed. Lobster specific growth rate (SGR), apparent feed intake (AFI), and specific feed consumption (SFC) displayed unimodal response to temperature peaking at 28.0, 27.9, and 26.2 degrees C, respectively. Similarly, survival had a significant quadratic relationship with temperature; however, it displayed an inverse relationship to SGR, AFI, and SFC where the lowest survival was found at 29.1 degrees C. Continuous exponential increases in lobster standard, routine and maximum metabolic rates, and aerobic scope were observed up to a maximum non-lethal temperature of 32 degrees C. Gastrointestinal evacuation rate (GIER) (&gt;96%) increased minimally between 24 and 30 degrees C from 2.5 h to 2.9 h and substantially rose to 5.1 h at 32 degrees C. While the feed conversion ratio improved with increasing temperature, the temperature optimum for metabolic feeding efficiency closely matched specific growth rate and apparent feed intake. These findings show that optimum temperature for growth performance of juvenile P. ornatus does not align with maximum aerobic scope, rather growth was limited by prolonged GIER (up to 5.1 h) at high temperatures 32 degrees C which constrained food consumption. These findings contribute to the growing body of literature debating the universality of aerobic scope to define physiological thermal boundaries of aquatic ectotherms suggesting thermal performance of lobsters under sub-lethal temperatures to be regulated by feed intake and driven by digestive processes such as GIER. Future research should focus on lobster feed formulation and its influence on digestive processes such as GIER, foregut evacuation, and digestibility which may influence the thermal tolerance of spiny lobsters in culture.</t>
  </si>
  <si>
    <t>[Uy, Theodore; Fitzgibbon, Quinn P.; Codabaccus, Basseer M.; Smith, Gregory G.] Univ Tasmania, Inst Marine &amp; Antarctic Studies, Hobart, Tas 7001, Australia</t>
  </si>
  <si>
    <t>Uy, T (corresponding author), Univ Tasmania, Inst Marine &amp; Antarctic Studies, Hobart, Tas 7001, Australia.</t>
  </si>
  <si>
    <t>theodoremikael.uy@utas.edu.au</t>
  </si>
  <si>
    <t>codabaccus, mohamed/0000-0001-5108-373X; Fitzgibbon, Quinn/0000-0002-1104-3052</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</si>
  <si>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 We acknowledge and thank the Central Science Laboratory at University of Tasmania for their assistance with inert marker analysis analyses.</t>
  </si>
  <si>
    <t>10.1016/j.aquaculture.2023.739357</t>
  </si>
  <si>
    <t>9Q1BI</t>
  </si>
  <si>
    <t>WOS:000944707100001</t>
  </si>
  <si>
    <t>Borovsky, JE; Cowee, MM; Horne, RB; Shprits, YY; Smith, CW</t>
  </si>
  <si>
    <t>Borovsky, Joseph E.; Cowee, Misa M.; Horne, Richard B.; Shprits, Yuri Y.; Smith, Charles W.</t>
  </si>
  <si>
    <t>Editorial: Plasma waves in space physics: Carrying on the research legacies of Peter Gary and Richard Thorne</t>
  </si>
  <si>
    <t>plasma waves; plasma instabilities; plasma turbulence; wave-particle interactions; radiation belt; solar wind</t>
  </si>
  <si>
    <t>[Borovsky, Joseph E.] Space Sci Inst, Boulder, CO 80301 USA; [Cowee, Misa M.] Los Alamos Natl Lab, Los Alamose, NM USA; [Horne, Richard B.] British Antarctic Survey, Cambridge, England; [Shprits, Yuri Y.] Univ Calif Los Angeles, Dept Earth &amp; Space Sci, Los Angeles, CA USA; [Smith, Charles W.] Univ New Hampshire, Space Sci Ctr, Durham, NH USA</t>
  </si>
  <si>
    <t>United States Department of Energy (DOE); Los Alamos National Laboratory; UK Research &amp; Innovation (UKRI); Natural Environment Research Council (NERC); NERC British Antarctic Survey; University of California System; University of California Los Angeles; University System Of New Hampshire; University of New Hampshire</t>
  </si>
  <si>
    <t>Borovsky, JE (corresponding author), Space Sci Inst, Boulder, CO 80301 USA.</t>
  </si>
  <si>
    <t>jborovsky@spacescience.org</t>
  </si>
  <si>
    <t>Horne, Richard B/U-3764-2019; Shprits, Yuri Y/I-2174-2014</t>
  </si>
  <si>
    <t>Horne, Richard B/0000-0002-0412-6407;</t>
  </si>
  <si>
    <t>NSF GEM Program [AGS-2027569]; NASA HERMES Interdisciplinary Science Program [80NSSC21K1406]</t>
  </si>
  <si>
    <t>NSF GEM Program(National Science Foundation (NSF)NSF - Directorate for Engineering (ENG)); NASA HERMES Interdisciplinary Science Program</t>
  </si>
  <si>
    <t>JB was supported at the Space Science Institute by the NSF GEM Program via grant AGS-2027569 and by the NASA HERMES Interdisciplinary Science Program via grant 80NSSC21K1406.</t>
  </si>
  <si>
    <t>10.3389/fspas.2023.1149649</t>
  </si>
  <si>
    <t>9S3KX</t>
  </si>
  <si>
    <t>WOS:000946244300001</t>
  </si>
  <si>
    <t>Guro, P; Karaevskaya, E; Karlov, D; Kuznetsova, I; Sazanova, A; Safronova, V</t>
  </si>
  <si>
    <t>Guro, Polina; Karaevskaya, Ekaterina; Karlov, Denis; Kuznetsova, Irina; Sazanova, Anna; Safronova, Vera</t>
  </si>
  <si>
    <t>Complete Genome Sequence of Rhodopseudomonas sp. Strain P2A-2r, Isolated from Arctic Soil</t>
  </si>
  <si>
    <t>MICROBIOLOGY RESOURCE ANNOUNCEMENTS</t>
  </si>
  <si>
    <t>Microorganisms of extremely cold habitats are unique objects for studying their biogeochemical properties and mechanisms. Here, we present the complete genome sequence of the strain Rhodopseudomonas sp. P2A-2r, isolated from arctic soil in Svalbard, Norway. The genome consists of a 6.7-Mbp circular chromosome. Microorganisms of extremely cold habitats are unique objects for studying their biogeochemical properties and mechanisms. Here, we present the complete genome sequence of the strain Rhodopseudomonas sp. P2A-2r, isolated from arctic soil in Svalbard, Norway. The genome consists of a 6.7-Mbp circular chromosome.</t>
  </si>
  <si>
    <t>[Guro, Polina; Karlov, Denis; Kuznetsova, Irina; Sazanova, Anna; Safronova, Vera] All Russia Res Inst Agr Microbiol ARRIAM, St Petersburg, Russia; [Karaevskaya, Ekaterina] Arctic &amp; Antarctic Res Inst, St Petersburg, Russia</t>
  </si>
  <si>
    <t>Guro, P (corresponding author), All Russia Res Inst Agr Microbiol ARRIAM, St Petersburg, Russia.</t>
  </si>
  <si>
    <t>polinaguro@gmail.com</t>
  </si>
  <si>
    <t>Safronova, Vera/W-2400-2018; Kuznetsova, Irina G./GPP-2662-2022</t>
  </si>
  <si>
    <t>Kuznetsova, Irina G./0000-0003-0260-7677</t>
  </si>
  <si>
    <t>Russian Science Foundation [20-76-10042]</t>
  </si>
  <si>
    <t>We sincerely thank Nikita Demidov and Ivan Alekseev (Arctic and Antarctic Research Institute, St. Petersburg, Russian Federation), for providing the samples of soil and permafrost sediments. Sequencing was performed using equipment of the Core Centrum Genomic Technologies, Proteomics and Cell Biology at the All-Russia Research Institute for Agricultural Microbiology (ARRIAM, St. Petersburg). This work was supported by the Russian Science Foundation (20-76-10042).</t>
  </si>
  <si>
    <t>2576-098X</t>
  </si>
  <si>
    <t>MICROBIOL RESOUR ANN</t>
  </si>
  <si>
    <t>Microbiol. Resour. Ann.</t>
  </si>
  <si>
    <t>10.1128/mra.00013-23</t>
  </si>
  <si>
    <t>A1DI5</t>
  </si>
  <si>
    <t>WOS:000936357400001</t>
  </si>
  <si>
    <t>Coleine, C; Delgado-Baquerizo, M; Zerboni, A; Turchetti, B; Buzzini, P; Franceschi, P; Selbmann, L</t>
  </si>
  <si>
    <t>Coleine, Claudia; Delgado-Baquerizo, Manuel; Zerboni, Andrea; Turchetti, Benedetta; Buzzini, Pietro; Franceschi, Pietro; Selbmann, Laura</t>
  </si>
  <si>
    <t>Rock Traits Drive Complex Microbial Communities at the Edge of Life</t>
  </si>
  <si>
    <t>ASTROBIOLOGY</t>
  </si>
  <si>
    <t>Antarctica; Extremophiles; Biogeochemistry; Habitability; Astrobiology; Terrestrial analog</t>
  </si>
  <si>
    <t>MCMURDO DRY VALLEYS; DESERT; DIVERSITY; VARNISH</t>
  </si>
  <si>
    <t>Antarctic deserts are among the driest and coldest ecosystems of the planet; there, some microbes survive under these extreme conditions inside porous rocks, forming the so-called endolithic communities. Yet the contribution of distinct rock traits to support complex microbial assemblies remains poorly determined. Here, we combined an extensive Antarctic rock survey with rock microbiome sequencing and ecological networks and found that contrasting combinations of microclimatic and rock traits such as thermal inertia, porosity, iron concentration, and quartz cement can help explain the multiple complex microbial assemblies found in Antarctic rocks. Our work highlights the pivotal role of rocky substrate heterogeneity in sustaining contrasting groups of microorganisms, which is essential to understand life at the edge on Earth and for the search for life on other rocky planets such as Mars.</t>
  </si>
  <si>
    <t>[Coleine, Claudia; Selbmann, Laura] Univ Tuscia, Dept Ecol &amp; Biol Sci, Viterbo, Italy; [Delgado-Baquerizo, Manuel] Inst Recursos Nat &amp; Agrobiol Sevilla IRNAS, Lab Biodivers &amp; Funcionamiento Ecosistem, CSIC, Seville, Spain; [Delgado-Baquerizo, Manuel] Univ Pablo de Olavide, Un Asociada CSIC UPO BioFun, Seville, Spain; [Zerboni, Andrea] Univ Milan, Dipartimento Sci Terra A Desio, Milan, Italy; [Turchetti, Benedetta; Buzzini, Pietro] Univ Perugia, Dept Agr Food &amp; Environm Sci, Perugia, Italy; [Franceschi, Pietro] Fdn Edmund Mach, Res &amp; Innovat Ctr, Trento, Italy; [Selbmann, Laura] Italian Antarctic Natl Museum MNA, Mycol Sect, Genoa, Italy; [Coleine, Claudia; Selbmann, Laura] Univ Tuscia, Dept Ecol &amp; Biol Sci, Largo Univ snc Viterbo, I-01100 Rome, Italy</t>
  </si>
  <si>
    <t>Tuscia University; Consejo Superior de Investigaciones Cientificas (CSIC); CSIC - Instituto de Recursos Naturales y Agrobiologia de Sevilla (IRNAS); Universidad Pablo de Olavide; University of Milan; University of Perugia; Fondazione Edmund Mach; Tuscia University</t>
  </si>
  <si>
    <t>Coleine, C; Selbmann, L (corresponding author), Univ Tuscia, Dept Ecol &amp; Biol Sci, Largo Univ snc Viterbo, I-01100 Rome, Italy.</t>
  </si>
  <si>
    <t>coleine@unitus.it; selbmann@unitus.it</t>
  </si>
  <si>
    <t>Coleine, Claudia/AAE-1889-2020; Delgado-Baquerizo, Manuel/L-3653-2017; Selbmann, Laura/L-3056-2013</t>
  </si>
  <si>
    <t>Coleine, Claudia/0000-0002-9289-6179; Delgado-Baquerizo, Manuel/0000-0002-6499-576X; Selbmann, Laura/0000-0002-8967-3329</t>
  </si>
  <si>
    <t>This research was supported by the Italian National Program for Antarctic Research (PNRA).</t>
  </si>
  <si>
    <t>MARY ANN LIEBERT, INC</t>
  </si>
  <si>
    <t>NEW ROCHELLE</t>
  </si>
  <si>
    <t>140 HUGUENOT STREET, 3RD FL, NEW ROCHELLE, NY 10801 USA</t>
  </si>
  <si>
    <t>1531-1074</t>
  </si>
  <si>
    <t>1557-8070</t>
  </si>
  <si>
    <t>Astrobiology</t>
  </si>
  <si>
    <t>10.1089/ast.2022.0062</t>
  </si>
  <si>
    <t>G4WC8</t>
  </si>
  <si>
    <t>WOS:000936364300001</t>
  </si>
  <si>
    <t>Bergman, L; Mearns, DL; Stuart, RG</t>
  </si>
  <si>
    <t>Bergman, Lars; Mearns, David L. L.; Stuart, Robin G.</t>
  </si>
  <si>
    <t>Influence of chronometer error uncertainties on the Longitude of Shackleton's vessel, Endurance</t>
  </si>
  <si>
    <t>JOURNAL OF NAVIGATION</t>
  </si>
  <si>
    <t>clock corrections; ephemeris; polar navigation; sextant; time</t>
  </si>
  <si>
    <t>NAVIGATION</t>
  </si>
  <si>
    <t>In 1915 while the Imperial Trans-Antarctic Expedition's vessel Endurance was icebound in the Weddell Sea, lunar occultation timings were carried out in order to rate the chronometers and thereby find longitude. The original observations have been re-analysed using modern lunar ephemerides and catalogues of star positions. The times derived in this way are found to differ by an average of 20 s from those obtained during the expedition using positions given from the Nautical Almanac and introduces an additional offset of the true positions to the east of those recorded in the log.</t>
  </si>
  <si>
    <t>[Mearns, David L. L.] Blue Water Recoveries Ltd, Midhurst, England</t>
  </si>
  <si>
    <t>Mearns, DL (corresponding author), Blue Water Recoveries Ltd, Midhurst, England.</t>
  </si>
  <si>
    <t>robinstuart@earthlink.net</t>
  </si>
  <si>
    <t>0373-4633</t>
  </si>
  <si>
    <t>1469-7785</t>
  </si>
  <si>
    <t>J NAVIGATION</t>
  </si>
  <si>
    <t>J. Navig.</t>
  </si>
  <si>
    <t>PII S0373463322000649</t>
  </si>
  <si>
    <t>10.1017/S0373463322000649</t>
  </si>
  <si>
    <t>Engineering, Marine; Oceanography</t>
  </si>
  <si>
    <t>G3YU8</t>
  </si>
  <si>
    <t>WOS:000988265600001</t>
  </si>
  <si>
    <t>Liang, YT; Zheng, KY; McMinn, A; Wang, M</t>
  </si>
  <si>
    <t>Liang, Yantao; Zheng, Kaiyang; McMinn, Andrew; Wang, Min</t>
  </si>
  <si>
    <t>Expanding diversity and ecological roles of RNA viruses</t>
  </si>
  <si>
    <t>TRENDS IN MICROBIOLOGY</t>
  </si>
  <si>
    <t>[Liang, Yantao; Zheng, Kaiyang; McMinn, Andrew; Wang, Min] Ocean Univ China, Inst Evolut &amp; Marine Biodivers, Coll Marine Life Sci, Frontiers Sci Ctr Deep Ocean Multispheres &amp; Earth, Qingdao, Peoples R China; [Liang, Yantao; Zheng, Kaiyang; McMinn, Andrew; Wang, Min] Ocean Univ China, Ctr Ocean Carbon Neutral, Qingdao, Peoples R China; [Liang, Yantao; Zheng, Kaiyang; McMinn, Andrew; Wang, Min] UMT OUC Joint Ctr Marine Studies, Qingdao 266003, Peoples R China; [McMinn, Andrew] Univ Tasmania, Inst Marine &amp; Antarctic Studies, Hobart, Tas 7001, Australia; [Wang, Min] Ocean Univ China, Haide Coll, Qingdao, Peoples R China; [Wang, Min] Qingdao Univ, Affiliated Hosp, Qingdao 266000, Peoples R China</t>
  </si>
  <si>
    <t>Ocean University of China; Ocean University of China; University of Tasmania; Ocean University of China; Qingdao University</t>
  </si>
  <si>
    <t>Wang, M (corresponding author), Ocean Univ China, Inst Evolut &amp; Marine Biodivers, Coll Marine Life Sci, Frontiers Sci Ctr Deep Ocean Multispheres &amp; Earth, Qingdao, Peoples R China.;Wang, M (corresponding author), Ocean Univ China, Ctr Ocean Carbon Neutral, Qingdao, Peoples R China.;Wang, M (corresponding author), UMT OUC Joint Ctr Marine Studies, Qingdao 266003, Peoples R China.;Wang, M (corresponding author), Ocean Univ China, Haide Coll, Qingdao, Peoples R China.;Wang, M (corresponding author), Qingdao Univ, Affiliated Hosp, Qingdao 266000, Peoples R China.</t>
  </si>
  <si>
    <t>mingwang@ouc.edu.cn</t>
  </si>
  <si>
    <t>Wang, Min/AFR-9645-2022</t>
  </si>
  <si>
    <t>Wang, Min/0000-0002-2357-589X; liang, yan tao/0000-0002-2477-8197</t>
  </si>
  <si>
    <t>National Key Research and De- velopment Program of China [LSKJ202203201]; Laoshan Laboratory [LSKJ202203201]; National Key Research and Development Program of China [2022YFC2807500]; Natural Science Foundation of China [41976117, 42120104006, 42176111, 42188102]; Fundamental Research Funds for the Central Universities [202172002, 201812002, 202072001]</t>
  </si>
  <si>
    <t>National Key Research and De- velopment Program of China; Laoshan Laboratory; National Key Research and Development Program of China; Natural Science Foundation of China(National Natural Science Foundation of China (NSFC)); Fundamental Research Funds for the Central Universities(Fundamental Research Funds for the Central Universities)</t>
  </si>
  <si>
    <t>We thank Mr Yao Xiong for his help with the figures. This work was supported by the Laoshan Laboratory (No. LSKJ202203201), National Key Research and Development Program of China (2022YFC2807500), the Natural Science Foundation of China (No. 41976117, 42120104006, 42176111, and 42188102), and the Fundamental Research Funds for the Central Universities (202172002, 201812002, 202072001 and Andrew McMinn).</t>
  </si>
  <si>
    <t>0966-842X</t>
  </si>
  <si>
    <t>1878-4380</t>
  </si>
  <si>
    <t>TRENDS MICROBIOL</t>
  </si>
  <si>
    <t>Trends Microbiol.</t>
  </si>
  <si>
    <t>10.1016/j.tim.2022.12.004</t>
  </si>
  <si>
    <t>Biochemistry &amp; Molecular Biology; Microbiology</t>
  </si>
  <si>
    <t>D1XF3</t>
  </si>
  <si>
    <t>WOS:000966711900001</t>
  </si>
  <si>
    <t>Halanych, KM; Waits, DS; David, KT; Grimes, CJ; Tassia, MG; Mahon, AR</t>
  </si>
  <si>
    <t>Halanych, K. M.; Waits, D. S.; David, K. T.; Grimes, C. J.; Tassia, M. G.; Mahon, A. R.</t>
  </si>
  <si>
    <t>Using genome discovery to understand adaptations by marine invertebrates to the Antarctic</t>
  </si>
  <si>
    <t>Symposium on Best Practices for Bioinspired Design Education, Research and Product Development at the Virtual Annual Meeting of the Society-for-Integrative-and-Comparative-Biology</t>
  </si>
  <si>
    <t>JAN 03-FEB 28, 2022</t>
  </si>
  <si>
    <t>ELECTR NETWORK</t>
  </si>
  <si>
    <t>Univ North Carolina Wilmington, Wilmington, DE USA; Auburn Univ, Auburn, AL USA; Cent Michigan Univ, Mt Pleasant, MI USA</t>
  </si>
  <si>
    <t>Auburn University System; Auburn University; Central Michigan University</t>
  </si>
  <si>
    <t>halanychk@uncw.edu</t>
  </si>
  <si>
    <t>David, Kyle/IQU-3130-2023; Halanych, Ken M/A-9480-2009</t>
  </si>
  <si>
    <t>FEB 21</t>
  </si>
  <si>
    <t>S131</t>
  </si>
  <si>
    <t>Science Citation Index Expanded (SCI-EXPANDED); Conference Proceedings Citation Index - Science (CPCI-S)</t>
  </si>
  <si>
    <t>9W0VU</t>
  </si>
  <si>
    <t>WOS:000948800900371</t>
  </si>
  <si>
    <t>Martínez, M; González-Aravena, M; Held, C; Abele, D</t>
  </si>
  <si>
    <t>Martinez, Mariano; Gonzalez-Aravena, Marcelo; Held, Christoph; Abele, Doris</t>
  </si>
  <si>
    <t>A molecular perspective on the invasibility of the southern ocean benthos: The impact of hypoxia and temperature on gene expression in South American and Antarctic Aequiyoldia bivalves</t>
  </si>
  <si>
    <t>FRONTIERS IN PHYSIOLOGY</t>
  </si>
  <si>
    <t>warming; non-indigenous species; alternative oxidase; west antarctic peninsula; drake passage</t>
  </si>
  <si>
    <t>ALTERNATIVE OXIDASE; PROTEIN-METABOLISM; YOLDIA-EIGHTSI; PACIFIC OYSTER; CLIMATE-CHANGE; MARINE; MECHANISM; DYNAMICS; ANIMALS; STRESS</t>
  </si>
  <si>
    <t>When an organism makes a long-distance transition to a new habitat, the associated environmental change is often marked and requires physiological plasticity of larvae, juveniles, or other migrant stages. Exposing shallow-water marine bivalves (Aequiyoldia cf. eightsii) from southern South America (SSA) and the West Antarctic Peninsula (WAP) to changes in temperature and oxygen availability, we investigated changes in gene expression in a simulated colonization experiment of the shores of a new continent after crossing of the Drake Passage, and in a warming scenario in the WAP. Bivalves from SSA were cooled from 7 degrees C (in situ) to 4 degrees C and 2 degrees C (future warmed WAP conditions), WAP bivalves were warmed from 1.5 degrees C (current summer in situ) to 4 degrees C (warmed WAP), gene expression patterns in response to thermal stress by itself and in combination with hypoxia were measured after 10 days. Our results confirm that molecular plasticity may play a vital role for local adaptation. Hypoxia had a greater effect on the transcriptome than temperature alone. The effect was further amplified when hypoxia and temperature acted as combined stressors. The WAP bivalves showed a remarkable ability to cope with short-term exposure to hypoxia by switching to a metabolic rate depression strategy and activating the alternative oxidation pathway, whilst the SSA population showed no comparable response. In SSA, the high prevalence of apoptosis-related differentially expressed genes especially under combined higher temperatures and hypoxia indicated that the SSA Aequiyoldia are operating near their physiological limits already. While the effect of temperature per se may not represent the single most effective barrier to Antarctic colonization by South American bivalves, the current distribution patterns as well as their resilience to future conditions can be better understood by looking at the synergistic effects of temperature in conjunction with short-term exposure to hypoxia.</t>
  </si>
  <si>
    <t>[Martinez, Mariano; Held, Christoph; Abele, Doris] Helmholtz Zentrum Polar &amp; Meeresforsch, Alfred Wegener Inst, Funkt Okol, Bremerhaven, Germany; [Gonzalez-Aravena, Marcelo] Inst Antartico Chileno, Dept Cient, Punta Arenas, Chile</t>
  </si>
  <si>
    <t>Held, C (corresponding author), Helmholtz Zentrum Polar &amp; Meeresforsch, Alfred Wegener Inst, Funkt Okol, Bremerhaven, Germany.</t>
  </si>
  <si>
    <t>Christoph.held@awi.de</t>
  </si>
  <si>
    <t>Martinez, Mariano/0000-0001-6360-6956</t>
  </si>
  <si>
    <t>This work was supported by National Agency of Investigation and Innovation (ANII, Uruguay) and German Academic Exchange Service (DAAD, Germany) by PhD scholarship to MM (Grant number POS_EXT_2015_122792), and by Zempelin-Stiftung-Deutsches Stiftungszentrum (Grant number T0214/33883/2019/sm).</t>
  </si>
  <si>
    <t>1664-042X</t>
  </si>
  <si>
    <t>FRONT PHYSIOL</t>
  </si>
  <si>
    <t>Front. Physiol.</t>
  </si>
  <si>
    <t>10.3389/fphys.2023.1083240</t>
  </si>
  <si>
    <t>Physiology</t>
  </si>
  <si>
    <t>9P2KR</t>
  </si>
  <si>
    <t>WOS:000944117600001</t>
  </si>
  <si>
    <t>Zare, M; Esmaeili, N; Paolacci, S; Stejskal, V</t>
  </si>
  <si>
    <t>Zare, Mahyar; Esmaeili, Noah; Paolacci, Simona; Stejskal, Vlastimil</t>
  </si>
  <si>
    <t>Nettle (Urtica dioica) Additive as a Growth Promoter and Immune Stimulator in Fish</t>
  </si>
  <si>
    <t>AQUACULTURE NUTRITION</t>
  </si>
  <si>
    <t>TROUT ONCORHYNCHUS-MYKISS; RAINBOW-TROUT; MEDICINAL-PLANTS; IMMUNOLOGICAL PARAMETERS; AEROMONAS-HYDROPHILA; STINGING NETTLE; BLOOD-GLUCOSE; ANTIOXIDANT; PERFORMANCE; RESISTANCE</t>
  </si>
  <si>
    <t>Aquaculture will become an important food production sector for humans in the coming decades. However, disease outbreaks can be considered a significant obstacle to continually developing aquaculture. Plant powders and extracts are natural feed additives that, due to their bioactive compounds, including phenolic compounds, proteins, vitamins, and minerals, have antistress, antiviral, antibacterial, and antifungal effects on fish. One of these herbs is nettle (Urtica dioica), which has a long history of being used in traditional medicine. While it has been widely investigated in mammalian medicine, few studies have been done on aquaculture species. The positive effect of this herb on the growth performance, hematology, blood biochemistry, and immune system of fish species has been observed. When fish were exposed to pathogens, nettle-fed fish showed a higher survival rate and less stress than controls. Therefore, this literature review is aimed at reviewing the use of this herb in fish diets and its impacts on growth performance, hematology, blood biochemistry, liver enzymes, immune system stimulation, and challenges with pathogens.</t>
  </si>
  <si>
    <t>[Zare, Mahyar; Stejskal, Vlastimil] Univ South Bohemia Ceske Budejovice, Inst Aquaculture &amp; Protect Waters, Fac Fisheries &amp; Protect Waters, South Bohemian Res Ctr Aquaculture &amp; Biodivers Hyd, Husova Tr 458-102, Ceske Budejovice 37005, Czech Republic; [Esmaeili, Noah] Univ Tasmania, Inst Marine &amp; Antarctic Studies, Hobart, Australia; [Paolacci, Simona] Bantry Marine Res Stn, Bantry P75 AX07, Cork, Ireland</t>
  </si>
  <si>
    <t>University of South Bohemia Ceske Budejovice; University of Tasmania</t>
  </si>
  <si>
    <t>Zare, M (corresponding author), Univ South Bohemia Ceske Budejovice, Inst Aquaculture &amp; Protect Waters, Fac Fisheries &amp; Protect Waters, South Bohemian Res Ctr Aquaculture &amp; Biodivers Hyd, Husova Tr 458-102, Ceske Budejovice 37005, Czech Republic.</t>
  </si>
  <si>
    <t>mzare@frov.jcu.cz; moha.esmaeili@utas.edu.au; spaolacci@bmrs.ie; stejskal@frov.jcu.cz</t>
  </si>
  <si>
    <t>Zare, Mahyar/IWU-8340-2023; Esmaeili, Noah/Q-4536-2019</t>
  </si>
  <si>
    <t>Zare, Mahyar/0000-0002-4063-0563; Esmaeili, Noah/0000-0001-8704-939X</t>
  </si>
  <si>
    <t>Ministry of Agriculture of the Czech Republic [QK1810296]</t>
  </si>
  <si>
    <t>Ministry of Agriculture of the Czech Republic(Ministry of Agriculture, Czech Republic)</t>
  </si>
  <si>
    <t>AcknowledgmentsThe present study is financially supported by the Ministry of Agriculture of the Czech Republic (NAZV project: QK1810296).</t>
  </si>
  <si>
    <t>WILEY-HINDAWI</t>
  </si>
  <si>
    <t>ADAM HOUSE, 3RD FL, 1 FITZROY SQ, LONDON, WIT 5HE, ENGLAND</t>
  </si>
  <si>
    <t>1353-5773</t>
  </si>
  <si>
    <t>1365-2095</t>
  </si>
  <si>
    <t>AQUACULT NUTR</t>
  </si>
  <si>
    <t>Aquac. Nutr.</t>
  </si>
  <si>
    <t>10.1155/2023/8261473</t>
  </si>
  <si>
    <t>9O1MT</t>
  </si>
  <si>
    <t>WOS:000943369400001</t>
  </si>
  <si>
    <t>Estrada-Peña, A; Guglielmone, AA; Nava, S</t>
  </si>
  <si>
    <t>Estrada-Pena, Agustin; Guglielmone, Alberto A.; Nava, Santiago</t>
  </si>
  <si>
    <t>Worldwide host associations of the tick genus Ixodes suggest relationships based on environmental sharing rather than on co-phylogenetic events</t>
  </si>
  <si>
    <t>PARASITES &amp; VECTORS</t>
  </si>
  <si>
    <t>Ixodes spp; Tick-host association; Environmental driving; Redundant networks; Cohesive relationships</t>
  </si>
  <si>
    <t>SEABIRD TICK; ANTARCTIC PENINSULA; SCAPULARIS ACARI; SPECIES RANGES; HARD TICKS; EVOLUTION; URIAE; SPECIFICITY; NETWORKS; IXODIDAE</t>
  </si>
  <si>
    <t>Background This study aims to capture how ticks of the genus Ixodes gained their hosts using network constructs. We propose two alternative hypotheses, namely, an ecological background (ticks and hosts sharing environmentally available conditions) and a phylogenetic one, in which both partners co-evolved, adapting to existing environmental conditions after the association took place. Methods We used network constructs linking all the known pairs of associations between each species and stage of ticks with families and orders of hosts. Faith's phylogenetic diversity was used to evaluate the phylogenetic distance of the hosts of each species and changes occurring in the ontogenetic switch between consecutive stages of each species (or the extent of the changes in phylogenetic diversity of hosts for consecutive stages of the same species). Results We report highly clustered associations among Ixodes ticks and hosts, supporting the influence of the ecological adaptation and coexistence, demonstrating a lack of strict tick-host coevolution in most cases, except for a few species. Keystone hosts do not exist in the relationships between Ixodes and vertebrates because of the high redundancy of the networks, further supporting an ecological relationship between both types of partners. The ontogenetic switch of hosts is high for species with enough data, which is another potential clue supporting the ecological hypothesis. Other results suggest that the networks displaying tick-host associations are different according to the biogeographical realms. Data for the Afrotropical region reveal a lack of extensive surveys, while results for the Australasian region are suggestive of a mass extinction of vertebrates. The Palearctic network is well developed, with many links demonstrating a highly modular set of relationships. Conclusions With the obvious exceptions of Ixodes species restricted to one or a few hosts, the results point to an ecological adaptation. Even results on species linked to groups of ticks (such as Ixodes uriae and the pelagic birds or the bat-tick species) are suggestive of a previous action of environmental forces.</t>
  </si>
  <si>
    <t>[Estrada-Pena, Agustin] Univ Zaragoza, Zaragoza, Spain; [Guglielmone, Alberto A.; Nava, Santiago] Consejo Invest Cient &amp; Tecn, Inst Nacl Invest Agr, Estn Expt Agr Rafaela, Inst Invest Cadena Lactea,INTA, Rafaela, Santa Fe, Argentina</t>
  </si>
  <si>
    <t>University of Zaragoza; Instituto Nacional de Tecnologia Agropecuaria (INTA)</t>
  </si>
  <si>
    <t>Estrada-Peña, A (corresponding author), Univ Zaragoza, Zaragoza, Spain.</t>
  </si>
  <si>
    <t>aestrada@unizar.es</t>
  </si>
  <si>
    <t>1756-3305</t>
  </si>
  <si>
    <t>PARASITE VECTOR</t>
  </si>
  <si>
    <t>Parasites Vectors</t>
  </si>
  <si>
    <t>10.1186/s13071-022-05641-9</t>
  </si>
  <si>
    <t>Parasitology; Tropical Medicine</t>
  </si>
  <si>
    <t>9E7PT</t>
  </si>
  <si>
    <t>WOS:000936973900001</t>
  </si>
  <si>
    <t>Maclennan, ML; Lenaerts, JTM; Shields, CA; Hoffman, AO; Wever, N; Thompson-Munson, M; Winters, AC; Pettit, EC; Scambos, TA; Wille, JD</t>
  </si>
  <si>
    <t>Maclennan, Michelle L.; Lenaerts, Jan T. M.; Shields, Christine A.; Hoffman, Andrew O.; Wever, Nander; Thompson-Munson, Megan; Winters, Andrew C.; Pettit, Erin C.; Scambos, Theodore A.; Wille, Jonathan D.</t>
  </si>
  <si>
    <t>Climatology and surface impacts of atmospheric rivers on West Antarctica</t>
  </si>
  <si>
    <t>SNOWPACK MODEL; PINE ISLAND; THWAITES GLACIER; EXTREME PRECIPITATION; MASS-BALANCE; WATER; ACCUMULATION; RETREAT; DRIVEN; DEPTH</t>
  </si>
  <si>
    <t>Atmospheric rivers (ARs) transport large amounts of moisture from the mid- to high-latitudes and they are a primary driver of the most extreme snowfall events, along with surface melting, in Antarctica. In this study, we characterize the climatology and surface impacts of ARs on West Antarctica, focusing on the Amundsen Sea Embayment and Marie Byrd Land. First, we develop a climatology of ARs in this region, using an Antarctic-specific AR detection tool combined with the Modern-Era Retrospective analysis for Research and Applications, version 2 (MERRA-2) and the European Centre for Medium-Range Weather Forecasts (ECMWF) Reanalysis v5 (ERA5) atmospheric reanalyses. We find that while ARs are infrequent (occurring 3 % of the time), they cause intense precipitation in short periods of time and account for 11 % of the annual surface accumulation. They are driven by the coupling of a blocking high over the Antarctic Peninsula with a low-pressure system known as the Amundsen Sea Low. Next, we use observations from automatic weather stations on Thwaites Eastern Ice Shelf with the firn model SNOWPACK and interferometric reflectometry (IR) to examine a case study of three ARs that made landfall in rapid succession from 2 to 8 February 2020, known as an AR family event. While accumulation dominates the surface impacts of the event on Thwaites Eastern Ice Shelf (&gt; 100 kgm(-2) or millimeters water equivalent), we find small amounts of surface melt as well (&lt; 5 kgm(-2)). The results presented here enable us to quantify the past impacts of ARs on West Antarctica's surface mass balance (SMB) and characterize their interannual variability and trends, enabling a better assessment of future AR-driven changes in the SMB.</t>
  </si>
  <si>
    <t>[Maclennan, Michelle L.; Lenaerts, Jan T. M.; Wever, Nander; Thompson-Munson, Megan; Winters, Andrew C.] Univ Colorado Boulder, Dept Atmospher &amp; Ocean Sci, Boulder, CO 80309 USA; [Shields, Christine A.] Natl Ctr Atmospher Res, Boulder, CO USA; [Hoffman, Andrew O.] Univ Washington, Dept Earth &amp; Space Sci, Seattle, WA USA; [Pettit, Erin C.] Oregon State Univ, Coll Earth Ocean &amp; Atmospher Sci, Corvallis, OR USA; [Scambos, Theodore A.] Univ Colorado Boulder, Cooperat Inst Res Environm Sci, Earth Sci &amp; Observat Ctr, Boulder, CO USA; [Wille, Jonathan D.] Univ Grenoble Alpes, Inst Geosci Environm, Grenoble, France</t>
  </si>
  <si>
    <t>University of Colorado System; University of Colorado Boulder; National Center Atmospheric Research (NCAR) - USA; University of Washington; University of Washington Seattle; Oregon State University; University of Colorado System; University of Colorado Boulder; Communaute Universite Grenoble Alpes; Universite Grenoble Alpes (UGA)</t>
  </si>
  <si>
    <t>Maclennan, ML (corresponding author), Univ Colorado Boulder, Dept Atmospher &amp; Ocean Sci, Boulder, CO 80309 USA.</t>
  </si>
  <si>
    <t>michelle.maclennan@colorado.edu</t>
  </si>
  <si>
    <t>Wille, Jonathan/KFQ-5871-2024; Lenaerts, Jan/D-9423-2012</t>
  </si>
  <si>
    <t>Wille, Jonathan/0000-0002-3918-5204; Pettit, Erin Christine/0000-0002-6765-9841; Maclennan, Michelle L./0000-0002-7591-2704; Lenaerts, Jan/0000-0003-4309-4011; Shields, Christine A./0000-0003-4481-1377; SCAMBOS, Ted A./0000-0003-4268-6322; Wever, Nander/0000-0002-4829-8585</t>
  </si>
  <si>
    <t>National Aeronautics and Space Administration [80NSSC21K1610, 80NSSC20K1727]; National Science Foundation [1929991, 1947282, 1738934]; Natural Environment Research Council [NE/S006419/1]; US Department of Energy [DE35 SC0022070]; Agence Nationale de la Recherche [ANR-20-CE01-0013]; NERC [NE/S006419/1] Funding Source: UKRI; Directorate For Geosciences; Div Atmospheric &amp; Geospace Sciences [1947282] Funding Source: National Science Foundation; Agence Nationale de la Recherche (ANR) [ANR-20-CE01-0013] Funding Source: Agence Nationale de la Recherche (ANR)</t>
  </si>
  <si>
    <t>National Aeronautics and Space Administration(National Aeronautics &amp; Space Administration (NASA)); National Science Foundation(National Science Foundation (NSF)); Natural Environment Research Council(UK Research &amp; Innovation (UKRI)Natural Environment Research Council (NERC)); US Department of Energy(United States Department of Energy (DOE)); Agence Nationale de la Recherche(Agence Nationale de la Recherche (ANR)); NERC(UK Research &amp; Innovation (UKRI)Natural Environment Research Council (NERC)); Directorate For Geosciences; Div Atmospheric &amp; Geospace Sciences(National Science Foundation (NSF)NSF - Directorate for Geosciences (GEO)); Agence Nationale de la Recherche (ANR)(Agence Nationale de la Recherche (ANR))</t>
  </si>
  <si>
    <t>This research has been supported by the National Aeronautics and Space Administration (grant nos. 80NSSC21K1610 and 80NSSC20K1727), the National Science Foundation (grant nos. 1929991, 1947282, and 1738934), the Natural Environment Research Council (grant no. NE/S006419/1),the US Department of Energy (grant no. DE35 SC0022070), and the Agence Nationale de la Recherche (grant no. ANR-20-CE01-0013).</t>
  </si>
  <si>
    <t>10.5194/tc-17-865-2023</t>
  </si>
  <si>
    <t>9E5ZB</t>
  </si>
  <si>
    <t>WOS:000936862400001</t>
  </si>
  <si>
    <t>Sherman, CS; Digel, ED; Zubick, P; Eged, J; Haque, AB; Matsushiba, JH; Simpfendorfer, CA; Sant, G; Dulvy, NK</t>
  </si>
  <si>
    <t>Sherman, C. Samantha; Digel, Eric D. D.; Zubick, Patrick; Eged, Jonathan; Haque, Alifa B. B.; Matsushiba, Jay H. H.; Simpfendorfer, Colin A. A.; Sant, Glenn; Dulvy, Nicholas K. K.</t>
  </si>
  <si>
    <t>High overexploitation risk due to management shortfall in highly traded requiem sharks</t>
  </si>
  <si>
    <t>CONSERVATION LETTERS</t>
  </si>
  <si>
    <t>carcharhinidae; CITES; fisheries management; international policy; international trade; shark conservation; shark fin trade; shark meat</t>
  </si>
  <si>
    <t>FISHERIES MANAGEMENT; CATCHES</t>
  </si>
  <si>
    <t>Most of the international trade in fins (and likely meat too) is derived from requiem sharks (family Carcharhinidae), yet trade in only two of the 56 species is currently regulated. Here, we quantify catch, trade, and the shortfall in national and regional fisheries management (M-Risk) for all 56 requiem shark species based on 831 assessments across 30 countries and four Regional Fisheries Management Organizations (RFMOs). Requiem sharks comprise over half (60%) of the annual reported global Chondrichthyan catch with most species (86%) identified in the international fin trade. Requiem sharks are inadequately managed by fisheries, with an average M-Risk of half (50%) of an ideal score, consequently 70% of species are threatened globally. The high catch and trade volume and shortfall in management of these iconic species require worldwide fisheries management for sustainable catch, supported by full implementation of CITES regulations for international trade of this newly listed family.</t>
  </si>
  <si>
    <t>[Sherman, C. Samantha; Digel, Eric D. D.; Zubick, Patrick; Eged, Jonathan; Matsushiba, Jay H. H.; Dulvy, Nicholas K. K.] Simon Fraser Univ, Dept Biol Sci, Earth Oceans Res Grp, Burnaby, BC, Canada; [Sherman, C. Samantha; Sant, Glenn] TRAFF Int, Cambridge, England; [Haque, Alifa B. B.] Univ Oxford, Dept Zool, Nat Based Solut Initiat, Oxford, England; [Haque, Alifa B. B.] Univ Dhaka, Dept Zool, Dhaka, Bangladesh; [Simpfendorfer, Colin A. A.] Univ Tasmania, Inst Marine &amp; Antarctic Studies, Hobart, Tas, Australia; [Sant, Glenn] Univ Wollongong, Australian Natl Ctr Ocean Resources &amp; Secur, Wollongong, NSW, Australia</t>
  </si>
  <si>
    <t>Simon Fraser University; University of Oxford; University of Dhaka; University of Tasmania; University of Wollongong</t>
  </si>
  <si>
    <t>Sherman, CS (corresponding author), Simon Fraser Univ, Dept Biol Sci, Earth Oceans Res Grp, Burnaby, BC, Canada.;Sherman, CS (corresponding author), TRAFF Int, Cambridge, England.</t>
  </si>
  <si>
    <t>sammsherman27@gmail.com</t>
  </si>
  <si>
    <t>Sherman, Samantha/AAB-3349-2020; Dulvy, Nicholas/I-2895-2012</t>
  </si>
  <si>
    <t>Sherman, Samantha/0000-0002-7150-1035; Dulvy, Nicholas/0000-0002-4295-9725; Eged, Jonathan/0009-0000-5386-3967</t>
  </si>
  <si>
    <t>Shark Conservation Fund; Natural Science and Engineering Research Council; Canada Research Chair program</t>
  </si>
  <si>
    <t>Shark Conservation Fund; Natural Science and Engineering Research Council(Natural Sciences and Engineering Research Council of Canada (NSERC)); Canada Research Chair program(Canada Research Chairs)</t>
  </si>
  <si>
    <t>This work was supported by a grant to GS from the Shark Conservation Fund, a philanthropic collaborative that pools expertise and resources to meet the threats facing the world's sharks and rays. The Shark Conservation Fund is a project of Rockefeller Philanthropy Advisors. NKD was supported by the Discovery and Accelerator grants from Natural Science and Engineering Research Council and the Canada Research Chair program.</t>
  </si>
  <si>
    <t>1755-263X</t>
  </si>
  <si>
    <t>CONSERV LETT</t>
  </si>
  <si>
    <t>Conserv. Lett.</t>
  </si>
  <si>
    <t>10.1111/conl.12940</t>
  </si>
  <si>
    <t>F2BD2</t>
  </si>
  <si>
    <t>WOS:000935952800001</t>
  </si>
  <si>
    <t>Núñez-Montero, K; Rojas-Villalta, D; Hernández-Moncada, R; Esquivel, A; Barrientos, L</t>
  </si>
  <si>
    <t>Nunez-Montero, Kattia; Rojas-Villalta, Dorian; Hernandez-Moncada, Ricardo; Esquivel, Andres; Barrientos, Leticia</t>
  </si>
  <si>
    <t>Genome Sequence of Pseudomonas sp. Strain So3.2b, Isolated from a Soil Sample from Robert Island (Antarctic Specially Protected Area 112), Antarctic</t>
  </si>
  <si>
    <t>Strain So3.2b of the genus Pseudomonas was isolated from a soil sample from Robert Island (Antarctic Specially Protected Area 112), Antarctic. We report the complete genome sequence of this isolate, with a length of 6.17 Mbp and a GC content of 60.5%. Strain So3.2b of the genus Pseudomonas was isolated from a soil sample from Robert Island (Antarctic Specially Protected Area 112), Antarctic. We report the complete genome sequence of this isolate, with a length of 6.17 Mbp and a GC content of 60.5%.</t>
  </si>
  <si>
    <t>[Nunez-Montero, Kattia; Rojas-Villalta, Dorian; Hernandez-Moncada, Ricardo; Esquivel, Andres] Inst Tecnol Costa Rica, Ctr Invest Biotecnol, Cartago, Costa Rica; [Nunez-Montero, Kattia; Barrientos, Leticia] Univ La Frontera, Ctr Excelencia Med Traslac, Lab Biotecnol Ambientes Extremos, Temuco, Chile</t>
  </si>
  <si>
    <t>Instituto Tecnologico de Costa Rica; Universidad de La Frontera</t>
  </si>
  <si>
    <t>Barrientos, L (corresponding author), Univ La Frontera, Ctr Excelencia Med Traslac, Lab Biotecnol Ambientes Extremos, Temuco, Chile.</t>
  </si>
  <si>
    <t>Barrientos, Leticia/R-6205-2017; Rojas-Villalta, Dorian/ISB-3389-2023</t>
  </si>
  <si>
    <t>Barrientos, Leticia/0000-0002-5344-054X; Rojas-Villalta, Dorian/0000-0002-2939-1485; Hernandez-Moncada, Ricardo/0000-0001-7286-0120; Nunez-Montero, Kattia/0000-0002-8629-5107</t>
  </si>
  <si>
    <t>Instituto Antartico Chileno (INACH) [INACH DG_01-19]; Universidad de la Frontera [DI20-2018]; Network for Extreme Environments Research (NEXER) [NXR17-0003]; CONICYT-Chile [CONICYT-PFCHA/Doctorado Nacional/2017-21170263]; Agencia Nacional de Investigacion y Desarrollo de Chile (ANID) [FONDECYT-1210563]; Instituto Tecnologico de Costa Rica [5402-1510-1035]</t>
  </si>
  <si>
    <t>Instituto Antartico Chileno (INACH); Universidad de la Frontera; Network for Extreme Environments Research (NEXER); CONICYT-Chile(Comision Nacional de Investigacion Cientifica y Tecnologica (CONICYT)); Agencia Nacional de Investigacion y Desarrollo de Chile (ANID); Instituto Tecnologico de Costa Rica</t>
  </si>
  <si>
    <t>This research was funded by the Instituto Antartico Chileno (INACH) (grant INACH DG_01-19), the Universidad de la Frontera (grant DI20-2018), the Network for Extreme Environments Research (NEXER) (grant NXR17-0003), CONICYT-Chile (grant CONICYT-PFCHA/Doctorado Nacional/2017-21170263 to K.N.-M.), the Agencia Nacional de Investigacion y Desarrollo de Chile (ANID) (grant FONDECYT-1210563), and the Instituto Tecnologico de Costa Rica (project 5402-1510-1035). The funders had no role in study design, data collection, interpretation, or the decision to submit the work for publication.</t>
  </si>
  <si>
    <t>10.1128/mra.01167-22</t>
  </si>
  <si>
    <t>WOS:000935897700001</t>
  </si>
  <si>
    <t>Varliero, G; Lebre, PH; Stevens, MI; Czechowski, P; Makhalanyane, T; Cowan, DA</t>
  </si>
  <si>
    <t>Varliero, Gilda; Lebre, Pedro H.; Stevens, Mark I.; Czechowski, Paul; Makhalanyane, Thulani; Cowan, Don A.</t>
  </si>
  <si>
    <t>The use of different 16S rRNA gene variable regions in biogeographical studies</t>
  </si>
  <si>
    <t>ENVIRONMENTAL MICROBIOLOGY REPORTS</t>
  </si>
  <si>
    <t>DIVERSITY</t>
  </si>
  <si>
    <t>16S rRNA gene amplicon sequencing is routinely used in environmental surveys to identify microbial diversity and composition of the samples of interest. The dominant sequencing technology of the past decade (Illumina) is based on the sequencing of 16S rRNA hypervariable regions. Online sequence data repositories, which represent an invaluable resource for investigating microbial distributional patterns across spatial, environmental or temporal scales, contain amplicon datasets from diverse 16S rRNA gene variable regions. However, the utility of these sequence datasets is potentially reduced by the use of different 16S rRNA gene amplified regions. By comparing 10 Antarctic soil samples sequenced for five different 16S rRNA amplicons, we explore whether sequence data derived from diverse 16S rRNA variable regions can be validly used as a resource for biogeographical studies. Patterns of shared and unique taxa differed among samples as a result of variable taxonomic resolutions of the assessed 16S rRNA variable regions. However, our analyses also suggest that the use of multi-primer datasets for biogeographical studies of the domain Bacteria is a valid approach to explore bacterial biogeographical patterns due to the preservation of bacterial taxonomic and diversity patterns across different variable region datasets. We deem composite datasets useful for biogeographical studies.</t>
  </si>
  <si>
    <t>[Varliero, Gilda; Lebre, Pedro H.; Cowan, Don A.] Univ Pretoria, Ctr Microbial Ecol &amp; Genom, Dept Biochem Genet &amp; Microbiol, Pretoria, South Africa; [Stevens, Mark I.] Securing Antarct Environm Future, Earth &amp; Biol Sci, Adelaide, Australia; [Stevens, Mark I.] Univ Adelaide, Sch Biol Sci, Adelaide, Australia; [Czechowski, Paul] Helmholtz Inst Metab Obes &amp; Vasc Res Leipzig HI MA, Leipzig, Germany; [Makhalanyane, Thulani] Univ Pretoria, Dept Biochem Genet &amp; Microbiol, Pretoria, South Africa</t>
  </si>
  <si>
    <t>University of Pretoria; University of Adelaide; University of Pretoria</t>
  </si>
  <si>
    <t>Cowan, DA (corresponding author), Univ Pretoria, Ctr Microbial Ecol &amp; Genom, Dept Biochem Genet &amp; Microbiol, Pretoria, South Africa.</t>
  </si>
  <si>
    <t>don.cowan@up.ac.za</t>
  </si>
  <si>
    <t>Czechowski, Paul/M-4749-2019; Makhalanyane, Thulani P./C-6815-2012; Cowan, Donald A/E-3991-2012</t>
  </si>
  <si>
    <t>Czechowski, Paul/0000-0001-7894-4042; Makhalanyane, Thulani P./0000-0002-8173-1678; Cowan, Donald A/0000-0001-8059-861X; Varliero, Gilda/0000-0003-1893-0575; Bixirao Neto Marinho Lebre, Pedro Humberto/0000-0002-6483-0340</t>
  </si>
  <si>
    <t>Australian Antarctic Division [ASAC 2355]; Australian Research Council [LP0991985, SR200100005]; NRF SANAP [129227]; Australian Research Council [LP0991985, SR200100005] Funding Source: Australian Research Council</t>
  </si>
  <si>
    <t>Australian Antarctic Division; Australian Research Council(Australian Research Council); NRF SANAP; Australian Research Council(Australian Research Council)</t>
  </si>
  <si>
    <t>Australian Antarctic Division, Grant/AwardNumber: ASAC 2355; Australian Research Council, Grant/Award Numbers: LP0991985,SR200100005; NRF SANAP, Grant/Award Number: 129227</t>
  </si>
  <si>
    <t>1758-2229</t>
  </si>
  <si>
    <t>ENV MICROBIOL REP</t>
  </si>
  <si>
    <t>Environ. Microbiol. Rep.</t>
  </si>
  <si>
    <t>10.1111/1758-2229.13145</t>
  </si>
  <si>
    <t>Environmental Sciences; Microbiology</t>
  </si>
  <si>
    <t>Environmental Sciences &amp; Ecology; Microbiology</t>
  </si>
  <si>
    <t>F1HC6</t>
  </si>
  <si>
    <t>WOS:000936920500001</t>
  </si>
  <si>
    <t>Seton, M; Williams, SE; Domeier, M; Collins, AS; Sigloch, K</t>
  </si>
  <si>
    <t>Seton, Maria; Williams, Simon E. E.; Domeier, Mathew; Collins, Alan S. S.; Sigloch, Karin</t>
  </si>
  <si>
    <t>Deconstructing plate tectonic reconstructions</t>
  </si>
  <si>
    <t>LARGE IGNEOUS PROVINCES; DEEP MANTLE STRUCTURES; NORTH-AMERICA; KINEMATIC RECONSTRUCTION; SEISMIC TOMOGRAPHY; REFERENCE FRAME; GLOBAL CLIMATE; POLAR WANDER; SUBDUCTION; SLAB</t>
  </si>
  <si>
    <t>The advent of advanced plate tectonic reconstruction software has instigated an explosive growth in their generation and use by the wider Earth science community. This Technical Review provides a best-practice guide for quantitative plate reconstructions and their applications. The evolving mosaic of tectonic plates across the surface of the Earth sets boundary conditions for the evolution of biotic and abiotic processes and helps shape the dynamics of its interior. Reconstructing plate tectonics back through time allows scientists from a range of disciplines (such as palaeobiology, palaeoclimate, geodynamics and seismology) to investigate Earth evolution through these spatiotemporal dimensions. However, the variety and complexity of plate reconstructions can lead to some of their limitations being overlooked. In this Technical Review, we discuss the domain-specific knowledge underpinning modern quantitative plate reconstructions and convey a set of principles on how to use (but not abuse) the software or results. Open-source plate tectonic reconstruction software, like GPlates, has led to a major shift in working practices, handing non-specialists the tools to develop and integrate reconstructions based on their own datasets and expertise. However, there is no 'one-size-fits-all' and users need to understand what data and underlying assumptions go into making different, sometimes competing reconstruction models. It is therefore essential to consider the many ways reconstructions simplify reality when interpreting them to avoid circular reasoning. Although many aspects of deep-time reconstructions remain unresolved, future work on intercomparisons between models and uncertainty quantification is an essential pathway towards next-generation plate reconstructions.</t>
  </si>
  <si>
    <t>[Seton, Maria] Univ Sydney, Sch Geosci, EarthByte Grp, Sydney, NSW, Australia; [Williams, Simon E. E.] Northwest Univ, Dept Geol, State Key Lab Continental Dynam, Xian, Peoples R China; [Williams, Simon E. E.] Univ Tasmania, Inst Marine &amp; Antarctic Studies, Hobart, Tas, Australia; [Domeier, Mathew] Univ Oslo, Ctr Earth Evolut &amp; Dynam, Oslo, Norway; [Collins, Alan S. S.] Univ Adelaide, Dept Earth Sci, Tecton &amp; Earth Syst Grp TES, Adelaide, SA, Australia; [Sigloch, Karin] Univ Cote Azur, Geoazur, CNRS, Sophia Antipolis, France</t>
  </si>
  <si>
    <t>University of Sydney; Northwest University Xi'an; University of Tasmania; University of Oslo; University of Adelaide; Centre National de la Recherche Scientifique (CNRS); Universite Cote d'Azur; Observatoire de la Cote d'Azur</t>
  </si>
  <si>
    <t>Seton, M (corresponding author), Univ Sydney, Sch Geosci, EarthByte Grp, Sydney, NSW, Australia.</t>
  </si>
  <si>
    <t>maria.seton@sydney.edu.au</t>
  </si>
  <si>
    <t>Seton, Maria/H-8272-2013; Collins, Alan/D-9781-2011</t>
  </si>
  <si>
    <t>Seton, Maria/0000-0001-8541-1367; Collins, Alan/0000-0002-3408-5474; Williams, Simon/0000-0003-4670-8883; Sigloch, Karin/0000-0002-9876-4628</t>
  </si>
  <si>
    <t>Australian Research Council [DP200100966, FT130101564, DP180102280, FT210100557, FT120100340, LP200301457]; National Natural Science Foundation of China [41972237]; Research Council of Norway through its Centres of Excellence funding scheme [223272]; European Research Council [639003]; AuScope National Collaborative Research Infrastructure System programme; European Research Council (ERC) [639003] Funding Source: European Research Council (ERC); Australian Research Council [FT130101564, LP200301457, DP200100966, FT210100557] Funding Source: Australian Research Council</t>
  </si>
  <si>
    <t>Australian Research Council(Australian Research Council); National Natural Science Foundation of China(National Natural Science Foundation of China (NSFC)); Research Council of Norway through its Centres of Excellence funding scheme(Research Council of Norway); European Research Council(European Research Council (ERC)); AuScope National Collaborative Research Infrastructure System programme; European Research Council (ERC)(European Research Council (ERC)Spanish Government); Australian Research Council(Australian Research Council)</t>
  </si>
  <si>
    <t>M.S., S.E.W. and A.S.C. acknowledge the support of the Australian Research Council (M.S., DP200100966 and FT130101564; S.E.W., DP200100966, DP180102280 and FT210100557; A.S.C., FT120100340 and LP200301457). S.E.W. acknowledges support from the National Natural Science Foundation of China grant 41972237. M.D. was supported by the Research Council of Norway through its Centres of Excellence funding scheme, project 223272 (CEED). K.S. was supported by the European Research Council under the European Union's Horizon 2020 research and innovation programme, grant 639003 DEEP TIME. The authors also share their gratitude to the early pioneers of plate tectonics and those who championed the development of open-access plate tectonic models and tools as well as to their respective research groups for their contributions to plate model and workflow development. GPlates is supported by the AuScope National Collaborative Research Infrastructure System programme.</t>
  </si>
  <si>
    <t>10.1038/s43017-022-00384-8</t>
  </si>
  <si>
    <t>9V7EI</t>
  </si>
  <si>
    <t>WOS:000935995800001</t>
  </si>
  <si>
    <t>Levier, M; Roy-Barman, M; Foliot, L; Dapoigny, A; Lacan, F</t>
  </si>
  <si>
    <t>Levier, M.; Roy-Barman, M.; Foliot, L.; Dapoigny, A.; Lacan, F.</t>
  </si>
  <si>
    <t>Distribution of Pa in the Atlantic sector of the Southern Ocean: Tracking scavenging during water mass mixing along neutral density surfaces</t>
  </si>
  <si>
    <t>Protactinium; Mass spectrometry; Marine particles; Southern ocean; Isopycnal mixing</t>
  </si>
  <si>
    <t>MERIDIONAL CIRCULATION; OXYGEN UTILIZATION; ORGANIC-CARBON; POLAR FRONT; TH-230; PA-231; PROTOACTINIUM; ISOTOPES; THORIUM; ADSORPTION</t>
  </si>
  <si>
    <t>Dissolved and particulate Protactinium-231 (231Pa) was analyzed for samples from the BONUS GoodHope (BGH) IPY-GEOTRACES cruise in the SE Atlantic sector of the Southern Ocean (36 degrees S-13 degrees E to 57 degrees S-0 degrees, Feb.-Mar. 2008). The inflowing waters from the Atlantic Ocean fuel the Antarctic Circumpolar Current in dissolved 231Pa which is mostly removed from seawater by the biogenic silica produced by diatoms in the Southern Ocean. This scav-enging flux of the 231Pa induces a meridional gradient of the 231Pa concentration and of the Th-Pa fractionation factor (FTh/Pa).We propose a first direct estimate of the 231Pa partition coefficient between suspended opal and seawater of about 1.42 +/- 0.55 x 106 g/g. This partition coefficient could directly apply to simulate the particulate Pa concentration from the dissolved fraction and the opal concentration. We apply to 231Pa the isopycnal advection-diffusion-scavenging model built for Th isotopes across the ACC. This additional constraint on the model does not modify the isopycnal eddy diffusion estimate of about 1900 +/- 180 m2/s at different isopycnal surfaces but suggests a higher particle settling velocity, about 1000 m/y, in the northern part of the ACC than solely derived from Th isotopes. The most different feature is the reduction by half of the estimated uncertainties among the different transport parameters just by the addition of a new constraining parameter. Moreover, this study con-firms that 231Pa budget of the Atlantic Sector of Southern Ocean cannot be balanced by considering meridional transport only, and need to consider eastward export to scavenge Pa in the whole area of the Opal Belt.</t>
  </si>
  <si>
    <t>[Levier, M.; Roy-Barman, M.; Foliot, L.; Dapoigny, A.] Lab Sci Climat &amp; Environm LSCE, Gif Sur Yvette, France; [Lacan, F.] Univ Toulouse, UPS, IRD, CNES,LEGOS,CNRS, Toulouse, France</t>
  </si>
  <si>
    <t>CEA; Centre National de la Recherche Scientifique (CNRS); Universite Paris Saclay; Universite de Toulouse; Universite Toulouse III - Paul Sabatier; Centre National de la Recherche Scientifique (CNRS); Institut de Recherche pour le Developpement (IRD); Laboratoire d'Etudes en Geophysique et oceanographie spatiales</t>
  </si>
  <si>
    <t>Levier, M (corresponding author), Lab Sci Climat &amp; Environm LSCE, Gif Sur Yvette, France.</t>
  </si>
  <si>
    <t>martin.levier@lsce.ipsl.fr</t>
  </si>
  <si>
    <t>Lacan, Francois/B-8032-2009</t>
  </si>
  <si>
    <t>Lacan, Francois/0000-0001-6794-2279; Levier, Martin/0000-0002-1141-1492</t>
  </si>
  <si>
    <t>10.1016/j.dsr.2022.103951</t>
  </si>
  <si>
    <t>H4CF2</t>
  </si>
  <si>
    <t>WOS:000995453500001</t>
  </si>
  <si>
    <t>Zhang, WS; Hao, WF; Zheng, C; Ye, M; Yan, JG; Li, F</t>
  </si>
  <si>
    <t>Zhang, Wensong; Hao, Weifeng; Zheng, Chong; Ye, Mao; Yan, Jianguo; Li, Fei</t>
  </si>
  <si>
    <t>An improved altimeter-derived gravity anomaly from shipborne gravity based on the mean sea surface height constraint factors method</t>
  </si>
  <si>
    <t>Shipborne gravity data; The MSSHCF method; Mean sea surface height constraint factor; Coastal altimeter-derived gravity field; The ordinary kriging method</t>
  </si>
  <si>
    <t>MARINE GRAVITY; FIELD; INTERPOLATION; GEOSAT; MODELS</t>
  </si>
  <si>
    <t>Coastal marine gravity modeling faces challenges due to the degradation of the quality and poor coverage of altimeter data in coastal regions. The effective fusion of shipborne gravity data and altimeter-derived marine gravity data can make shipborne gravity data more useful for the accurate estimation of altimeter-derived coastal marine gravity. A mean sea surface height constraint factor (MSSHCF) method based on the ordinary kriging method and the remove-restore technique is proposed to fuse altimeter-derived gravity model with shipborne gravity data. In this method, all data are standardized during the interpolation process to reduce the error and mean sea surface as a vertical variable is added to the semi-variance function in ordinary kriging to obtain the residual shipborne gravity as corrected data source. The coastal marine gravity models V2.1 and V3.1 which fused altimeter-derived gravity data with shipborne gravity data and V1.1 without shipborne gravity data at a spatial resolution of 1'x1' can be obtained. Validation experiments show that the accuracy of the gravity model V3.1 obtained by the MSSHCF method more closely agrees with the validated gravity model DTU17 and SS V31 than the model V2.1 obtained by the ordinary kriging interpolation method and the V1.1 model. Our results were validated against shipborne gravity data; the accuracy of model V3.1 was 4.95 % higher than the model V1.1 in South China Sea area A and 2.48 % higher in South China Sea area B. Meanwhile, the accuracy of model V3.1 was 2.07 % higher than model V2.1 in South China Sea area A and 2.42 % higher in South China Sea area B. The effects of distance from the coast and sea depth on the marine gravity model were also evaluated. The results show that the gravity model V3.1 has higher accuracy with the change in ocean distance and depth than the V2.1 and V1.1 gravity models. Thus, our study shows that the MSSHCF method effectively refines coastal altimeter-derived gravity using shipborne gravity data.(c) 2022 COSPAR. Published by Elsevier B.V. All rights reserved.</t>
  </si>
  <si>
    <t>[Zhang, Wensong; Zheng, Chong; Ye, Mao; Yan, Jianguo; Li, Fei] Wuhan Univ, State Key Lab Engn Surveying Mapping &amp; Remote Sens, Wuhan 430070, Peoples R China; [Hao, Weifeng; Li, Fei] Wuhan Univ, Chinese Antarctic Ctr Surveying &amp; Mapping, Wuhan 430079, Peoples R China</t>
  </si>
  <si>
    <t>Yan, JG (corresponding author), Wuhan Univ, State Key Lab Engn Surveying Mapping &amp; Remote Sens, Wuhan 430070, Peoples R China.</t>
  </si>
  <si>
    <t>jgyan@whu.edu.cn</t>
  </si>
  <si>
    <t>LI, MINGZE/KEI-2317-2024; Yuan, Yu/KBQ-0606-2024</t>
  </si>
  <si>
    <t>National Natural Science Foundation of China [42030110, 41874010]</t>
  </si>
  <si>
    <t>This work was jointly supported by the National Natural Science Foundation of China (grant nos. 42030110; 41874010). The authors are thankful to the Ocean Surface Topography Science Team and its subgroup on Marine gravity, Mean Dynamic Topography and Mean Sea Surface for valuable discussions on the matter. All authors are thankful to Scripps Institution of Oceanography, university of California on marine gravity model. We are very grateful to NGDC for providing shipborne gravimetric data.</t>
  </si>
  <si>
    <t>10.1016/j.asr.2022.11.030</t>
  </si>
  <si>
    <t>9Q0JR</t>
  </si>
  <si>
    <t>WOS:000944661100001</t>
  </si>
  <si>
    <t>Lopez, CN; Hansell, DA</t>
  </si>
  <si>
    <t>Lopez, Chelsea N.; Hansell, Dennis A.</t>
  </si>
  <si>
    <t>Anomalous DOC signatures reveal iron control on export dynamics in the Pacific Southern Ocean</t>
  </si>
  <si>
    <t>particle export; iron limitation; Southern Ocean; Antarctic circumpolar current; sea ice melt; biogeochemistry; biogeochemical cycling; dissolved organic carbon</t>
  </si>
  <si>
    <t>ANTARCTIC SEA-ICE; ORGANIC-CARBON; FLUXES; BIOGEOCHEMISTRY; FERTILIZATION; DISTRIBUTIONS; CHLOROPHYLL; RETREAT; DIATOM; CYCLE</t>
  </si>
  <si>
    <t>Here we shed light on two mechanisms that stimulate deep particle export via upper-ocean iron fertilization in the Southern Ocean: deep frontal mixing and melting of sea ice. We present data collected a decade apart in the Pacific sector of the Southern Ocean when, serendipitously, seasonal Antarctic ice melt was anomalously low (2008) and anomalously high (2017). In 2008, the low ice melt year, we concluded that vertical mixing of iron into the euphotic zone via deep-mixing fronts was the primary stimulant of export that reached depths of similar to 1500 meters. This process was evidenced by localized enhancements of dissolved organic carbon (DOC) concentrations up to 4 mu mol C kg(-1) beneath seven branches of fronts embedded within the Antarctic Circumpolar Current (ACC). We used these enhanced DOC concentrations in the bathypelagic as primary indications of the depths and locations of recent export, as it is a logical residue of such. In 2017, the year in which sea ice melt was anomalously high, we concluded that the main driver of a widespread export event to the seafloor was the lateral influx of iron within the melt. Indications of this event included substantial enhancements of DOC concentrations (2 - 6 mu mol C kg(-1)), elevated beam attenuation, and enhanced surface iron concentrations associated with a layer of low salinity water at a nearby station. Further, significant deficits of upper ocean silicic acid during the 2017 occupation indicated that deep export was likely stimulated by an iron-fueled diatom bloom. This analysis highlights the impact of iron supplied from frontal vertical mixing and sea ice melt on export and ultimately for long-term carbon sequestration in the Southern Ocean, as well as the utility of deep DOC enrichments as signatures of particle export. Understanding the impact that ice melt events have on carbon export is crucial given that anomalous events are occurring more often as our climate changes.</t>
  </si>
  <si>
    <t>[Lopez, Chelsea N.] Natl Aeronaut &amp; Space Adm NASA Goddard Space Fligh, Ocean Ecol Lab, Greenbelt 20771, MD USA; [Lopez, Chelsea N.] Sci Syst &amp; Applicat Inc SSAI, Lanham, MD 20706 USA; [Lopez, Chelsea N.; Hansell, Dennis A.] Univ Miami, Rosenstiel Sch Marine Atmospher &amp; Earth Sci, Dept Ocean Sci, Miami, FL 33146 USA</t>
  </si>
  <si>
    <t>Science Systems and Applications Inc; University of Miami</t>
  </si>
  <si>
    <t>Lopez, CN (corresponding author), Natl Aeronaut &amp; Space Adm NASA Goddard Space Fligh, Ocean Ecol Lab, Greenbelt 20771, MD USA.;Lopez, CN (corresponding author), Sci Syst &amp; Applicat Inc SSAI, Lanham, MD 20706 USA.;Lopez, CN (corresponding author), Univ Miami, Rosenstiel Sch Marine Atmospher &amp; Earth Sci, Dept Ocean Sci, Miami, FL 33146 USA.</t>
  </si>
  <si>
    <t>chelsea.nicole515@gmail.com</t>
  </si>
  <si>
    <t>Hansell, Dennis A./AAC-1271-2019; Lopez, Chelsea/JRY-2069-2023</t>
  </si>
  <si>
    <t>Hansell, Dennis A./0000-0001-9275-3445;</t>
  </si>
  <si>
    <t>National Science Foundation [OCE 2023500]; National Aeronautics and Space Administration (NASA) [80NSSC18K0437]; U.S. National Science Foundation [OCE-1840868]</t>
  </si>
  <si>
    <t>National Science Foundation(National Science Foundation (NSF)); National Aeronautics and Space Administration (NASA)(National Aeronautics &amp; Space Administration (NASA)); U.S. National Science Foundation(National Science Foundation (NSF))</t>
  </si>
  <si>
    <t>This work was supported by National Science Foundation Grant OCE 2023500 to DH and National Aeronautics and Space Administration (NASA) Grant 80NSSC18K0437 supporting CL and DH. The International GEOTRACES Programme is possible in part thanks to the support from the U.S. National Science Foundation (Grant OCE-1840868) to the Scientific Committee on Oceanic Research (SCOR).</t>
  </si>
  <si>
    <t>FEB 20</t>
  </si>
  <si>
    <t>10.3389/fmars.2023.1070458</t>
  </si>
  <si>
    <t>9O6VW</t>
  </si>
  <si>
    <t>WOS:000943740100001</t>
  </si>
  <si>
    <t>Elvines, DM; MacLeod, CK; Sabadel, AJM; Bury, SJ; Brown, JCS; White, CA</t>
  </si>
  <si>
    <t>Elvines, Deanna M.; MacLeod, C. K.; Sabadel, A. J. M.; Bury, S. J.; Brown, J. C. S.; White, C. A.</t>
  </si>
  <si>
    <t>Composition of Chinook salmon faecal wastes with implications for environmental management</t>
  </si>
  <si>
    <t>Biochemical marker; Fish waste; Environment; Finfish aquaculture; Fatty acids; Compound -specific stable isotope</t>
  </si>
  <si>
    <t>STABLE-ISOTOPE DELTA-C-13; ATLANTIC SALMON; BROUGHTON ARCHIPELAGO; CHEMICAL-COMPOSITION; ORGANIC-MATTER; BENTHIC IMPACT; HEAVY-METALS; FATTY-ACIDS; FISH FARMS; SALAR L.</t>
  </si>
  <si>
    <t>Intensive salmon aquaculture is now a major industry globally, with Chinook salmon (Oncorhynchus tshawytscha) the dominant culture species in New Zealand. Understanding the composition of Chinook salmon wastes is important for assessing environmental risks of coastal open-cage aquaculture, both in terms of nutrient inputs, and for evaluating potential characteristics that could be used as fish waste markers in the environment. The aim of our study was to describe the biochemical composition of faecal waste from Chinook salmon with a view to describing the characteristics most important for assessing waste inputs in the environment. A broad suite of biochemical characteristics, including nutrient, mineral and trace element concentrations, bulk carbon and ni-trogen stable isotope and compound specific 813C fatty acid and amino acid values, were measured during an experiment on fish kept in a recirculating aquaculture system (RAS) and fed a standard commercial pellet diet. We found that all biochemical characteristics of feed were conserved in faecal material, but some were conserved better than others. Fatty acid composition was similar in feed and faeces, but element profiles differed and showed high variability in faeces. Carbon and nitrogen bulk stable isotope values of faecal samples were generally lower than mean feed signatures, particularly for 815N. For compound specific stable isotopes, the 813C values in most fatty acids were similar to that of feed, however, 813C values in amino acids were lower (with the exception of phenylalanine and glutamic acid). Based on our findings, we suggest that it may be possible to predict biochemical composition of faeces for well-conserved, or predictably-altered indicators using composi-tion of feed samples alone. The differences between feed and faeces for some markers (e.g., elements, nutrient ratios, 815N and 813C in amino acids) may be useful for distinguishing between the presence of these two farm -derived wastes in the environment. Our results also suggest that the elemental composition of Chinook salmon waste is generally similar to that of other salmonid species, and supports the transfer of element composition data from other salmonids when setting mass balance model parameters for Chinook salmon.</t>
  </si>
  <si>
    <t>[Elvines, Deanna M.] Cawthron Inst, Private Bag 2, Nelson 7010, New Zealand; [MacLeod, C. K.; White, C. A.] Univ Tasmania, Inst Marine &amp; Antarctic Studies, Private Bag 49, Hobart, Tas 7001, Australia; [Sabadel, A. J. M.; Bury, S. J.; Brown, J. C. S.] Natl Inst Water &amp; Atmospher Res, Wellington, New Zealand; [Sabadel, A. J. M.] Univ Otago, Dept Zool, POB 56, Dunedin, New Zealand</t>
  </si>
  <si>
    <t>Cawthron Institute; University of Tasmania; National Institute of Water &amp; Atmospheric Research (NIWA) - New Zealand; University of Otago</t>
  </si>
  <si>
    <t>Elvines, DM (corresponding author), Cawthron Inst, Private Bag 2, Nelson 7010, New Zealand.</t>
  </si>
  <si>
    <t>MacLeod, Catriona K/J-7176-2014; Bury, Sarah/JLN-0810-2023</t>
  </si>
  <si>
    <t>Sabadel, Amandine/0000-0002-1080-8842</t>
  </si>
  <si>
    <t>Cawthron Institute; Sustainable Marine Research Collaborative Agreement through the University of Tasmania; Ministry of Business, Innovation and Employment (MBIE) endeavour fund [CAWX1606]</t>
  </si>
  <si>
    <t>Cawthron Institute; Sustainable Marine Research Collaborative Agreement through the University of Tasmania; Ministry of Business, Innovation and Employment (MBIE) endeavour fund(New Zealand Ministry of Business, Innovation and Employment (MBIE))</t>
  </si>
  <si>
    <t>We would like to thank Jane Symonds, Seamus Walker and the wider team from the finfish research facility team at Cawthron Institute for their aid in resourcing and sample collection. We also thank Josette Delgado, Jaret Bilewitch (NIWA), Matt Miller, Geoff Miles, Ravneet Kaur, Aaron Brownlow (Cawthron Institute) and the wider Analytical Services team at Cawthron Institute for their assistance and advice on sample preparation and analysis. This work was funded by Cawthron Institute, the Sustainable Marine Research Collaborative Agreement through the University of Tasmania, and contributes to the Ministry of Business, Innovation and Employment (MBIE) endeavour fund (CAWX1606). All fish manipulations were done with approval from the Nelson Marlborough Institute of Technology Animal Ethics Committee (AEC 2018 CAW01).</t>
  </si>
  <si>
    <t>10.1016/j.aquaculture.2023.739358</t>
  </si>
  <si>
    <t>9P9QN</t>
  </si>
  <si>
    <t>WOS:000944610800001</t>
  </si>
  <si>
    <t>da Silva, LC; Santos, A; Fauth, G; Manríquez, LM; Kochhann, KG; Guerra, RD; Horodyski, RS; Villegas-Martín, J; da Silva, RR</t>
  </si>
  <si>
    <t>Ferreira da Silva, Luiza Carine; Santos, Alessandra; Fauth, Gerson; Elizabeth Manriquez, Leslie Marcela; Diemer Kochhann, Karlos Guilherme; Guerra, Rodrigo do Monte; Horodyski, Rodrigo Scalise; Villegas-Martin, Jorge; da Silva, Rafael Ribeiro</t>
  </si>
  <si>
    <t>High-latitude Cretaceous-Paleogene transition: New paleoenvironmental and paleoclimatic insights from Seymour Island, Antarctica</t>
  </si>
  <si>
    <t>L ?opez de Bertodano Formation; K-Pg transition; Geochemistry; Palynology; X-ray fluorescence (XRF) analysis; Filo Negro Section</t>
  </si>
  <si>
    <t>DINOFLAGELLATE CYST BIOSTRATIGRAPHY; MASS EXTINCTION; CLIMATE-CHANGE; OULED HADDOU; BOUNDARY; ASSEMBLAGES; BASIN; PALEOCENE; EVOLUTION; MIOCENE</t>
  </si>
  <si>
    <t>The Filo Negro Section, on Seymour Island (Antarctic Peninsula), is a fossiliferous section with great potential for Late Cretaceous-Paleogene studies, which also presents an iridium anomaly layer. However, it has not been thoroughly studied in terms of integrated high-resolution paleontological and multi-proxy records yet. Paly-nomorphs and geochemical proxies are used herein to assess paleoenvironmental and paleoclimatic changes recorded at this section during the Maastrichtian-Danian transition. In addition, statistical tests are applied to our numerical palynological data (cluster analysis, Mann Kendall Trend test and chi 2-test) in order to further support our interpretations. The P/G ratio (peridinioid/gonyaulacoid dinoflagellate cysts) was adopted as a paleoproductivity proxy, whereas the T/M ratio (terrestrial/marine palynomorphs) was used to infer proximal/ distal depositional settings. The sedimentary succession was divided into three intervals, based on a cluster analysis. We infer humid, relatively warm conditions for the latest Maastrichtian, and cool paleoclimates after the K-Pg transition. This is supported by the Fe/K ratio, which depicts a general trend toward drier climates in the early Danian. A marked increase in terrestrial palynomorphs, along with a general Ti/Al ratio increasing-upwards trend, implies more proximal settings above the maximum flooding surface, marked at 9.9 m. The P/ G and Ba/terrigenous elements ratios imply a marine paleoproductivity drop around the K-Pg transition, remaining low during the earliest Danian. We also refined the previous position of the K-Pg transition in this section, placing it within 9.5 to 9.6 m, based on dinoflagellate cysts biostratigraphical analysis and geochemical data (iridium anomaly and increase in siderophile elements).</t>
  </si>
  <si>
    <t>[Ferreira da Silva, Luiza Carine; Fauth, Gerson; Elizabeth Manriquez, Leslie Marcela; Diemer Kochhann, Karlos Guilherme; Horodyski, Rodrigo Scalise; da Silva, Rafael Ribeiro] Univ Vale Rio dos Sinos, Programa Posgrad Geol, Ave Unisinos 950, BR-93022000 Sao Leopoldo, RS, Brazil; [Santos, Alessandra; Fauth, Gerson; Diemer Kochhann, Karlos Guilherme; Guerra, Rodrigo do Monte; Villegas-Martin, Jorge] Univ Vale Rio dos Sinos, Inst Tecnol Paleoceanog &amp; Mudancas Climat Itt Oce, Ave Unisinos 950, BR-93022000 Sao Leopoldo, RS, Brazil; [Guerra, Rodrigo do Monte] Museu Itinerante Ciencias Nat, BR-95185000 Carlos Barbosa, RS, Brazil</t>
  </si>
  <si>
    <t>Universidade do Vale do Rio dos Sinos (Unisinos); Universidade do Vale do Rio dos Sinos (Unisinos)</t>
  </si>
  <si>
    <t>da Silva, LC (corresponding author), Univ Vale Rio dos Sinos, Programa Posgrad Geol, Ave Unisinos 950, BR-93022000 Sao Leopoldo, RS, Brazil.</t>
  </si>
  <si>
    <t>luizasilva@edu.unisinos.br</t>
  </si>
  <si>
    <t>Fauth, Gerson/AAE-3353-2021</t>
  </si>
  <si>
    <t>Conselho Nacional de Desenvolvimento Cientifico e Tecnologico (CNPq); Coordenacao de Aperfeicoamento de Pessoal de Nivel Superior (CAPES) [CNPq/CAPES/MCTI/PROANTAR] [88887.314454/2019-00, 21/2018 -CNPq/PROANTAR: 88887.372443/2019- 00]; CNPq/MCTIC/CAPES/FNDCT [N o 21/2018 -CNPq/PROANTAR: 88887.372443/2019- 00]; CNPq [308087/2019-4]</t>
  </si>
  <si>
    <t>Conselho Nacional de Desenvolvimento Cientifico e Tecnologico (CNPq)(Conselho Nacional de Desenvolvimento Cientifico e Tecnologico (CNPQ)); Coordenacao de Aperfeicoamento de Pessoal de Nivel Superior (CAPES) [CNPq/CAPES/MCTI/PROANTAR](Coordenacao de Aperfeicoamento de Pessoal de Nivel Superior (CAPES)); CNPq/MCTIC/CAPES/FNDCT; CNPq(Conselho Nacional de Desenvolvimento Cientifico e Tecnologico (CNPQ))</t>
  </si>
  <si>
    <t>We are thankful to Unisinos and itt Oceaneon, for the equipment and all the infrastructure. We are grateful to Marcelo de A. Carvalho, for generating the cluster and diversity/dominance indices, and to Luciana Duarte, for carefully preparing the palynological slides. We are also thankful to Marcelo Motta, for the enlightening ideas on possible pa- leoclimatic approaches in palynology, and to Simone B. Fauth and Marcelo de A. Carvalho for the suggestions about this research. We thank Lilian M. Leandro, Mauro D. R. Bruno and Rodrigo B. Fauth for logistics support. This research was funded by the Conselho Nacional de Desenvolvimento Cient?fico e Tecnol ? ogico (CNPq) and Coordenacao de Aperfeicoamento de Pessoal de Nivel Superior (CAPES) , as part of the project ?Paleocene-Miocene climate evolution: Connections between the Southern Ocean and the Antarctic Peninsula? [CNPq/CAPES/MCTI/PROANTAR: Process 88887.314454/2019-00 and CNPq/MCTIC/CAPES/FNDCT N o 21/2018 -CNPq/PROANTAR: 88887.372443/2019- 00] . GF thanks to CNPq grant (Process 308087/2019-4) .</t>
  </si>
  <si>
    <t>10.1016/j.marmicro.2023.102214</t>
  </si>
  <si>
    <t>9P7FI</t>
  </si>
  <si>
    <t>WOS:000944446200001</t>
  </si>
  <si>
    <t>Santos, NA; Dasso, S; Gulisano, AM; Areso, O; Pereira, M; Asorey, H; Rubinstein, L; LAGO collaboration</t>
  </si>
  <si>
    <t>Santos, Noelia Ayelen; Dasso, Sergio; Gulisano, Adriana Maria; Areso, Omar; Pereira, Matias; Asorey, Hernan; Rubinstein, Lucas; LAGO collaboration</t>
  </si>
  <si>
    <t>First measurements of periodicities and anisotropies of cosmic ray flux observed with a water-Cherenkov detector at the Marambio Antarctic base</t>
  </si>
  <si>
    <t>Cosmic ray detector; Cosmic ray solar modulation; Space weather</t>
  </si>
  <si>
    <t>MODULATION; SIMULATION</t>
  </si>
  <si>
    <t>A new water-Cherenkov radiation detector, located at the Argentine Marambio Antarctic Base (64.24S-56.62 W), has been monitor-ing the variability of galactic cosmic ray (GCR) flux since 2019. One of the main aims is to provide experimental data necessary to study interplanetary transport of GCRs during transient events at different space/time scales. In this paper we present the detector and analyze observations made during one full year. After the analysis and correction of the GCR flux variability due to the atmospheric conditions (pressure and temperature), a study of the periodicities is performed in order to analyze modulations due to heliospheric phenomena. We can observe two periods: (a) 1 day, associated with the Earth's rotation combined with the spatial anisotropy of the GCR flux; and (b) -30 days due to solar impact of stable solar structures combined with the rotation of the Sun. From a superposed epoch analysis, and considering the geomagnetic effects, the mean diurnal amplitude is -0.08% and the maximum flux is observed in -15 h local time (LT) direction in the interplanetary space. In such a way, we determine the capability of Neurus to observe anisotropies and other inter-planetary modulations on the GCR flux arriving at the Earth. (c) 2022 COSPAR. Published by Elsevier B.V. All rights reserved.</t>
  </si>
  <si>
    <t>[Santos, Noelia Ayelen; Dasso, Sergio] Univ Buenos Aires, Fac Ciencias Exactas &amp; Nat, Dept Ciencias Atmosfera &amp; Oceanos, Intendente Guiraldes 2160,C1428EGA, RA-1428 Buenos Aires, Argentina; [Dasso, Sergio; Gulisano, Adriana Maria; Areso, Omar; Pereira, Matias; Rubinstein, Lucas] Univ Buenos Aires, CONICET, Inst Astron &amp; Fis Espacio, Intendente Guiraldes 2160,C1428EGA, RA-1428 Buenos Aires, Argentina; [Dasso, Sergio; Gulisano, Adriana Maria] Univ Buenos Aires, Fac Ciencias Exactas &amp; Nat, Dept Fis, Intendente Guiraldes 2160,C1428EGA, RA-1428 Buenos Aires, Argentina; [Gulisano, Adriana Maria] Inst Antartica Argentino, Direcc Nacl Antartica, 25 Mayo, RA-1143 San Martiin, Buenos Aires, Argentina; [Asorey, Hernan] Univ Nacl San Martin, Ctr Atom Constituyentes, CONICET, Inst Tecnol Detecc &amp; Astroparticulas, Av Gral Paz 1499, RA-1650 Buenos Aires, Argentina; [Rubinstein, Lucas] Univ Buenos Aires, Fac Ingn, Dept Elect, Lab Acust &amp; Electroacust, Av Paseo Colon 850, RA-1063 Buenos Aires, Argentina</t>
  </si>
  <si>
    <t>University of Buenos Aires; Instituto de Astronomia y Fisica del Espacio (IAFE); Consejo Nacional de Investigaciones Cientificas y Tecnicas (CONICET); University of Buenos Aires; University of Buenos Aires; Consejo Nacional de Investigaciones Cientificas y Tecnicas (CONICET); Comision Nacional de Energia Atomica (CNEA); University of Buenos Aires</t>
  </si>
  <si>
    <t>Santos, NA (corresponding author), Univ Buenos Aires, Fac Ciencias Exactas &amp; Nat, Dept Ciencias Atmosfera &amp; Oceanos, Intendente Guiraldes 2160,C1428EGA, RA-1428 Buenos Aires, Argentina.</t>
  </si>
  <si>
    <t>nsantos@at.fcen.uba.ar</t>
  </si>
  <si>
    <t>Gulisano, AM/HTQ-2717-2023; Dasso, Sergio/AAY-2543-2020; Gulisano, Adriana M./AAD-9554-2021</t>
  </si>
  <si>
    <t>Dasso, Sergio/0000-0002-7680-4721; Gulisano, Adriana M./0000-0002-2234-4432</t>
  </si>
  <si>
    <t>FONCyT-ANPCyT [PICT 2019-02754]; UBA [UBACyT-20020190100247BA]</t>
  </si>
  <si>
    <t>FONCyT-ANPCyT(ANPCyTFONCyT); UBA(University of Buenos Aires)</t>
  </si>
  <si>
    <t>This work was supported by the Argentinean grants PICT 2019-02754 (FONCyT-ANPCyT) and UBACyT-20020190100247BA (UBA). LAGO collaboration is very grateful to all the participating institutions and The Pierre Auger collaboration for their continuous support.</t>
  </si>
  <si>
    <t>10.1016/j.asr.2022.11.041</t>
  </si>
  <si>
    <t>9Q0KH</t>
  </si>
  <si>
    <t>WOS:000944662700001</t>
  </si>
  <si>
    <t>Wang, CF; Wang, XY; Xu, ZQ; Luo, GF; Chen, C; Li, HB; Liu, YP; Li, JY; He, JF; Chen, HX; Zhang, WC</t>
  </si>
  <si>
    <t>Wang, Chaofeng; Wang, Xiaoyu; Xu, Zhiqiang; Luo, Guangfu; Chen, Chao; Li, Haibo; Liu, Yunpeng; Li, Jingyuan; He, Jianfeng; Chen, Hongxia; Zhang, Wuchang</t>
  </si>
  <si>
    <t>Full-depth vertical distribution of planktonic ciliates (Ciliophora) and a novel bio-index for indicating habitat suitability of tintinnid in the Arctic Ocean</t>
  </si>
  <si>
    <t>Microzooplankton; Planktonic ciliates; Full-depth vertical distribution; Habitat suitability; Indicator; Water mass</t>
  </si>
  <si>
    <t>TROPICAL WEST PACIFIC; MEDITERRANEAN SEA; CHUKCHI SEA; BERING-SEA; SUMMER; WATER; COMMUNITIES; DIVERSITY; LORICA; MICROZOOPLANKTON</t>
  </si>
  <si>
    <t>Despite the planktonic ciliate importance in the microzooplankton compartment, their full-depth vertical dis-tribution in the Arctic Ocean was poorly documented as well as the related variations in different water masses. The full-depth community structure of planktonic ciliates was investigated in the Arctic Ocean during summer 2021. The ciliate abundance and biomass decreased rapidly from 200 m to bottom. Five water masses were identified throughout the water column and each one exhibited a unique ciliate community structure. Aloricate ciliates were singled out as the dominant group with average abundance proportion to total ciliates at each depth &gt;95%. Large (&gt;30 mu m) and small (10-20 mu m) size-fractions of aloricate ciliates were abundant in shallow and deep waters, respectively, which revealed an anti-phase relationship in vertical distribution. Three new record tintinnid species were found during this survey. Pacific-origin species Salpingella sp.1 and Arctic endemic species Ptychocylis urnula occupied the top abundance proportion in the Pacific Summer Water (44.7%) and three water masses (&gt;= 38.7%, Mixed Layer Water, Remnant Winter Water, Atlantic-origin Water), respectively. The habitat suitability of tintinnid abundant species was characterised by the Bio-index revealing a distinct death-zone for each species. Variations in survival habitat of abundant tintinnids can be regarded as indicators for the future Arctic climate change. These results provide fundamental data on the microzooplankton response to the intrusion of Pacific waters into the Arctic Ocean upon its rapid warming.</t>
  </si>
  <si>
    <t>[Wang, Chaofeng; Li, Haibo; Liu, Yunpeng; Li, Jingyuan; Zhang, Wuchang] Chinese Acad Sci, Inst Oceanol, CAS Key Lab Marine Ecol &amp; Environm Sci, Qingdao 266071, Peoples R China; [Wang, Chaofeng; Xu, Zhiqiang; Li, Haibo; Liu, Yunpeng; Li, Jingyuan; Zhang, Wuchang] Qingdao Natl Lab Marine Sci &amp; Technol, Lab Marine Ecol &amp; Environm Sci, Qingdao 266237, Peoples R China; [Wang, Chaofeng; Li, Haibo; Liu, Yunpeng; Li, Jingyuan; Zhang, Wuchang] Chinese Acad Sci, Ctr Ocean Mega Sci, Qingdao 266071, Peoples R China; [Wang, Xiaoyu] Ocean Univ China, Frontiers Sci Ctr Deep Ocean Multispheres &amp; Earth, Key Lab Phys Oceanog, Qingdao 266100, Peoples R China; [Xu, Zhiqiang] Chinese Acad Sci, Inst Oceanol, Jiaozhou Bay Marine Ecosyst Res Stn, Qingdao 266071, Peoples R China; [Luo, Guangfu; Chen, Chao; He, Jianfeng] Polar Res Inst China, Antarctic Great Wall Ecol Natl Observat &amp; Res Stn, Shanghai 200136, Peoples R China; [Chen, Hongxia] Minist Nat Resources, Inst Oceanog 1, Qingdao 266061, Peoples R China</t>
  </si>
  <si>
    <t>Chinese Academy of Sciences; Institute of Oceanology, CAS; Laoshan Laboratory; Chinese Academy of Sciences; Ocean University of China; Chinese Academy of Sciences; Institute of Oceanology, CAS; Polar Research Institute of China; Ministry of Natural Resources of the People's Republic of China; First Institute of Oceanography, Ministry of Natural Resources</t>
  </si>
  <si>
    <t>Zhang, WC (corresponding author), Chinese Acad Sci, Inst Oceanol, CAS Key Lab Marine Ecol &amp; Environm Sci, Qingdao 266071, Peoples R China.</t>
  </si>
  <si>
    <t>wuchangzhang@qdio.ac.cn</t>
  </si>
  <si>
    <t>li, jy/HTT-1535-2023; Wang, Xiaoyu/GXM-3262-2022</t>
  </si>
  <si>
    <t>National Natural Science Founda- tion of China [42206258]; Shandong Provincial Nat- ural Science Foundation [ZR2022QD022]; National Natural Science Foundation of China [41941012]; China Postdoctoral Science Foundation [2020M672149]; Applied Research Project for Postdoctoral in Qingdao</t>
  </si>
  <si>
    <t>National Natural Science Founda- tion of China(National Natural Science Foundation of China (NSFC)); Shandong Provincial Nat- ural Science Foundation(Natural Science Foundation of Shandong Province); National Natural Science Foundation of China(National Natural Science Foundation of China (NSFC)); China Postdoctoral Science Foundation(China Postdoctoral Science Foundation); Applied Research Project for Postdoctoral in Qingdao</t>
  </si>
  <si>
    <t>Funding This research was funded by the National Natural Science Founda- tion of China (grant number 42206258) , the Shandong Provincial Nat- ural Science Foundation (grant number ZR2022QD022) , the National Natural Science Foundation of China (Grant No. 41941012) , the China Postdoctoral Science Foundation (grant number 2020M672149) , and the Applied Research Project for Postdoctoral in Qingdao.</t>
  </si>
  <si>
    <t>10.1016/j.marenvres.2023.105924</t>
  </si>
  <si>
    <t>9P6ZI</t>
  </si>
  <si>
    <t>WOS:000944430600001</t>
  </si>
  <si>
    <t>Cai, WJ; Jia, F; Li, SJ; Purich, A; Wang, GJ; Wu, LX; Gan, BL; Santoso, A; Geng, T; Ng, B; Yang, Y; Ferreira, D; Meehl, GA; McPhaden, MJ</t>
  </si>
  <si>
    <t>Cai, Wenju; Jia, Fan; Li, Shujun; Purich, Ariaan; Wang, Guojian; Wu, Lixin; Gan, Bolan; Santoso, Agus; Geng, Tao; Ng, Benjamin; Yang, Yun; Ferreira, David; Meehl, Gerald A.; McPhaden, Michael J.</t>
  </si>
  <si>
    <t>Antarctic shelf ocean warming and sea ice melt affected by projected El Nino changes</t>
  </si>
  <si>
    <t>HEAT UPTAKE; SOUTHERN; DRIVEN; SYSTEM</t>
  </si>
  <si>
    <t>How the shelf ocean around Antarctica changes with warming is not well known. Here, the authors show that a projected increase in El Nino-Southern Oscillation variability accelerates warming of the Antarctic shelf ocean but slows warming around the sea ice edges, thus influencing ice melt. Antarctic shelf ocean warming affects melt of ice shelf/sheets and sea ice but projected changes vary vastly across climate models. A projected increase in El Nino variability has been found to slow future mid-latitude Southern Ocean warming but how this impacts the Antarctic shelf ocean is unknown. Here we show that a projected increase in El Nino variability accelerates Antarctic shelf ocean warming, hastening ice shelf/sheet melt but slowing sea ice reduction.</t>
  </si>
  <si>
    <t>[Cai, Wenju; Li, Shujun; Wang, Guojian; Wu, Lixin; Gan, Bolan] Ocean Univ China, Frontier Sci Ctr Deep Ocean Multispheres &amp; Earth S, Qingdao, Peoples R China; [Cai, Wenju; Li, Shujun; Wang, Guojian; Wu, Lixin; Gan, Bolan] Ocean Univ China, Phys Oceanog Lab, Qingdao, Peoples R China; [Cai, Wenju; Li, Shujun; Wang, Guojian; Wu, Lixin; Gan, Bolan; Geng, Tao] Laoshan Lab, Qingdao, Peoples R China; [Cai, Wenju; Wang, Guojian; Santoso, Agus; Ng, Benjamin] CSIRO Oceans &amp; Atmosphere, Ctr Southern Hemisphere Oceans Res CSHOR, Hobart, Australia; [Jia, Fan] Chinese Acad Sci, Inst Oceanol, CAS Key Lab Ocean Circulat &amp; Waves, Qingdao, Peoples R China; [Purich, Ariaan] Monash Univ, Sch Earth Atmosphere &amp; Environm, Melbourne, Australia; [Purich, Ariaan] ARC Special Res Initiat Securing Antarct Environm, Melbourne, Australia; [Santoso, Agus] Univ New South Wales, Australian Res Council ARC, Ctr Excellence Climate Extremes, Sydney, Australia; [Yang, Yun] Beijing Normal Univ, Coll Global Change &amp; Earth Syst Sci, Beijing, Peoples R China; [Ferreira, David] Univ Reading, Dept Meteorol, Reading, WA, England; [Meehl, Gerald A.] Natl Ctr Atmospher Res, Climate &amp; Global Dynam Lab, Boulder, CO USA</t>
  </si>
  <si>
    <t>Ocean University of China; Ocean University of China; Laoshan Laboratory; Commonwealth Scientific &amp; Industrial Research Organisation (CSIRO); Chinese Academy of Sciences; Institute of Oceanology, CAS; Monash University; University of New South Wales Sydney; Beijing Normal University; University of Reading; National Center Atmospheric Research (NCAR) - USA</t>
  </si>
  <si>
    <t>Cai, WJ; Wu, LX (corresponding author), Ocean Univ China, Frontier Sci Ctr Deep Ocean Multispheres &amp; Earth S, Qingdao, Peoples R China.;Cai, WJ; Wu, LX (corresponding author), Ocean Univ China, Phys Oceanog Lab, Qingdao, Peoples R China.;Cai, WJ; Wu, LX (corresponding author), Laoshan Lab, Qingdao, Peoples R China.;Cai, WJ (corresponding author), CSIRO Oceans &amp; Atmosphere, Ctr Southern Hemisphere Oceans Res CSHOR, Hobart, Australia.</t>
  </si>
  <si>
    <t>Wenju.Cai@csiro.au; lxwu@ouc.edu.cn</t>
  </si>
  <si>
    <t>McPhaden, Michael J/D-9799-2016; Cai, Wei-Jun/C-1361-2013; Ng, Benjamin/AAG-1306-2020; Wang, Guojian/AAF-9297-2020; Santoso, Agus/J-7350-2012; Ferreira, David/JJD-6133-2023; Ferreira, David/JNR-2354-2023</t>
  </si>
  <si>
    <t>Ng, Benjamin/0000-0002-4458-4592; Wang, Guojian/0000-0002-8881-7394; Purich, Ariaan/0000-0003-2248-5937; geng, tao/0000-0002-3385-7110; Santoso, Agus/0000-0001-7749-8124</t>
  </si>
  <si>
    <t>National Key Research and Development Program of China [2019YFC1509102, 41876008]; Science and Technology Innovation Project of Laoshan Laboratory [LSKJ202203302, LSKJ202202402]; Strategic Priority Research Program of the Chinese Academy of Sciences [XDB40030000]; Centre for Southern Hemisphere Oceans Research, a joint research centre between QNLM and CSIROCSIRO; National Natural Science Foundation of China (NSFC) [42006173, 41730534, 1852977]; Youth Innovation Promotion Association of the Chinese Academy of Sciences [2021205]; Australian Research Council Special Research Initiative for Securing Antarctica's Environmental Future [SR200100005]; Earth Systems and Climate Change Hub of the Australian Government's National Environmental Science Program; NSFC project [2206209]; China National Postdoctoral Program for Innovative Talents [BX20220279, 5447]; Regional and Global Model Analysis (RGMA) component of the Earth and Environmental System Modeling Program of the US Department of Energy's Office of Biological and Environmental Research (BER) via National Science Foundation [IA 1844590, DE-SC0022070]; National Center for Atmospheric Research - sponsored by the National Science Foundation (NSF) under Cooperative Agreement; CSIRO Library Services; [2020YFA0608801]</t>
  </si>
  <si>
    <t>National Key Research and Development Program of China; Science and Technology Innovation Project of Laoshan Laboratory; Strategic Priority Research Program of the Chinese Academy of Sciences(Chinese Academy of Sciences); Centre for Southern Hemisphere Oceans Research, a joint research centre between QNLM and CSIROCSIRO; National Natural Science Foundation of China (NSFC)(National Natural Science Foundation of China (NSFC)); Youth Innovation Promotion Association of the Chinese Academy of Sciences; Australian Research Council Special Research Initiative for Securing Antarctica's Environmental Future(Australian Research Council); Earth Systems and Climate Change Hub of the Australian Government's National Environmental Science Program; NSFC project(National Natural Science Foundation of China (NSFC)); China National Postdoctoral Program for Innovative Talents; Regional and Global Model Analysis (RGMA) component of the Earth and Environmental System Modeling Program of the US Department of Energy's Office of Biological and Environmental Research (BER) via National Science Foundation; National Center for Atmospheric Research - sponsored by the National Science Foundation (NSF) under Cooperative Agreement; CSIRO Library Services;</t>
  </si>
  <si>
    <t>This work was supported by the National Key Research and Development Program of China 2018YFA0605700, the Science and Technology Innovation Project of Laoshan Laboratory (LSKJ202203302, LSKJ202202402), the Strategic Priority Research Program of the Chinese Academy of Sciences (grant XDB40030000) and the Centre for Southern Hemisphere Oceans Research, a joint research centre between QNLM and CSIRO. F.J. was supported by the National Key Research and Development Program of China 2020YFA0608801, National Natural Science Foundation of China (NSFC) projects (41876008, 41730534) and Youth Innovation Promotion Association of the Chinese Academy of Sciences (2021205). S.L. was supported by the National Natural Science Foundation of China (NSFC) project 42006173 and the National Key Research and Development Program of China 2019YFC1509102. A.P. was supported by the Australian Research Council Special Research Initiative for Securing Antarctica's Environmental Future (SR200100005). G.W., B.N. and A.S. were supported by the Earth Systems and Climate Change Hub of the Australian Government's National Environmental Science Program. T.G. was supported by the NSFC project (2206209) and the China National Postdoctoral Program for Innovative Talents (BX20220279). PMEL contribution no. 5447. G.A.M. was supported by the Regional and Global Model Analysis (RGMA) component of the Earth and Environmental System Modeling Program of the US Department of Energy's Office of Biological and Environmental Research (BER) via National Science Foundation IA 1844590 and under Award Number DE-SC0022070, and also by the National Center for Atmospheric Research, which is a major facility sponsored by the National Science Foundation (NSF) under Cooperative Agreement No. 1852977. Open access funding provided by CSIRO Library Services. We thank the World Climate Research Programme's Working Group on Coupled Modelling, which led the design of CMIP6 and coordinated the work, and also individual climate modelling groups (listed in Supplementary Table 1) for their effort in model simulations and projections.</t>
  </si>
  <si>
    <t>10.1038/s41558-023-01610-x</t>
  </si>
  <si>
    <t>9T0HJ</t>
  </si>
  <si>
    <t>hybrid, Green Submitted, Green Accepted</t>
  </si>
  <si>
    <t>WOS:000939348000001</t>
  </si>
  <si>
    <t>Dyonisius, MN; Petrenko, VV; Smith, AM; Hmiel, B; Neff, PD; Yang, B; Hua, Q; Schmitt, J; Shackleton, SA; Buizert, C; Place, PF; Menking, JA; Beaudette, R; Harth, C; Kalk, M; Roop, HA; Bereiter, B; Armanetti, C; Vimont, I; Michel, SE; Brook, EJ; Severinghaus, JP; Weiss, RF; McConnell, JR</t>
  </si>
  <si>
    <t>Dyonisius, Michael N.; Petrenko, Vasilii V.; Smith, Andrew M.; Hmiel, Benjamin; Neff, Peter D.; Yang, Bin; Hua, Quan; Schmitt, Jochen; Shackleton, Sarah A.; Buizert, Christo; Place, Philip F.; Menking, James A.; Beaudette, Ross; Harth, Christina; Kalk, Michael; Roop, Heidi A.; Bereiter, Bernhard; Armanetti, Casey; Vimont, Isaac; Englund Michel, Sylvia; Brook, Edward J.; Severinghaus, Jeffrey P.; Weiss, Ray F.; McConnell, Joseph R.</t>
  </si>
  <si>
    <t>Using ice core measurements from Taylor Glacier, Antarctica, to calibrate in situ cosmogenic 14C production rates by muons</t>
  </si>
  <si>
    <t>POLAR ICE; CARBON-DIOXIDE; DOME ICE; CLIMATE HISTORY; ATMOSPHERIC CO2; DRY EXTRACTION; ANCIENT ICE; RADIOCARBON; (CO)-C-14; HOLOCENE</t>
  </si>
  <si>
    <t>Cosmic rays entering the Earth's atmosphere produce showers of secondary particles such as protons, neutrons, and muons. The interaction of these particles with oxygen-16 (O-16) in minerals such as ice and quartz can produce carbon-14 (C-14). In glacial ice, C-14 is also incorporated through trapping of C-14-containing atmospheric gases ((CO2)-C-14,(CO)-C- 14, and (CH4)-C-14). Understanding the production rates of in situ cosmogenic C-14 is important to deconvolve the in situ cosmogenic and atmospheric( 14)C signals in ice, both of which contain valuable paleoenvironmental information. Unfortunately, the in situ C-14 production rates by muons (which are the dominant production mechanism at depths of &gt; 6 m solid ice equivalent) are uncertain. In this study, we use measurements of in situ C-14 in ancient ice (&gt; 50 ka) from the Taylor Glacier, an ablation site in Antarctica, in combination with a 2D ice flow model to better constrain the compound-specific rates of C-14 production by muons and the partitioning of in situ( 14)C between CO2, CO, and CH4. Our measurements show that 33.7 % (+/- 11.4%; 95 % confidence interval) of the produced cosmogenic C-14 forms (CO)-C-14 and 66.1 % (+/- 11.5%; 95 % confidence interval) of the produced cosmogenic C-14 forms (CO2)-C-14. (CH4)-C-14 represents a very small fraction (&lt; 0.3%) of the total. Assuming that the majority of in situ muogenic 14C in ice forms (CO2)-C-14, (CO)-C-14, and (CH4)-C-14, we also calculated muogenic( 14)C production rates that are lower by factors of 5.7 (3.6-13.9; 95 % confidence interval) and 3.7 (2.0-11.9; 95 % confidence interval) for negative muon capture and fast muon interactions, respectively, when compared to values determined in quartz from laboratory studies (Heisinger et al., 2002a, b) and in a natural setting (Lupker et al., 2015). This apparent discrepancy in muogenic C-14 production rates in ice and quartz currently lacks a good explanation and requires further investigation.</t>
  </si>
  <si>
    <t>[Dyonisius, Michael N.; Petrenko, Vasilii V.; Hmiel, Benjamin; Neff, Peter D.; Place, Philip F.] Univ Rochester, Dept Earth &amp; Environm Sci, Rochester, NY 14627 USA; [Dyonisius, Michael N.] Univ Copenhagen, Niels Bohr Inst, Phys Ice Climate &amp; Earth, DK-2200 Copenhagen, Denmark; [Smith, Andrew M.; Yang, Bin; Hua, Quan] Australian Nucl Sci &amp; Technol Org ANSTO, CAS, Lucas Heights, NSW 2234, Australia; [Neff, Peter D.; Roop, Heidi A.] Univ Minnesota, Dept Soil Water &amp; Climate, St Paul, MN 55108 USA; [Schmitt, Jochen] Univ Bern, Phys Inst, Climate &amp; Environm Phys, CH-3012 Bern, Switzerland; [Schmitt, Jochen] Univ Bern, Oeschger Ctr Climate Change Res, CH-3012 Bern, Switzerland; [Shackleton, Sarah A.; Beaudette, Ross; Harth, Christina; Bereiter, Bernhard; Severinghaus, Jeffrey P.; Weiss, Ray F.] Univ Calif San Diego, SIO, La Jolla, CA 92037 USA; [Buizert, Christo; Menking, James A.; Kalk, Michael; Armanetti, Casey; Brook, Edward J.] University, Coll Earth Ocean &amp; Atmospher Sci, Corvallis, OR 97331 USA; [Vimont, Isaac; Englund Michel, Sylvia] Univ Colorado Boulder, Inst Arctic &amp; Alpine Res, Boulder, CO 80303 USA; [McConnell, Joseph R.] Desert Res Inst, Div Hydrol Sci, Reno, NV 89512 USA; [Hmiel, Benjamin] Environm Def Fund, Austin, TX USA; [Shackleton, Sarah A.] Princeton Univ, Dept Geosci, Princeton, NJ 08544 USA; [Place, Philip F.] Univ New Hampshire, Univ Instrumentat Ctr, Durham, NH 03824 USA; [Menking, James A.] Univ Tasmania, Australian Antarctic Partnership Program, Hobart, Tas, Australia; [Armanetti, Casey] Harvard Univ, Grad Sch Design, Cambridge, MA USA; [Vimont, Isaac] NOAA, Global Monitoring Div, Boulder, CO USA</t>
  </si>
  <si>
    <t>University of Rochester; University of Copenhagen; Niels Bohr Institute; Australian Nuclear Science &amp; Technology Organisation; University of Minnesota System; University of Minnesota Twin Cities; University of Bern; University of Bern; University of California System; University of California San Diego; University of Colorado System; University of Colorado Boulder; Nevada System of Higher Education (NSHE); Desert Research Institute NSHE; Environmental Defense Fund; Princeton University; University System Of New Hampshire; University of New Hampshire; University of Tasmania; Harvard University; National Oceanic Atmospheric Admin (NOAA) - USA</t>
  </si>
  <si>
    <t>Dyonisius, MN (corresponding author), Univ Rochester, Dept Earth &amp; Environm Sci, Rochester, NY 14627 USA.;Dyonisius, MN (corresponding author), Univ Copenhagen, Niels Bohr Inst, Phys Ice Climate &amp; Earth, DK-2200 Copenhagen, Denmark.</t>
  </si>
  <si>
    <t>michael.dyonisius@nbi.ku.dk</t>
  </si>
  <si>
    <t>Schmitt, Jochen/B-7893-2009; Michel, Sylvia/AAQ-2028-2020</t>
  </si>
  <si>
    <t>Schmitt, Jochen/0000-0003-4695-3029; Michel, Sylvia/0000-0002-5651-1163; Smith, Andrew/0000-0002-9193-2617; Dyonisius, Michael/0000-0001-8412-6724; Hmiel, Benjamin/0000-0002-5289-7492; Neff, Peter/0000-0003-1697-0936; Shackleton, Sarah/0000-0001-5927-1954</t>
  </si>
  <si>
    <t>Officeof Polar Programs [PLR-1245659, PLR-1245821, PLR-1246148]</t>
  </si>
  <si>
    <t>Officeof Polar Programs(National Science Foundation (NSF)NSF - Directorate for Geosciences (GEO))</t>
  </si>
  <si>
    <t>This research has been supported by the Officeof Polar Programs (grant nos. PLR-1245659, PLR-1245821, and PLR-1246148)</t>
  </si>
  <si>
    <t>10.5194/tc-17-843-2023</t>
  </si>
  <si>
    <t>9D8EO</t>
  </si>
  <si>
    <t>WOS:000936329700001</t>
  </si>
  <si>
    <t>Piva, SB; Barker, SJ; Newnham, RM; Rees, ABH; Wilson, CJN; Carter, L; Iverson, NA; Läuchli, B; Augustinus, PC</t>
  </si>
  <si>
    <t>Piva, Stephen B.; Barker, Simon J.; Newnham, Rewi M.; Rees, Andrew B. H.; Wilson, Colin J. N.; Carter, Lionel; Iverson, Nels A.; Läuchli, Benjamin; Augustinus, Paul C.</t>
  </si>
  <si>
    <t>Millimetre-scale pollen analysis of non-varved lacustrine sediments from Onepoto maar palaeolake, Auckland, reveals distal vegetation responses and landscape recovery following the ∼25.5-ka Oruanui supereruption, New Zealand</t>
  </si>
  <si>
    <t>JOURNAL OF QUATERNARY SCIENCE</t>
  </si>
  <si>
    <t>Auckland maar lakes; Oruanui supereruption; pollen analysis; vegetation dynamics; volcanic disturbance</t>
  </si>
  <si>
    <t>LAST GLACIAL MAXIMUM; NORTHERN NEW-ZEALAND; ANTARCTIC ICE CORES; ENVIRONMENTAL-CHANGE; VOLCANIC-ERUPTIONS; LATE-HOLOCENE; CLIMATE VARIABILITY; TAUPO ERUPTION; LAKE PUPUKE; TEPHRA</t>
  </si>
  <si>
    <t>The similar to 25.5-ka Oruanui supereruption (Taupo volcano, New Zealand) erupted &gt;1100 km(3) of pyroclastic material during the Last Glacial Maximum. The impacts of this event on climate and the New Zealand environment remain unresolved, particularly on ecological timescales. Using sediment cores from Onepoto maar palaeolake, Auckland (similar to 240 km upwind from source), we have analysed pollen assemblages at contiguous 1-mm intervals, around an intact 3-cm layer of the Kawakawa-Oruanui Tephra to resolve and assess post-eruption vegetation impacts and landscape recovery. Sediments immediately above the tephra record a decline in the relative abundance of the dominant canopy species of Fuscospora, and concurrent increase in the abundances of grasses, herbs, ferns and shrubs. These changes reflect a brief (&lt;10 years) part-defoliation of canopy trees, permitting more light to penetrate and to encourage sub-canopy vegetation growth. A short-lived volcanogenic cooling inferred from Antarctic ice core records may have contributed to the changes but cannot be separated from the immediate and direct ecological impacts of ashfall on vegetation following the eruption. Our results, here applied to the world's most recent supereruption, more generally demonstrate the value of millimetre-scale stratigraphic pollen analysis from non-varved lacustrine sediments as a tool for assessing past eruptive impacts on sub-decadal timescales.</t>
  </si>
  <si>
    <t>[Piva, Stephen B.; Barker, Simon J.; Newnham, Rewi M.; Rees, Andrew B. H.; Wilson, Colin J. N.] Victoria Univ Wellington, Sch Geog Environm &amp; Earth Sci, Wellington, New Zealand; [Carter, Lionel] Victoria Univ Wellington, Antarctic Res Ctr, Wellington, New Zealand; [Iverson, Nels A.] New Mexico Inst Min &amp; Technol, New Mexico Bur Geol &amp; Mineral Resources, Socorro, NM USA; [Läuchli, Benjamin; Augustinus, Paul C.] Univ Auckland, Sch Environm, Auckland, New Zealand</t>
  </si>
  <si>
    <t>Victoria University Wellington; Victoria University Wellington; New Mexico Institute of Mining Technology; University of Auckland</t>
  </si>
  <si>
    <t>Piva, SB (corresponding author), Victoria Univ Wellington, Sch Geog Environm &amp; Earth Sci, Wellington, New Zealand.</t>
  </si>
  <si>
    <t>stephen.piva@vuw.ac.nz</t>
  </si>
  <si>
    <t>; Rees, Andrew/Q-1417-2017; Wilson, Colin/E-9457-2011</t>
  </si>
  <si>
    <t>Augustinus, Paul/0000-0002-1391-2151; Piva, Stephen/0000-0003-4346-2048; Rees, Andrew/0000-0003-4026-7765; Barker, Simon/0000-0002-3090-1403; Wilson, Colin/0000-0001-7565-0743; Iverson, Nels/0000-0002-7110-5040</t>
  </si>
  <si>
    <t>Marsden Fund of the Royal Society Te Aparangi [UOA1415]; DEtermining VOlcanic Risk in Auckland (DEVORA) programme; Eruption or Catastrophe: Learning to Implement Preparedness for future Supervolcano Eruptions (ECLIPSE) programme - Ministry of Business Innovation and Employment [RTVU 1704]; Marsden Fund of the Royal Society Te Aparangi (VUW) [2111]; Wiley - Victoria University of Wellington agreement via the Council of Australian University Librarians</t>
  </si>
  <si>
    <t>Marsden Fund of the Royal Society Te Aparangi(Royal Society of New Zealand); DEtermining VOlcanic Risk in Auckland (DEVORA) programme; Eruption or Catastrophe: Learning to Implement Preparedness for future Supervolcano Eruptions (ECLIPSE) programme - Ministry of Business Innovation and Employment; Marsden Fund of the Royal Society Te Aparangi (VUW)(Royal Society of New Zealand); Wiley - Victoria University of Wellington agreement via the Council of Australian University Librarians</t>
  </si>
  <si>
    <t>We thank Takeshi Nakagawa for advice on sub-sampling, Xun Li, Roger Tremain and Valerie van den Bos for advice on pollen processing, William Henriquez Gonzalez for assistance with slide preparation, Drew Lorrey for preparing sediment monoliths and microscope access, Charlotte Pizer for advice on Bayesian age-depth modelling, Laura Seelig for advice on data presentation, and Matt Ryan, Nelia Dunbar, Michael Sigl, Holly Winton and Kirstin Krueger for critical discussions about the environmental and climatic impacts of supereruptions. The drilling, curation and tephrochronology of the On2018A and On2018B cores were co-funded by the Marsden Fund of the Royal Society Te Aparangi (UOA1415) and the DEtermining VOlcanic Risk in Auckland (DEVORA) programme. We acknowledge support from the Eruption or Catastrophe: Learning to Implement Preparedness for future Supervolcano Eruptions (ECLIPSE) programme funded by the Ministry of Business Innovation and Employment (RTVU 1704) and the Marsden Fund of the Royal Society Te Aparangi (VUW 2111). Open access publishing facilitated by Victoria University of Wellington, as part of the Wiley - Victoria University of Wellington agreement via the Council of Australian University Librarians.</t>
  </si>
  <si>
    <t>0267-8179</t>
  </si>
  <si>
    <t>1099-1417</t>
  </si>
  <si>
    <t>J QUATERNARY SCI</t>
  </si>
  <si>
    <t>J. Quat. Sci.</t>
  </si>
  <si>
    <t>10.1002/jqs.3506</t>
  </si>
  <si>
    <t>K8QP1</t>
  </si>
  <si>
    <t>WOS:000935576200001</t>
  </si>
  <si>
    <t>Brum, AS; Eleuterio, LHS; Simoes, TR; Whitney, MR; Souza, GA; Sayao, JM; Kellner, AWA</t>
  </si>
  <si>
    <t>Brum, Arthur S.; Eleuterio, Lucia H. S.; Simoes, Tiago R.; Whitney, Megan R.; Souza, Geovane A.; Sayao, Juliana M.; Kellner, Alexander W. A.</t>
  </si>
  <si>
    <t>Ankylosaurian body armor function and evolution with insights from osteohistology and morphometrics of new specimens from the Late Cretaceous of Antarctica</t>
  </si>
  <si>
    <t>PALEOBIOLOGY</t>
  </si>
  <si>
    <t>JAMES-ROSS-ISLAND; ORNITHISCHIA OSTEODERMS; MECHANICAL-BEHAVIOR; DINOSAUR; HISTOLOGY; SKELETON; SYSTEMATICS; EXAPTATION; PATTERNS</t>
  </si>
  <si>
    <t>The body armor of ankylosaurians is a unique morphological feature among dinosaurs. While ankylosaurian body armor has been studied for decades, paleohistological analyses have only started to uncover the details of its function. Yet there has been an overall bias toward sampling ankylosaurian remains from the Northern Hemisphere, with limited quantitative studies on the morphological and functional evolution of the osteoderms composing their body armor. Here, we describe new ankylosaurian materials recovered from the Late Cretaceous of Antarctica that, in combination with data compiled from the literature, reveal new insights into the evolution of the ankylosaurian body armor. Based on histological microstructure and phylogenetic results, the new Antarctic material can be assigned to Nodosauridae. This group shares the absence/poor development of their osteodermal basal cortex and highly ordered sets of orthogonal structural fibers in the superficial cortex. Our morphospace analyses indicate that large morphological diversity is observed among both nodosaurids and ankylosaurids, but osteoderms became more functionally specialized in late-diverging nodosaurids. Besides acting as effective protection against predation, osteoderms also exhibit highly ordered structural fibers in nodosaurids, enabling a decrease in cortical bone thickness (as in titanosaurs), which could have been co-opted for secondary functions, such as calcium remobilization for physiological balance. The latter may have played a key role in nodosaurid colonization of high-latitude environments, such as Antarctica and the Arctic Circle.</t>
  </si>
  <si>
    <t>[Brum, Arthur S.; Souza, Geovane A.; Sayao, Juliana M.] Univ Fed Rio Janeiro, Dept Geol &amp; Paleontol, Lab Paleobiol &amp; Paleogeog Antart, Museu Nacl, BR-20940040 Rio De Janeiro, RJ, Brazil; [Eleuterio, Lucia H. S.] UFPE, Ctr Academ Vitoria, Lab Paleobiol &amp; Microestruturas, Alto do Reservatorio, S-N,Vitoria St Antao, BR-55608680 Rio De Janeiro, PE, Brazil; [Simoes, Tiago R.] Harvard Univ, Dept Organism &amp; Evolutionary Biol, Museum Comparat Zool, Cambridge, MA 02138 USA; [Whitney, Megan R.] Loyola Univ Chicago, Dept Biol, Chicago, IL 60660 USA; [Kellner, Alexander W. A.] LAPUG, Dept Geol &amp; Paleontol, Museu Nacl UniversidadeFederal Rio Janeiro, Quinta Boa Vista S-N, BR-20940040 Rio De Janeiro, RJ, Brazil</t>
  </si>
  <si>
    <t>Universidade Federal de Pernambuco; Harvard University; Loyola University Chicago</t>
  </si>
  <si>
    <t>Brum, AS (corresponding author), Univ Fed Rio Janeiro, Dept Geol &amp; Paleontol, Lab Paleobiol &amp; Paleogeog Antart, Museu Nacl, BR-20940040 Rio De Janeiro, RJ, Brazil.;Simoes, TR (corresponding author), Harvard Univ, Dept Organism &amp; Evolutionary Biol, Museum Comparat Zool, Cambridge, MA 02138 USA.</t>
  </si>
  <si>
    <t>arthursbc@yahoo.com.br; luciahelenaeb@gmail.com; tsimoes@fas.harvard.edu; mwhitney@luc.edu; geoosoouza@gmail.com; jmsayao@mn.ufrj.br; kellner@mn.ufrj.br</t>
  </si>
  <si>
    <t>Souza, Geovane Alves de/HTN-7985-2023; Simões, Tiago/JWP-3237-2024</t>
  </si>
  <si>
    <t>Souza, Geovane Alves de/0000-0003-0979-1526; Simões, Tiago/0000-0003-4716-649X; da Costa, Arthur Souza Brum/0000-0003-3927-0318; Sayao, juliana/0000-0002-3619-0323</t>
  </si>
  <si>
    <t>Programa Antartico Brasileiro (PROANTAR) through the Conselho Nacional de Desenvolvimento Cientifico e Tecnologico (CNPq) [420687/2016-5, 313461/2018-0, 314222/2020-0]; Coordenacao de Aperfeicoamento de Pessoal de Nivel Superior (CAPES) [88887.336584/2019-00]; Fundacao de Desenvolvimento Carlos Chagas Filho de Amparo a Pesquisa do Estado do Rio de Janeiro (FAPERJ) [E-26/202.905/2018]; Natural Sciences and Engineering Research Council of Canada (NSERC)</t>
  </si>
  <si>
    <t>Programa Antartico Brasileiro (PROANTAR) through the Conselho Nacional de Desenvolvimento Cientifico e Tecnologico (CNPq)(Conselho Nacional de Desenvolvimento Cientifico e Tecnologico (CNPQ)Fundacao de Apoio a Pesquisa do Distrito Federal (FAPDF)); Coordenacao de Aperfeicoamento de Pessoal de Nivel Superior (CAPES)(Coordenacao de Aperfeicoamento de Pessoal de Nivel Superior (CAPES)); Fundacao de Desenvolvimento Carlos Chagas Filho de Amparo a Pesquisa do Estado do Rio de Janeiro (FAPERJ)(Fundacao Carlos Chagas Filho de Amparo a Pesquisa do Estado do Rio De Janeiro (FAPERJ)); Natural Sciences and Engineering Research Council of Canada (NSERC)(Natural Sciences and Engineering Research Council of Canada (NSERC))</t>
  </si>
  <si>
    <t>This project was supported by Programa Antartico Brasileiro (PROANTAR) through the Conselho Nacional de Desenvolvimento Cientifico e Tecnologico (CNPq: grant nos. 420687/2016-5 and 313461/2018-0 to A.W.A.K.; no. 314222/2020-0 to J.M.S.) and Coordenacao de Aperfeicoamento de Pessoal de Nivel Superior (CAPES: PROANTAR fellowship no. 88887.336584/2019-00 to A.S.B.). A.W.A.K. acknowledges funding from Fundacao de Desenvolvimento Carlos Chagas Filho de Amparo a Pesquisa do Estado do Rio de Janeiro (FAPERJ no. E-26/202.905/2018) and T.R.S. acknowledges a postdoctoral fellowship provided by the Natural Sciences and Engineering Research Council of Canada (NSERC). We thank T. M. Scheyer, T. G. Frauenfelder, an anonymous reviewer, and N. Campione for comments that helped improve the quality of the article. We acknowledge the Willi Henning Society for the free availability of the software TNT. The team of the PALEOANTAR Project thanks the entire NApOc Ary Rongel military group and the pilots of the HU-1 helicopter squadron for their logistic support during fieldwork on the Antarctic Peninsula.</t>
  </si>
  <si>
    <t>0094-8373</t>
  </si>
  <si>
    <t>1938-5331</t>
  </si>
  <si>
    <t>Paleobiology</t>
  </si>
  <si>
    <t>PII S0094837323000040</t>
  </si>
  <si>
    <t>10.1017/pab.2023.4</t>
  </si>
  <si>
    <t>Biodiversity Conservation; Ecology; Evolutionary Biology; Paleontology</t>
  </si>
  <si>
    <t>Biodiversity &amp; Conservation; Environmental Sciences &amp; Ecology; Evolutionary Biology; Paleontology</t>
  </si>
  <si>
    <t>U7DK6</t>
  </si>
  <si>
    <t>WOS:000935763200001</t>
  </si>
  <si>
    <t>Gabarró, C; Hughes, N; Wilkinson, J; Bertino, L; Bracher, A; Diehl, T; Dierking, W; Gonzalez-Gambau, V; Lavergne, T; Madurell, T; Malnes, E; Wagner, PM</t>
  </si>
  <si>
    <t>Gabarro, Carolina; Hughes, Nick; Wilkinson, Jeremy; Bertino, Laurent; Bracher, Astrid; Diehl, Thomas; Dierking, Wolfgang; Gonzalez-Gambau, Veronica; Lavergne, Thomas; Madurell, Teresa; Malnes, Eirik; Wagner, Penelope Mae</t>
  </si>
  <si>
    <t>Improving satellite-based monitoring of the polar regions: Identification of research and capacity gaps</t>
  </si>
  <si>
    <t>polar observations; satellite remote sensing; Copernicus; citizen science; Arctic; recommendation for stakeholders</t>
  </si>
  <si>
    <t>SEA-ICE CONCENTRATION; APERTURE RADAR IMAGERY; BRIGHTNESS TEMPERATURES; ESTIMATION ALGORITHM; DEFORMATION STATE; ARCTIC-OCEAN; SURFACE; DRIFT; RETRIEVAL; SNOW</t>
  </si>
  <si>
    <t>We present a comprehensive review of the current status of remotely sensed and in situ sea ice, ocean, and land parameters acquired over the Arctic and Antarctic and identify current data gaps through comparison with the portfolio of products provided by Copernicus services. While we include several land parameters, the focus of our review is on the marine sector. The analysis is facilitated by the outputs of the KEPLER H2020 project. This project developed a road map for Copernicus to deliver an improved European capacity for monitoring and forecasting of the Polar Regions, including recommendations and lessons learnt, and the role citizen science can play in supporting Copernicus' capabilities and giving users ownership in the system. In addition to summarising this information we also provide an assessment of future satellite missions (in particular the Copernicus Sentinel Expansion Missions), in terms of the potential enhancements they can provide for environmental monitoring and integration/assimilation into modelling/forecast products. We identify possible synergies between parameters obtained from different satellite missions to increase the information content and the robustness of specific data products considering the end-users requirements, in particular maritime safety. We analyse the potential of new variables and new techniques relevant for assimilation into simulations and forecasts of environmental conditions and changes in the Polar Regions at various spatial and temporal scales. This work concludes with several specific recommendations to the EU for improving the satellite-based monitoring of the Polar Regions.</t>
  </si>
  <si>
    <t>[Gabarro, Carolina; Gonzalez-Gambau, Veronica; Madurell, Teresa] CSIC, Barcelona Expert Ctr BEC, Barcelona, Spain; [Gabarro, Carolina; Gonzalez-Gambau, Veronica; Lavergne, Thomas] CSIC, Inst Marine Sci ICM, Barcelona, Spain; [Hughes, Nick; Wagner, Penelope Mae] Norwegian Meteorol Inst, Norwegian Ice Serv, Tromso, Norway; [Wilkinson, Jeremy] British Antarctic Survey, Cambridge, England; [Bertino, Laurent] Nansen Environm &amp; Remote Sensing Ctr, Bergen, Norway; [Bertino, Laurent] NERSC, Bjerknes Ctr Climate Res, Bergen, Norway; [Bracher, Astrid; Dierking, Wolfgang] Alfred Wegener Inst, Helmholtz Ctr Polar &amp; Marine Res, Bremerhaven, Germany; [Bracher, Astrid] Univ Bremen, Inst Environm Phys, Bremen, Germany; [Diehl, Thomas] European Commiss, Joint Res Ctr, Ispra, Italy; [Dierking, Wolfgang] UiT Arctic Univ Norway, Tromso, Norway; [Lavergne, Thomas] Norwegian Meteorol Inst, Res &amp; Dev Dept, Oslo, Norway; [Malnes, Eirik] NORCE Norwegian Res Ctr AS, Oslo, Norway</t>
  </si>
  <si>
    <t>Consejo Superior de Investigaciones Cientificas (CSIC); Consejo Superior de Investigaciones Cientificas (CSIC); CSIC - Centro Mediterraneo de Investigaciones Marinas y Ambientales (CMIMA); CSIC - Instituto de Ciencias del Mar (ICM); Norwegian Meteorological Institute; UK Research &amp; Innovation (UKRI); Natural Environment Research Council (NERC); NERC British Antarctic Survey; Nansen Environmental &amp; Remote Sensing Center (NERSC); Nansen Environmental &amp; Remote Sensing Center (NERSC); Bjerknes Centre for Climate Research; Helmholtz Association; Alfred Wegener Institute, Helmholtz Centre for Polar &amp; Marine Research; University of Bremen; European Commission Joint Research Centre; EC JRC ISPRA Site; UiT The Arctic University of Tromso; Norwegian Meteorological Institute; Norwegian Research Centre (NORCE)</t>
  </si>
  <si>
    <t>Gabarró, C (corresponding author), CSIC, Barcelona Expert Ctr BEC, Barcelona, Spain.;Gabarró, C (corresponding author), CSIC, Inst Marine Sci ICM, Barcelona, Spain.</t>
  </si>
  <si>
    <t>cgabarro@icm.csic.es</t>
  </si>
  <si>
    <t>Bertino, Laurent/H-9395-2014; Gabarro, Carolina/N-3526-2014; amplification, ³ - Arctic/AAU-6640-2020</t>
  </si>
  <si>
    <t>Bertino, Laurent/0000-0002-1220-7207; Madurell, Teresa/0000-0002-3971-6773; Lavergne, Thomas/0000-0002-9498-4551</t>
  </si>
  <si>
    <t>EU [4000127533/19/I-NS, 268020496-TRR 172]; ESA S5P + Innovation Theme 7 Ocean Colour 532; DFG; [H2020-SPACE-2018-2020]</t>
  </si>
  <si>
    <t>EU(European Union (EU)); ESA S5P + Innovation Theme 7 Ocean Colour 532; DFG(German Research Foundation (DFG));</t>
  </si>
  <si>
    <t>This work has been done under the EU Horizon 2020 Coordination and Support Action (CSA) projecte KEPLER, H2020-SPACE-2018-2020, grant agreement No. 821984, which run from January 2019 to 30 June 2021. The contirbution by AB was further funded by the ESA S5P + Innovation Theme 7 Ocean Colour 532 (S5POC) project (No 4000127533/19/I-NS) and the DFG #268020496-TRR 172 project C03 within the Transregional Collaborative Research Center ArctiC Amplication: Climate Relevant Atmospheric and SurfaCe Processes, and Feedback Mechanisms (AC3).</t>
  </si>
  <si>
    <t>FEB 17</t>
  </si>
  <si>
    <t>10.3389/frsen.2023.952091</t>
  </si>
  <si>
    <t>R3GM1</t>
  </si>
  <si>
    <t>WOS:001063268400001</t>
  </si>
  <si>
    <t>Li, DW; DeConto, RM; Pollard, D</t>
  </si>
  <si>
    <t>Li, Dawei; DeConto, Robert M.; Pollard, David</t>
  </si>
  <si>
    <t>Climate model differences contribute deep uncertainty in future Antarctic ice loss</t>
  </si>
  <si>
    <t>SEA-LEVEL; CLIFF INSTABILITY; MASS-BALANCE; SHEET</t>
  </si>
  <si>
    <t>Future projections of ice sheets in response to different climate scenarios and their associated contributions to sea level changes are subject to deep uncertainty due to ice sheet instability processes, hampering a proper risk assessment of sea level rise and enaction of mitigation/adaptation strategies. For a systematic evaluation of the uncertainty due to climate model fields used as input to the ice sheet models, we drive a three-dimensional model of the Antarctic Ice Sheet (AIS) with the output from 36 climate models to simulate past and future changes in the AIS. Simulations show that a few climate models result in partial collapse of the West AIS under modeled preindustrial climates, and the spread in future changes in the AIS's volume is comparable to the structural uncertainty originating from differing ice sheet models. These results highlight the need for im-proved representations of physical processes important for polar climate in climate models.</t>
  </si>
  <si>
    <t>[Li, Dawei] Shanghai Jiao Tong Univ, Sch Oceanog, Shanghai 200030, Peoples R China; [Li, Dawei; DeConto, Robert M.; Pollard, David] Univ Massachusetts Amherst, Dept Geosci, Amherst, MA 01003 USA; [Li, Dawei] Polar Res Inst China, MNR Key Lab Polar Sci, Shanghai 200136, Peoples R China; [Li, Dawei] Shanghai Jiao Tong Univ, Shanghai Key Lab Polar Life &amp; Environm Sci, Shanghai 200030, Peoples R China; [Pollard, David] Penn State Univ, Earth &amp; Environm Syst Inst, University Pk, PA 16802 USA</t>
  </si>
  <si>
    <t>Shanghai Jiao Tong University; University of Massachusetts System; University of Massachusetts Amherst; Polar Research Institute of China; Shanghai Jiao Tong University; Pennsylvania Commonwealth System of Higher Education (PCSHE); Pennsylvania State University; Pennsylvania State University - University Park</t>
  </si>
  <si>
    <t>Li, DW (corresponding author), Shanghai Jiao Tong Univ, Sch Oceanog, Shanghai 200030, Peoples R China.;Li, DW (corresponding author), Univ Massachusetts Amherst, Dept Geosci, Amherst, MA 01003 USA.;Li, DW (corresponding author), Polar Res Inst China, MNR Key Lab Polar Sci, Shanghai 200136, Peoples R China.;Li, DW (corresponding author), Shanghai Jiao Tong Univ, Shanghai Key Lab Polar Life &amp; Environm Sci, Shanghai 200030, Peoples R China.</t>
  </si>
  <si>
    <t>lidavvei@sjtu.edu.cn</t>
  </si>
  <si>
    <t>Li, Dawei/0000-0002-4886-9173</t>
  </si>
  <si>
    <t>National Natural Science Foundation of China [41888101]; National Science Foundation [1664013, 2035080]; NASA Sea Level Change Team [80NSSC17K0698]; Natural Science Foundation of Shanghai [22ZR1430500]; Shanghai Frontiers Science Center of Polar Science</t>
  </si>
  <si>
    <t>National Natural Science Foundation of China(National Natural Science Foundation of China (NSFC)); National Science Foundation(National Science Foundation (NSF)); NASA Sea Level Change Team; Natural Science Foundation of Shanghai(Natural Science Foundation of Shanghai); Shanghai Frontiers Science Center of Polar Science</t>
  </si>
  <si>
    <t>&amp; nbsp;This research was supported by the National Natural Science Foundation of China under grant 41888101, by the National Science Foundation under awards 1664013 and 2035080, and by a grant to the NASA Sea Level Change Team 80NSSC17K0698. D.L. was supported by the Natural Science Foundation of Shanghai under award 22ZR1430500 and by a grant to the Shanghai Frontiers Science Center of Polar Science.&amp; nbsp;</t>
  </si>
  <si>
    <t>eadd7082</t>
  </si>
  <si>
    <t>10.1126/sciadv.add7082</t>
  </si>
  <si>
    <t>L0SK1</t>
  </si>
  <si>
    <t>WOS:001020437200012</t>
  </si>
  <si>
    <t>Yang, Q; Guo, J; Zhang, S; Guan, FC; Yu, Y; Feng, S; Yao, Q; Bao, D</t>
  </si>
  <si>
    <t>Yang, Qiang; Guo, Jing; Zhang, Sen; Guan, Fucheng; Yu, Yue; Feng, Shi; Yao, Qiang; Bao, Da</t>
  </si>
  <si>
    <t>Improved biomedical bioactivity of polyvinyl alcohol/polyethylene oxide composite system-based nanofiber membranes via incorporating Antarctic krill protein</t>
  </si>
  <si>
    <t>EUROPEAN POLYMER JOURNAL</t>
  </si>
  <si>
    <t>Polyvinyl alcohol; Polyethylene oxide; Secondary structure; Hydrogen bonding; Cell adhesion; Electrospinning</t>
  </si>
  <si>
    <t>POLYMERS; DELIVERY; GELATION</t>
  </si>
  <si>
    <t>Polyvinyl alcohol (PVA) and polyethylene oxide (PEO) nanofiber membranes with high porosity and specific surface area supply a suitable structural environment for cell growth, however the difficulty of cells adhesion to and growth has tremendously limited their application in biomedical materials. In this work, by incorporating Antarctic krill protein (AKP), the problem in cells adhesion and growth is successfully addressed for PVA/PEO nanofiber membranes. Meanwhile, it is worth noting that the problem that AKP is difficult to prepare nanofibers by electrospinning process is also effectively avoided. The intermolecular interactions ensure the uniform dispersion of AKP in the nanofiber membranes. And both the crystal structure content of nanofiber membranes and the ordered secondary structure content of AKP reach the maximum values of 37.41 % and 52.17 % at the AKP content of 20 %. The tensile strength is improved by 13.46 % notably. More importantly, the introduction of AKP enhances cell proliferation and viability and adds more recognition sites for cell attachment, solving the problem of difficult cell adhesion and growth. Thus, as-prepared nanofiber membranes containing AKP can supply suitable structural environment and excellent biocompatibility, for cell growth and reproduction. It is expected to be an essential candidate in biomedical materials with potential application prospects.</t>
  </si>
  <si>
    <t>[Yang, Qiang; Guo, Jing; Zhang, Sen; Guan, Fucheng; Yu, Yue; Feng, Shi; Yao, Qiang; Bao, Da] Dalian Polytech Univ, Sch Text &amp; Mat Engn, Dalian 116034, Liaoning, Peoples R China; [Zhang, Sen] Qingdao Univ, State Key Lab Biofibers &amp; Ecotext, Qingdao 266071, Peoples R China</t>
  </si>
  <si>
    <t>Dalian Polytechnic University; Qingdao University</t>
  </si>
  <si>
    <t>Guo, J; Zhang, S (corresponding author), Dalian Polytech Univ, Sch Text &amp; Mat Engn, Dalian 116034, Liaoning, Peoples R China.</t>
  </si>
  <si>
    <t>guojing8161@163.com; 20430155@qq.com</t>
  </si>
  <si>
    <t>guan, fucheng/IXN-7582-2023; Yang, Qiang/AEC-5391-2022</t>
  </si>
  <si>
    <t>guan, fucheng/0009-0003-0528-6829; Yang, Qiang/0000-0001-8367-1755</t>
  </si>
  <si>
    <t>National Natural Science Foundation of China [51773024]; Science Foundation of Education Department of Liaoning [J2020046]; Scientific Research Funding Project of Education Department of Liaoning Province [J2020047]; Green Yu Fund of China Chemical Fiber Industry Association [CCFA-LVYU-9-02]; Education Department of Liaoning Province Young Scientific and Technological Talents Seedling Project [J2020105]; National Key Laboratory of Bio-Polysaccharide Fiber Forming and Ecological Textiles [K2019-05]</t>
  </si>
  <si>
    <t>National Natural Science Foundation of China(National Natural Science Foundation of China (NSFC)); Science Foundation of Education Department of Liaoning; Scientific Research Funding Project of Education Department of Liaoning Province; Green Yu Fund of China Chemical Fiber Industry Association; Education Department of Liaoning Province Young Scientific and Technological Talents Seedling Project; National Key Laboratory of Bio-Polysaccharide Fiber Forming and Ecological Textiles</t>
  </si>
  <si>
    <t>This work was supported by the National Natural Science Foundation of China (51773024) , the Science Foundation of Education Department of Liaoning (J2020046) , the Scientific Research Funding Project of Education Department of Liaoning Province (J2020047) , the Green Yu Fund of China Chemical Fiber Industry Association (CCFA-LVYU-9-02) , the Education Department of Liaoning Province Young Scientific and Technological Talents Seedling Project (J2020105) and the National Key Laboratory of Bio-Polysaccharide Fiber Forming and Ecological Textiles (K2019-05) .</t>
  </si>
  <si>
    <t>0014-3057</t>
  </si>
  <si>
    <t>1873-1945</t>
  </si>
  <si>
    <t>EUR POLYM J</t>
  </si>
  <si>
    <t>Eur. Polym. J.</t>
  </si>
  <si>
    <t>10.1016/j.eurpolymj.2023.111888</t>
  </si>
  <si>
    <t>9T3MP</t>
  </si>
  <si>
    <t>WOS:000946934700001</t>
  </si>
  <si>
    <t>Bondareva, O; Petrova, T; Bodrov, S; Gavrilo, M; Smorkatcheva, A; Abramson, N</t>
  </si>
  <si>
    <t>Bondareva, Olga; Petrova, Tatyana; Bodrov, Semen; Gavrilo, Maria; Smorkatcheva, Antonina; Abramson, Natalia</t>
  </si>
  <si>
    <t>How voles adapt to subterranean lifestyle: Insights from RNA-seq</t>
  </si>
  <si>
    <t>selective pressure; protein-coding genes; subterranean voles; subterranean lifestyle; Arvicolinae; RNA-seq</t>
  </si>
  <si>
    <t>ARBORIMUS-LONGICAUDUS; METABOLIC-RATE; DNA-REPAIR; MITOCHONDRIAL; SUBSTITUTION; EVOLUTION; SELECTION; RECONSTRUCTION; ADAPTATIONS; GENERATION</t>
  </si>
  <si>
    <t>Life under the earth surface is highly challenging and associated with a number of morphological, physiological and behavioral modifications. Subterranean niche protects animals from predators, fluctuations in environmental parameters, but is characterized by high levels of carbon dioxide and low levels of oxygen and implies high energy requirements associated with burrowing. Moreover, it lacks most of the sensory inputs available above ground. The current study describes results from RNA-seq analysis of four subterranean voles from subfamily Arvicolinae: Prometheomys schaposchnikowi, Ellobius lutescens, Terricola subterraneus, and Lasiopodomys mandarinus. Original RNA-seq data were obtained for eight species, for nine species, SRA data were downloaded from the NCBI SRA database. Additionally assembled transcriptomes of Mynomes ochrogaster and Cricetulus griseus were included in the analysis. We searched for the selection signatures and parallel amino acid substitutions in a total of 19 species. Even within this limited data set, we found significant changes of dN/dS ratio by free-ratio model analysis for subterranean Arvicolinae. Parallel substitutions were detected in genes RAD23B and PYCR2. These genes are associated with DNA repair processes and response to oxidative stress. Similar substitutions were discovered in the RAD23 genes for highly specialized subterranean Heterocephalus glaber and Fukomys damarensis. The most pronounced signatures of adaptive evolution related to subterranean niche within species of Arvicolinae subfamily were detected for Ellobius lutescens. Our results suggest that genomic adaptations can occur very quickly so far as the amount of selection signatures was found to be compliant with the degree of specialization to the subterranean niche and independent from the evolutionary age of the taxon. We found that the number of genomic signatures of selection does not depend on the age of the taxon, but is positively correlated with the degree of specialization to the subterranean niche.</t>
  </si>
  <si>
    <t>[Bondareva, Olga; Petrova, Tatyana; Bodrov, Semen; Abramson, Natalia] RAS, Zool Inst, Lab Evolutionary Genom &amp; Paleogen, St Petersburg, Russia; [Gavrilo, Maria] Assoc Maritime Heritage, St Petersburg, Russia; [Gavrilo, Maria] Arctic &amp; Antarctic Res Inst, St Petersburg, Russia; [Smorkatcheva, Antonina] St Petersburg State Univ, Dept Vertebrate Zool, St Petersburg, Russia</t>
  </si>
  <si>
    <t>Russian Academy of Sciences; Zoological Institute of the Russian Academy of Sciences; Arctic &amp; Antarctic Research Institute; Saint Petersburg State University</t>
  </si>
  <si>
    <t>Bondareva, O (corresponding author), RAS, Zool Inst, Lab Evolutionary Genom &amp; Paleogen, St Petersburg, Russia.</t>
  </si>
  <si>
    <t>olga.v.bondareva@gmail.com</t>
  </si>
  <si>
    <t>Abramson, Natalia/E-8001-2017; Petrova, Tatyana V/O-8860-2017; Bodrov, Semyon/Q-9260-2017</t>
  </si>
  <si>
    <t>Abramson, Natalia/0000-0003-3740-1388; Petrova, Tatyana V/0000-0001-6856-920X; Bodrov, Semyon/0000-0002-3366-8029</t>
  </si>
  <si>
    <t>Russian Science Foundation (RSF) [N 19-74-20110]; Russian Foundation for Basic Research (RFBR) [N 19-04-00538a]</t>
  </si>
  <si>
    <t>Russian Science Foundation (RSF)(Russian Science Foundation (RSF)); Russian Foundation for Basic Research (RFBR)(Russian Foundation for Basic Research (RFBR))</t>
  </si>
  <si>
    <t>This work was supported by the Russian Science Foundation (RSF) N 19-74-20110 (for OB, SB, TP, and NA) and Russian Foundation for Basic Research (RFBR) N 19-04-00538a (for AS).</t>
  </si>
  <si>
    <t>10.3389/fevo.2023.1085993</t>
  </si>
  <si>
    <t>9N4UW</t>
  </si>
  <si>
    <t>WOS:000942910600001</t>
  </si>
  <si>
    <t>Itkin, P; Hendricks, S; Webster, M; von Albedyll, L; Arndt, S; Divine, D; Jaggi, M; Oggier, M; Raphael, I; Ricker, R; Rohde, J; Schneebeli, M; Liston, GE</t>
  </si>
  <si>
    <t>Itkin, Polona; Hendricks, Stefan; Webster, Melinda; von Albedyll, Luisa; Arndt, Stefanie; Divine, Dmitry; Jaggi, Matthias; Oggier, Marc; Raphael, Ian; Ricker, Robert; Rohde, Jan; Schneebeli, Martin; Liston, Glen E.</t>
  </si>
  <si>
    <t>Sea ice and snow characteristics from year-long transects at the MOSAiC Central Observatory</t>
  </si>
  <si>
    <t>Sea ice; Snow; Arctic</t>
  </si>
  <si>
    <t>FRAM STRAIT; MASS-BALANCE; THICKNESS; SENSITIVITY; FREEBOARD; NORTH; DISTRIBUTIONS; DEFORMATION; VARIABILITY; CRYOSAT-2</t>
  </si>
  <si>
    <t>Repeated transects have become the backbone of spatially distributed ice and snow thickness measurements crucial for understanding of ice mass balance. Here we detail the transects at the Multidisciplinary drifting Observatory for the Study of Arctic Climate (MOSAiC) 2019-2020, which represent the first such measurements collected across an entire season. Compared with similar historical transects, the snow at MOSAiC was thin (mean depths of approximately 0.1-0.3 m), while the sea ice was relatively thick first year ice (FYI) and second-year ice (SYI). SYI was of two distinct types: relatively thin level ice formed from surfaces with extensive melt pond cover, and relatively thick deformed ice. On level SYI, spatial signatures of refrozen melt ponds remained detectable in January. At the beginning of winter the thinnest ice also had the thinnest snow, with winter growth rates of thin ice (0.33 m month-1 for FYI, 0.24 m month-1 for previously ponded SYI) exceeding that of thick ice (0.2 m month-1). By January, FYI already had a greater modal ice thickness (1.1 m) than previously ponded SYI (0.9 m). By February, modal thickness of all SYI and FYI became indistinguishable at about 1.4 m. The largest modal thicknesses were measured in May at 1.7 m. Transects included deformed ice, where largest volumes of snow accumulated by April. The remaining snow on level ice exhibited typical spatial heterogeneity in the form of snow dunes. Spatial correlation length scales for snow and sea ice ranged from 20 to 40 m or 60 to 90 m, depending on the sampling direction, which suggests that the known anisotropy of snow dunes also manifests in spatial patterns in sea ice thickness. The diverse snow and ice thickness data obtained from the MOSAiC transects represent an invaluable resource for model and remote sensing product development.</t>
  </si>
  <si>
    <t>[Itkin, Polona] UiT The Arctic Univ Norway, Tromso, Norway; [Itkin, Polona; Liston, Glen E.] Colorado State Univ, Cooperat Inst Res Atmosphere, Ft Collins, CO 80523 USA; [Hendricks, Stefan; von Albedyll, Luisa; Arndt, Stefanie; Rohde, Jan] Helmholtz Ctr Polar &amp; Marine Res, Alfred Wegener Inst, Bremerhaven, Germany; [Webster, Melinda] Univ Alaska Fairbanks, Geophys Inst, Fairbanks, AK USA; [Divine, Dmitry] Norwegian Polar Res Inst, Tromso, Norway; [Jaggi, Matthias; Schneebeli, Martin] Swiss Fed Inst Forest Snow &amp; Landscape Res WSL, Inst Snow &amp; Avalanche Res SLF, Davos, Switzerland; [Oggier, Marc] Univ Alaska Fairbanks, Int Arctic Res Ctr, Fairbanks, AK USA; [Raphael, Ian] Dartmouth Coll, Thayer Sch Engn, Hanover, NH USA; [Ricker, Robert] NORCE Norwegian Res Ctr, Tromso, Norway</t>
  </si>
  <si>
    <t>UiT The Arctic University of Tromso; Colorado State University; Helmholtz Association; Alfred Wegener Institute, Helmholtz Centre for Polar &amp; Marine Research; University of Alaska System; University of Alaska Fairbanks; Norwegian Polar Institute; Swiss Federal Institutes of Technology Domain; Swiss Federal Institute for Forest, Snow &amp; Landscape Research; University of Alaska System; University of Alaska Fairbanks; Dartmouth College; Norwegian Research Centre (NORCE)</t>
  </si>
  <si>
    <t>Itkin, P (corresponding author), UiT The Arctic Univ Norway, Tromso, Norway.;Itkin, P (corresponding author), Colorado State Univ, Cooperat Inst Res Atmosphere, Ft Collins, CO 80523 USA.</t>
  </si>
  <si>
    <t>polona.itkin@uit.no</t>
  </si>
  <si>
    <t>Hendricks, Stefan/D-5168-2011; Ricker, Robert/Z-4214-2019; Schneebeli, Martin/B-1063-2008; Arndt, Stefanie/AAA-6178-2021</t>
  </si>
  <si>
    <t>Hendricks, Stefan/0000-0002-1412-3146; Ricker, Robert/0000-0001-6928-7757; Schneebeli, Martin/0000-0003-2872-4409; Arndt, Stefanie/0000-0001-9782-3844; Webster, Melinda/0000-0002-5976-9485; Oggier, Marc/0000-0003-4679-1103</t>
  </si>
  <si>
    <t>international Multidisciplinary drifting Observatory for the Study of the Arctic Climate (MOSAiC) project [AWI_PS122_00]; National Science Fundation (NSF) [1820927]; Research Council of Norway [287871]; AWI through the project AWI_ICE; National Aeronautics and Space Administration's New Investigator Pro-gram in Earth Science [80 NSSC20K0658]; German Research Council (DFG) in the framework of the priority program Antarctic Research with comparative investigations in the Arctic ice areas [SPP1158, AR1236/1]; EU-ARICE project DEARice; Research Council of Norway [280292]; NSF [OPP-1735862, OPP-1724540]</t>
  </si>
  <si>
    <t>international Multidisciplinary drifting Observatory for the Study of the Arctic Climate (MOSAiC) project; National Science Fundation (NSF)(National Science Foundation (NSF)); Research Council of Norway(Research Council of Norway); AWI through the project AWI_ICE; National Aeronautics and Space Administration's New Investigator Pro-gram in Earth Science; German Research Council (DFG) in the framework of the priority program Antarctic Research with comparative investigations in the Arctic ice areas; EU-ARICE project DEARice; Research Council of Norway(Research Council of Norway); NSF(National Science Foundation (NSF))</t>
  </si>
  <si>
    <t>&amp; nbsp;This study has been partly funded by the international Multidisciplinary drifting Observatory for the Study of the Arctic Climate (MOSAiC) project with the tag MOSAiC 20192020 and the Project_ID: AWI_PS122_00. PI and GEL were funded by National Science Fundation (NSF) grant #1820927 (MiSNOW). PI was also supported by Research Council of Norway grant #287871 (SIDRiFT). SH, LvA, JR were funded by the AWI through the project AWI_ICE. MW acknowledges support by the National Aero-nautics and Space Administration's New Investigator Pro-gram in Earth Science (#80 NSSC20K0658). SA was supported by the German Research Council (DFG) in the framework of the priority program Antarctic Research with comparative investigations in the Arctic ice areas (#SPP1158 and #AR1236/1). DD, MJ and MS were funded through EU-ARICE project DEARice. DD also acknowledges support of Research Council of Norway grant #280292 (HAVOC). MO was funded by NSF grant #OPP-1735862. IR was supported by NSF grant #OPP-1724540.</t>
  </si>
  <si>
    <t>FEB 16</t>
  </si>
  <si>
    <t>10.1525/elementa.2022.00048</t>
  </si>
  <si>
    <t>O2FP0</t>
  </si>
  <si>
    <t>WOS:001042031200001</t>
  </si>
  <si>
    <t>Malits, A; Monforte, C; Iachetti, C; Gerea, M; Latorre, M</t>
  </si>
  <si>
    <t>Malits, Andrea; Monforte, Chiara; Iachetti, Clara; Gerea, Marina; Latorre, Maite</t>
  </si>
  <si>
    <t>Source characterization of dissolved organic matter in the eastern Beagle Channel from a spring situation</t>
  </si>
  <si>
    <t>Dissolved organic matter; CDOM; FDOM; Microbes; Viruses; Microbial carbon pump</t>
  </si>
  <si>
    <t>MOLECULAR-WEIGHT; SPECTRAL SLOPE; MARINE; CARBON; OCEAN; FLUORESCENCE; ABSORPTION; SEAWATER; PATAGONIA; WATERS</t>
  </si>
  <si>
    <t>Dissolved organic matter (DOM) was analyzed by its optical and fluorescent properties in order to study its distribution, source and transformation in relation to microbial abundances, chlorophyll and physicochemical gradients along a transect in the eastern Beagle Channel (BC) during austral spring 2019. Moreover, DOM evolution was followed during three tidal cycles in two fixed stations (F1, F2) separated by the Mackinlay Strait, a hydrographic frontier between water masses under stronger continental influence (inner sector) and that of less modified Sub-Antarctic waters (outer sector). The fluorescence signals of protein- and humic-like compounds were used as a proxy for labile and non-labile material, respectively, while the concentration of nano-, pico- and virioplankton populations, chlorophyll-a (Chl-a) and dissolved organic carbon (DOC) were used as a proxy for biological activity. Moreover, several spectroscopic indices, such as the indicator of microbially produced DOM (BIX), the Freshness index (FIX), an indicator of molecular weight, the Slope Ratio (SR) and an indicator of chromophoric DOM (CDOM), were used to trace the quality and origin of DOM. Chl-a concentration was generally low in the sampling area (&lt; 1 mu g L-1) but increased towards the end of the campaign and especially during the visit of F1 along with the concentration of picoeukaryotes and the protein-like fluorophores evidencing the onset of a bloom event. Protein-like fluorophores peaked in the euphotic zone of the inner sector of the BC while humic-like material of terrestrial origin was homogeneously distributed throughout the water column and showed a decreasing gradient towards the outer sector and Atlantic waters. Furthermore, the inner sector was characterized by higher amounts of CDOM, high molecular weight material and more recalcitrant DOM. Accumulation of autochthonous humic-like material in bottom waters of the inner sector along with enhanced values of FIX and BIX preceded by colored organic material suggest an efficient functioning of the microbial carbon pump fueled by terrestrial DOM sources in these waters.</t>
  </si>
  <si>
    <t>[Malits, Andrea; Iachetti, Clara; Latorre, Maite] Consejo Nacl Invest Cient &amp; CONICET, Ctr Austral Invest Cient CADIC, Ushuaia, Argentina; [Malits, Andrea] Univ Vienna, Dept Funct &amp; Evolutionary Biol, Vienna, Austria; [Monforte, Chiara] Lund Univ, Dept Phys Geog &amp; Ecosyst Sci, Lund, Sweden; [Monforte, Chiara] Voice Ocean Fdn, Ocean Knowledge, Vastra Frolunda, Sweden; [Iachetti, Clara] Univ Nacl Tierra Fuego ICPA UNTDF, Inst Ciencias Polares Ambiente &amp; Recursos Nat, Ushuaia, Argentina; [Gerea, Marina] Univ Nacl Comahue, Consejo Nacl Invest Cient &amp; Tecn CONICET, Grp Ecol Sistemas Acuat escala Paisaje GESAP, INIBIOMA, San Carlos De Bariloche, Argentina</t>
  </si>
  <si>
    <t>University of Vienna; Lund University; Consejo Nacional de Investigaciones Cientificas y Tecnicas (CONICET); Universidad Nacional del Comahue</t>
  </si>
  <si>
    <t>Malits, A (corresponding author), Univ Vienna, Dept Funct &amp; Evolutionary Biol, Vienna, Austria.</t>
  </si>
  <si>
    <t>andrea.malits@univie.ac.at</t>
  </si>
  <si>
    <t>Latorre, Maite/0000-0001-8953-3628</t>
  </si>
  <si>
    <t>Prince Albert II Foundation; CONICET [PIP 11220150100368CO]; ANPCyT [PICT -2015-0384]</t>
  </si>
  <si>
    <t>Prince Albert II Foundation; CONICET(Consejo Nacional de Investigaciones Cientificas y Tecnicas (CONICET)); ANPCyT(ANPCyT)</t>
  </si>
  <si>
    <t>We thank the support of the crew and officers of the R/V Victor Angelescu for their help at sea. We also acknowledge G. Ferreyra and H. Gonz'alez Estay for their leadership in the project, as well as the three scientific leaders of the cruise and all scientific participants for their help onboard. Operating costs were afforded by funds of the Prince Albert II Foundation (http//www.fpa2.org) and the Argentinian National Law 26 875 fund (partial funding of ship time). AM was funded by CONICET (PIP 11220150100368CO) and ANPCyT (PICT -2015-0384).</t>
  </si>
  <si>
    <t>10.1016/j.jmarsys.2023.103863</t>
  </si>
  <si>
    <t>C9YH2</t>
  </si>
  <si>
    <t>WOS:000965383700001</t>
  </si>
  <si>
    <t>Jennings, S; Dugger, KM; Ballard, G; Ainley, DG</t>
  </si>
  <si>
    <t>Jennings, Scott; Dugger, Katie M.; Ballard, Grant; Ainley, David G.</t>
  </si>
  <si>
    <t>Faster growth and larger size at creche onset are associated with higher offspring survival in Adelie Penguins</t>
  </si>
  <si>
    <t>ORNITHOLOGY</t>
  </si>
  <si>
    <t>Adelie Penguin; brood guarding; creche; growth; Pygoscelis adeliae; survival</t>
  </si>
  <si>
    <t>PARENTAL DILEMMA; CHICK GROWTH; COLONY SIZE; BEHAVIOR; SUCCESS; RATES; SEX; ALBATROSSES; SEABIRDS; QUALITY</t>
  </si>
  <si>
    <t>We conducted the first assessment of Adelie Penguin (Pygoscelis adeliae) chick survival that accounts for imperfect resighting. We found that when chicks are larger in size when they enter the creche stage (the period when both parents forage at the same time and chicks are left relatively unprotected), they have a higher probability of survival to fledging. We investigated the relationships between growth, creche timing, and chick survival during one typical year and one year of reduced food availability. Chicks that hatched earlier in the season entered the creche stage older, and chicks that both grew faster and creched older entered the creche at a larger size. These relationships were stronger in the year of reduced food availability. Thus, parents increased their chicks' chance of fledging if they provided sufficient food for faster growth rates and/or extended the length of the brood-guarding period. Early nest initiation (i.e., early hatching) provided parents with the opportunity to extend the guard period and increase chick survival. However, to extend the guard stage successfully, they must provide larger meals and maintain higher chick growth rates, even if just one parent at a time is foraging, which previous work has shown is not possible for all individuals. We show that the factors governing tradeoffs in chick-rearing behavior of Adelie Penguin parents may vary in accord with environmental conditions, a result from which we can better understand species' adaptations to environmental changes. Lay Summary center dot When raising dependent young, animals must balance how much to invest in guarding the brood versus finding food for them. These so-called tradeoffs can influence how well the current brood grows and survives to independence. center dot During two breeding seasons, one typical and one apparently food limited, we related Adelie Penguin chick survival rates to how fast they grew and the timing of a critical transition in brood-rearing when chicks switch from being guarded continuously by a parent to being left alone while both parents forage at the same time. center dot We found that with a combination of early hatching and fast-growing, chicks entered the unguarded (creche) stage older and larger and, therefore, had a better chance of surviving to independence. center dot Certain parents can manage tradeoffs to maximize breeding success even during unfavorable conditions. These results can help us understand how populations will respond to changing climate and habitats.</t>
  </si>
  <si>
    <t>[Jennings, Scott] Oregon State Univ, Dept Fisheries Wildlife &amp; Conservat Sci, Oregon Cooperat Fish &amp; Wildlife Res Unit, Corvallis, OR 97331 USA; [Dugger, Katie M.] Oregon State Univ, Dept Fisheries Wildlife &amp; Conservat Sci, Oregon Cooperat Fish &amp; Wildlife Res Unit, US Geol Survey, Corvallis, OR USA; [Ballard, Grant] Point Blue Conservat Sci, Petaluma, CA USA; [Ainley, David G.] HT Harvey &amp; Associates Ecol Consultants, Los Gatos, CA USA; [Jennings, Scott] Cypress Grove Res Ctr, Audubon Canyon Ranch, Marshall, CA 94940 USA</t>
  </si>
  <si>
    <t>Oregon State University; United States Department of the Interior; United States Geological Survey; Oregon State University</t>
  </si>
  <si>
    <t>Jennings, S (corresponding author), Oregon State Univ, Dept Fisheries Wildlife &amp; Conservat Sci, Oregon Cooperat Fish &amp; Wildlife Res Unit, Corvallis, OR 97331 USA.;Jennings, S (corresponding author), Cypress Grove Res Ctr, Audubon Canyon Ranch, Marshall, CA 94940 USA.</t>
  </si>
  <si>
    <t>scott.jennings@egret.org</t>
  </si>
  <si>
    <t>National Science Foundation [ANT-0944411, 944141, 944358, 1935870, 1935901]; Department of Fisheries, Wildlife, and Conservation Sciences at Oregon State University</t>
  </si>
  <si>
    <t>National Science Foundation(National Science Foundation (NSF)); Department of Fisheries, Wildlife, and Conservation Sciences at Oregon State University</t>
  </si>
  <si>
    <t>This research was supported logistically by the US Antarctic Program and financially by National Science Foundation collaborative grants ANT-0944411, 944141, 944358, 1935870, and 1935901 awarded to DGA, GB, and KMD. First author received additional support from the Department of Fisheries, Wildlife, and Conservation Sciences at Oregon State University (teaching assistantships, and M. A. Ali Graduate Chair Award in Fisheries Biology).</t>
  </si>
  <si>
    <t>0004-8038</t>
  </si>
  <si>
    <t>2732-4613</t>
  </si>
  <si>
    <t>Ornithology</t>
  </si>
  <si>
    <t>MAY 8</t>
  </si>
  <si>
    <t>10.1093/ornithology/ukad006</t>
  </si>
  <si>
    <t>F2OV8</t>
  </si>
  <si>
    <t>WOS:000960446500001</t>
  </si>
  <si>
    <t>Dasarathy, S; Russell, LM; Rodier, SD; Bowman, JS</t>
  </si>
  <si>
    <t>Dasarathy, S.; Russell, L. M.; Rodier, S. D.; Bowman, J. S.</t>
  </si>
  <si>
    <t>Wind-Driven and Seasonal Effects on Marine Aerosol Production in the Bellingshausen Sea, Antarctica</t>
  </si>
  <si>
    <t>marine aerosol; remote sensing; antarctic peninsula; southern ocean; Bellingshausen Sea; AOD</t>
  </si>
  <si>
    <t>ARCTIC-OCEAN; ICE; DIMETHYLSULFIDE; CONSTRAINTS; CHEMISTRY; ISLAND; DMS</t>
  </si>
  <si>
    <t>We assessed satellite-retrieved marine aerosol in the western Antarctic Peninsula (WAP) across a 12-year period from coarse-mode aerosol optical depth (AOD(C)), often used as a proxy for sea spray aerosol (SSA), and marine aerosol optical depth (MAOD), a newly developed proxy for tropospheric marine aerosol. Across open ocean to coastal regions, daily fluctuations in nighttime and daytime winds, respectively, drove increasing MAOD and AOD(C). MAOD depicted strong correlations with wind speed across open ocean and weak correlations in coastal regions. In the open ocean, AOD(C) exhibited a very weak significant correlation to wind speed and a weak significant correlation to sea surface temperature (SST). We thus observed that warmer SST enhanced the production of SSA, supporting prior studies. This is the first study to assess patterns of AOD(C) in the WAP. In contrast to the tropical Pacific, seasonal patterns showed that biological activity likely contributed toward MAOD and AOD(C) magnitudes.</t>
  </si>
  <si>
    <t>[Dasarathy, S.; Russell, L. M.; Bowman, J. S.] Scripps Inst Oceanog, La Jolla, CA 92037 USA; [Rodier, S. D.] Sci Syst &amp; Applicat Inc, Hampton, MD USA</t>
  </si>
  <si>
    <t>University of California System; University of California San Diego; Scripps Institution of Oceanography</t>
  </si>
  <si>
    <t>Dasarathy, S; Bowman, JS (corresponding author), Scripps Inst Oceanog, La Jolla, CA 92037 USA.</t>
  </si>
  <si>
    <t>srdasara@ucsd.edu; jsbowman@ucsd.edu</t>
  </si>
  <si>
    <t>Bowman, Jeff/0000-0002-8811-6280; Russell, Lynn/0000-0002-6108-2375</t>
  </si>
  <si>
    <t>Climate and Environmental Sciences Division of the U.S. Department of Energy [NSF-OPP 1846837]; NASA Internship Program at the Langley Research Center [DE-SC0021045]; U.S. Department of Energy (DOE) [DE-SC0021045] Funding Source: U.S. Department of Energy (DOE)</t>
  </si>
  <si>
    <t>Climate and Environmental Sciences Division of the U.S. Department of Energy(United States Department of Energy (DOE)); NASA Internship Program at the Langley Research Center; U.S. Department of Energy (DOE)(United States Department of Energy (DOE))</t>
  </si>
  <si>
    <t>Acknowledgments This research was supported by NSF-OPP 1846837 and the Climate and Environmental Sciences Division of the U.S. Department of Energy under Contract DE-SC0021045. Initial phases of this work were supported by the NASA Internship Program at the Langley Research Center.</t>
  </si>
  <si>
    <t>e2022GL099723</t>
  </si>
  <si>
    <t>10.1029/2022GL099723</t>
  </si>
  <si>
    <t>9T9GR</t>
  </si>
  <si>
    <t>WOS:000947329800001</t>
  </si>
  <si>
    <t>Damini, BY; Costa, RR; Dotto, TS; Mendes, CRB; Azaneu, MDC; Mata, MM; Kerr, R</t>
  </si>
  <si>
    <t>Damini, Brendon Yuri; Costa, Raul Rodrigo; Dotto, Tiago S.; Mendes, Carlos Rafael Borges; Azaneu, Marina do V. C.; Mata, Mauricio M.; Kerr, Rodrigo</t>
  </si>
  <si>
    <t>Antarctica Slope Front bifurcation eddy: A stationary feature influencing CO2 dynamics in the northern Antarctic Peninsula</t>
  </si>
  <si>
    <t>Southern Ocean; Eddies; Carbonate chemistry; CO 2 fluxes; Phytoplankton</t>
  </si>
  <si>
    <t>PHYTOPLANKTON COMMUNITY STRUCTURE; SOUTHERN-OCEAN; DISSOCIATION-CONSTANTS; SURFACE CIRCULATION; MESOSCALE EDDIES; CHEMTAX ANALYSIS; ATLANTIC-OCEAN; CLIMATE-CHANGE; SCOTIA SEA; VARIABILITY</t>
  </si>
  <si>
    <t>The Southern Ocean is a key region for analyzing environmental drivers that regulate sea-air CO2 exchanges. These CO2 fluxes are influenced by several mesoscale structures, such as meanders, eddies and other mechanisms responsible for energy dissipation. Aiming to better understand sea-air CO2 dynamics in the northern Antarctica Peninsula, we investigated an anticyclonic stationary eddy located south of Clarence Island, in the eastern basin of Bransfield Strait - named the Antarctica Slope Front bifurcation (ASFb) eddy. Physical, chemical and biological data were sampled, and remote sensing measurements taken, in the region during late summer conditions in February 2020. The eddy's core consisted of cold (0.31 degrees C), salty (34.38) and carbon-rich (2247 mu mol kg-1) waters with dissolved oxygen depletion (337 mu mol kg- 1). The core retains a mixture of local surface waters with waters derived from Circumpolar Deep Water (i.e., Warm Deep Water from the Weddell Sea and modified Circumpolar Deep Water from the Bransfield Strait) and Dense Shelf Water. The ASFb eddy acts as a CO2 outgassing structure that reaches a CO2 emission to the atmosphere of -1.5 mmol m- 2 d-1 in the eddy's core, mostly due to enhanced dissolved inorganic carbon (DIC). The results suggest that surface variation in DIC in the eddy's core is modulated by (i) the entrainment of CO2-rich intermediate waters at -500 m, (ii) low primary productivity, associated with small phytoplankton cells such as cryptophytes and green flagellates, and (iii) respiration processes caused by heterotrophic organisms (i.e., zooplankton community). By providing a comprehensive view of these physical and biogeochemical properties of this stationary eddy, our results are key to adding new insights to a better understanding of the behavior of mesoscale features influencing sea-air CO2 exchanges in polar environments.</t>
  </si>
  <si>
    <t>[Damini, Brendon Yuri; Costa, Raul Rodrigo; Mendes, Carlos Rafael Borges; Mata, Mauricio M.; Kerr, Rodrigo] Univ Fed Rio Grande FURG, Lab Estudos Oceanos &amp; Clima LEOC, Inst Oceanog, Ave Italia Km 8 S-N, BR-96203900 Rio Grande, RS, Brazil; [Damini, Brendon Yuri; Mata, Mauricio M.; Kerr, Rodrigo] Univ Fed Rio Grande FURG, Programa Posgrad Oceanol, Inst Oceanog, Ave Italia Km 8 S-N, BR-96203900 Rio Grande, RS, Brazil; [Damini, Brendon Yuri; Kerr, Rodrigo] Brazilian Ocean Acidificat Network BrOA, BR-96203900 Rio Grande, RS, Brazil; [Costa, Raul Rodrigo; Mendes, Carlos Rafael Borges] Univ Fed Rio Grande FURG, Lab Fitoplancton &amp; Microorganismos Marinhos LabFit, Inst Oceanog, Ave Italia Km 8 S-N, BR-96203900 Rio Grande, RS, Brazil; [Dotto, Tiago S.; Azaneu, Marina do V. C.] Univ East Anglia, Ctr Ocean &amp; Atmospher Sci, Sch Environm Sci, Norwich NR4 7TJ, England; [Damini, Brendon Yuri; Kerr, Rodrigo] Univ Fed Rio Grande FURG, CEOCEAN, Inst Oceanog, Ave Italia Km 8 S-N, BR-96203900 Rio Grande, RS, Brazil</t>
  </si>
  <si>
    <t>Universidade Federal do Rio Grande; Universidade Federal do Rio Grande; Universidade Federal do Rio Grande; University of East Anglia; Universidade Federal do Rio Grande</t>
  </si>
  <si>
    <t>Damini, BY; Kerr, R (corresponding author), Univ Fed Rio Grande FURG, CEOCEAN, Inst Oceanog, Ave Italia Km 8 S-N, BR-96203900 Rio Grande, RS, Brazil.</t>
  </si>
  <si>
    <t>brendon.oceano@furg.br; rodrigokerr@furg.br</t>
  </si>
  <si>
    <t>Kerr, Rodrigo/I-2494-2012; Mendes, Carlos/I-1520-2012; Mata, Mauricio M/H-4605-2011</t>
  </si>
  <si>
    <t>Kerr, Rodrigo/0000-0002-2632-3137; Mendes, Carlos/0000-0001-6875-8860; Damini, Brendon Yuri/0000-0003-4792-6057; Torres Lasso, Juan Camilo/0000-0003-4348-0369; Segabinazzi Dotto, Tiago/0000-0003-0565-6941</t>
  </si>
  <si>
    <t>Brazilian High Latitude Oceanography Group (GOAL) within the Brazilian Antarctic Program (PROANTAR) - Brazilian Ministry of the Environment (MMA); Brazilian Ministry of the Environment (MMA); Brazilian Ministry of Science, Technology, and Innovation (MCTI); Council for Research and Scientific Development of Brazil (CNPq); Brazilian Navy; Inter -ministerial Secretariat for Sea Resources (SECIRM); National Institute of Science and Technology of the Cryosphere (INCT CRIOSFERA; CNPq); Research Support Foundation of the State of Rio Grande do Sul (FAPERGS); CNPq; Coordination for the Improvement of Higher Education Personnel (CAPES); [573720/2008-8]; [465680/2014-3]; [17/2551-000518-0]; [550370/2002-1]; [520189/2006-0]; [556848/2009-8]; [565040/2010- 3]; [405869/2013-4]; [407889/2013-2]; [442628/2018-8]; [442637/2018- 7]; [312569/2021-1]; [309978/2021-1]; [306896/2015-0]; [140051/2021-0]; [181008/2021-1]; [23038.001421/2014-30]; [88887.597850/2021-00]</t>
  </si>
  <si>
    <t>Brazilian High Latitude Oceanography Group (GOAL) within the Brazilian Antarctic Program (PROANTAR) - Brazilian Ministry of the Environment (MMA); Brazilian Ministry of the Environment (MMA); Brazilian Ministry of Science, Technology, and Innovation (MCTI); Council for Research and Scientific Development of Brazil (CNPq)(Conselho Nacional de Desenvolvimento Cientifico e Tecnologico (CNPQ)Fundacao de Apoio a Pesquisa do Distrito Federal (FAPDF)); Brazilian Navy; Inter -ministerial Secretariat for Sea Resources (SECIRM); National Institute of Science and Technology of the Cryosphere (INCT CRIOSFERA; CNPq)(Conselho Nacional de Desenvolvimento Cientifico e Tecnologico (CNPQ)); Research Support Foundation of the State of Rio Grande do Sul (FAPERGS)(Fundacao de Amparo a Ciencia e Tecnologia do Estado do Rio Grande do Sul (FAPERGS)); CNPq(Conselho Nacional de Desenvolvimento Cientifico e Tecnologico (CNPQ)); Coordination for the Improvement of Higher Education Personnel (CAPES)(Coordenacao de Aperfeicoamento de Pessoal de Nivel Superior (CAPES)); ; ; ; ; ; ; ; ; ; ; ; ; ; ; ; ; ;</t>
  </si>
  <si>
    <t>This study is part of the activities of the Brazilian High Latitude Oceanography Group (GOAL) within the Brazilian Antarctic Program (PROANTAR) . GOAL has been funded by and/or has received logistical support from the Brazilian Ministry of the Environment (MMA) ; the Brazilian Ministry of Science, Technology, and Innovation (MCTI) ; the Council for Research and Scientific Development of Brazil (CNPq) ; the Brazilian Navy; the Inter -ministerial Secretariat for Sea Resources (SECIRM) ; the National Institute of Science and Technology of the Cryosphere (INCT CRIOSFERA; CNPq grant nos. 573720/2008-8 and 465680/2014-3) ; and the Research Support Foundation of the State of Rio Grande do Sul (FAPERGS grant no. 17/2551-000518-0) . This study was conducted within the activities of the GOAL projects (CNPq grant nos. 550370/2002-1, 520189/2006-0, 556848/2009-8, 565040/2010- 3, 405869/2013-4, 407889/2013-2, 442628/2018-8 and 442637/2018- 7, respectively) and CARBON Team acitivities ( www.carbonteam.furg. br) . Financial support was also received from Coordination for the Improvement of Higher Education Personnel (CAPES) through the project CAPES ?Cie ? ncias do Mar? (grant no. 23038.001421/2014-30) . CAPES also provided free access to many relevant journals through the portal ?Peri ? odicos CAPES? and the activities of the Graduate Program in Oceanology. We are grateful to Simon Wright, from the Australian Antarctic Division, for providing CHEMTAX v.1.95 software. Rodrigo Kerr, Carlos Rafael Borges Mendes, and Mauricio M. Mata are granted researcher fellowships from CNPq grant nos. 312569/2021-1, 309978/2021-1 and 306896/2015-0, respectively. Juan Camilo Torres -Lasso and Raul Rodrigo Costa acknowledges financial support from CNPq scholarship grant nos. 140051/2021-0 and 181008/2021-1, respec- tively. Brendon Yuri Damini acknowledges financial support from CAPES scholarship grant no. 88887.597850/2021-00. The authors thank the officers and crew of the polar vessel Almirante Maximiano of the Brazilian Navy, and the several scientists and technicians partici- pating in the cruise for their valuable help during data sampling and data processing. We thank all scientists and research groups for making their data available. All datasets used, and respective websites are indicated in the manuscript. We are grateful for the constructive com- ments provided by Iole Orselli and two anonymous reviewers, which substantially improved the manuscript.</t>
  </si>
  <si>
    <t>10.1016/j.pocean.2023.102985</t>
  </si>
  <si>
    <t>9M6QF</t>
  </si>
  <si>
    <t>WOS:000942351000001</t>
  </si>
  <si>
    <t>Schmidt, BE; Washam, P; Davis, PED; Nicholls, KW; Holland, DM; Lawrence, JD; Riverman, KL; Smith, JA; Spears, A; Dichek, DJG; Mullen, AD; Clyne, E; Yeager, B; Anker, P; Meister, MR; Hurwitz, BC; Quartini, ES; Bryson, FE; Basinski-Ferris, A; Thomas, C; Wake, J; Vaughan, DG; Anandakrishnan, S; Rignot, E; Paden, J; Makinson, K</t>
  </si>
  <si>
    <t>Schmidt, B. E.; Washam, P.; Davis, P. E. D.; Nicholls, K. W.; Holland, D. M.; Lawrence, J. D.; Riverman, K. L.; Smith, J. A.; Spears, A.; Dichek, D. J. G.; Mullen, A. D.; Clyne, E.; Yeager, B.; Anker, P.; Meister, M. R.; Hurwitz, B. C.; Quartini, E. S.; Bryson, F. E.; Basinski-Ferris, A.; Thomas, C.; Wake, J.; Vaughan, D. G.; Anandakrishnan, S.; Rignot, E.; Paden, J.; Makinson, K.</t>
  </si>
  <si>
    <t>Heterogeneous melting near the Thwaites Glacier grounding line</t>
  </si>
  <si>
    <t>ROSS ICE SHELF; PINE ISLAND GLACIER; WEST ANTARCTICA; BOUNDARY-LAYER; BENEATH; WATER; ABLATION; CHANNEL; RETREAT; FRONT</t>
  </si>
  <si>
    <t>Thwaites Glacier represents 15% of the ice discharge from the West Antarctic Ice Sheet and influences a wider catchment(1-3). Because it is grounded below sea level(4,5), Thwaites Glacier is thought to be susceptible to runaway retreat triggered at the grounding line (GL) at which the glacier reaches the ocean(6,7). Recent ice-flow acceleration(2,8) and retreat of the ice front(8-10) and GL(11,12) indicate that ice loss will continue. The relative impacts of mechanisms underlying recent retreat are however uncertain. Here we show sustained GL retreat from at least 2011 to 2020 and resolve mechanisms of ice-shelf melt at the submetre scale. Our conclusions are based on observations of the Thwaites Eastern Ice Shelf (TEIS) from an underwater vehicle, extending from the GL to 3 km oceanward and from the ice-ocean interface to the sea floor. These observations show a rough ice base above a sea floor sloping upward towards the GL and an ocean cavity in which the warmest water exceeds 2 &amp; DEG;C above freezing. Data closest to the ice base show that enhanced melting occurs along sloped surfaces that initiate near the GL and evolve into steep-sided terraces. This pronounced melting along steep ice faces, including in crevasses, produces stratification that suppresses melt along flat interfaces. These data imply that slope-dependent melting sculpts the ice base and acts as an important response to ocean warming.</t>
  </si>
  <si>
    <t>[Schmidt, B. E.; Washam, P.; Dichek, D. J. G.; Mullen, A. D.; Meister, M. R.; Quartini, E. S.; Bryson, F. E.] Cornell Univ, Dept Astron, Ithaca, NY 14850 USA; [Schmidt, B. E.; Washam, P.; Dichek, D. J. G.; Mullen, A. D.; Meister, M. R.; Quartini, E. S.; Bryson, F. E.] Cornell Univ, Dept Earth &amp; Atmospher Sci, Ithaca, NY 14850 USA; [Davis, P. E. D.; Nicholls, K. W.; Smith, J. A.; Anker, P.; Thomas, C.; Wake, J.; Vaughan, D. G.; Makinson, K.] British Antarctic Survey, Cambridge, England; [Holland, D. M.; Basinski-Ferris, A.] NYU, Courant Inst Math Sci, New York, NY USA; [Holland, D. M.; Yeager, B.] New York Univ Abu Dhabi, Ctr Global Sea Level Change, Abu Dhabi, U Arab Emirates; [Lawrence, J. D.; Spears, A.; Hurwitz, B. C.; Bryson, F. E.] Georgia Inst Technol, Sch Earth &amp; Atmospher Sci, Atlanta, GA USA; [Riverman, K. L.] Univ Portland, Dept Environm Studies, Portland, OR USA; [Clyne, E.; Anandakrishnan, S.] Penn State Univ, Dept Geosci, State Coll, PA USA; [Clyne, E.] Lewis &amp; Clark Coll, Environm Studies, Portland, OR USA; [Rignot, E.] Univ Calif Irvine, Dept Earth Syst Sci, Irvine, CA USA; [Paden, J.] Univ Kansas, Ctr Remote Sensing &amp; Integrated Syst, Lawrence, KS USA</t>
  </si>
  <si>
    <t>Cornell University; Cornell University; UK Research &amp; Innovation (UKRI); Natural Environment Research Council (NERC); NERC British Antarctic Survey; New York University; New York University Abu Dhabi; University System of Georgia; Georgia Institute of Technology; University of Portland; Pennsylvania Commonwealth System of Higher Education (PCSHE); Pennsylvania State University; University of California System; University of California Irvine; University of Kansas</t>
  </si>
  <si>
    <t>Schmidt, BE (corresponding author), Cornell Univ, Dept Astron, Ithaca, NY 14850 USA.;Schmidt, BE (corresponding author), Cornell Univ, Dept Earth &amp; Atmospher Sci, Ithaca, NY 14850 USA.</t>
  </si>
  <si>
    <t>britneys@cornell.edu</t>
  </si>
  <si>
    <t>Anandakrishnan, Sridhar/JCN-5026-2023; Rignot, Eric/A-4560-2014; Makinson, Keith/A-2495-2013</t>
  </si>
  <si>
    <t>Rignot, Eric/0000-0002-3366-0481; Makinson, Keith/0000-0002-5791-1767; Davis, Peter/0000-0002-6471-6310; Riverman, Kiya/0000-0002-8033-3096; Mullen, Andrew/0000-0002-2819-4797; Lawrence, Justin/0000-0001-7520-5914; Smith, James/0000-0002-1333-2544; Schmidt, Britney Elyce/0000-0001-7376-8510</t>
  </si>
  <si>
    <t>NSF-NERC International Thwaites Glacier Collaboration (ITGC) - NSF OPP grant (US) [1739003]; NERC (UK) [NE/S006656/1, NE/S006761/1, NE/S006427/1]; Georgia Institute of Technology; NASA [NNX16AL07G]; Office of Polar Programs (OPP); Directorate For Geosciences [1739003] Funding Source: National Science Foundation; NERC [NE/S006656/1] Funding Source: UKRI</t>
  </si>
  <si>
    <t>NSF-NERC International Thwaites Glacier Collaboration (ITGC) - NSF OPP grant (US); NERC (UK)(UK Research &amp; Innovation (UKRI)Natural Environment Research Council (NERC)); Georgia Institute of Technology; NASA(National Aeronautics &amp; Space Administration (NASA)); Office of Polar Programs (OPP); Directorate For Geosciences(National Science Foundation (NSF)NSF - Directorate for Geosciences (GEO)); NERC(UK Research &amp; Innovation (UKRI)Natural Environment Research Council (NERC))</t>
  </si>
  <si>
    <t>We thank the personnel from the United States Antarctic Program and the British Antarctic Survey, without whom these data could not be collected. Fieldwork and support for analysis was provided by the NSF-NERC International Thwaites Glacier Collaboration (ITGC), financed by NSF OPP grant 1739003 (US), NERC NE/S006656/1, NERC NE/S006761/1 and NERC NE/S006427/1 (UK). We recognize the support of the ITGC staff and scientists in the execution of this ambitious field campaign. The Icefin team acknowledges past Georgia Tech team members who helped develop and field the vehicle: J. Lutz, M. Kit' Philleo, C. Ramey, C. Walker, J. Buffo, T. Hobbs and School of Earth and Atmospheric Sciences (EAS) chair G. Huey and the EAS staff who supported this work. The Icefin vehicle was initially developed with funding from Georgia Institute of Technology and startup funds for B.E.S. Now in its third version, Icefin was redesigned under NASA grant NNX16AL07G, principal investigator B.E.S. The Icefin project is now located at Cornell University.</t>
  </si>
  <si>
    <t>10.1038/s41586-022-05691-0</t>
  </si>
  <si>
    <t>9E6DL</t>
  </si>
  <si>
    <t>WOS:000936873800002</t>
  </si>
  <si>
    <t>Davis, PED; Nicholls, KW; Holland, DM; Schmidt, BE; Washam, P; Riverman, KL; Arthern, RJ; Vankova, I; Eayrs, C; Smith, JA; Anker, PGD; Mullen, AD; Dichek, D; Lawrence, JD; Meister, MM; Clyne, E; Basinski-Ferris, A; Rignot, E; Queste, BY; Boehme, L; Heywood, KJ; Anandakrishnan, S; Makinson, K</t>
  </si>
  <si>
    <t>Davis, Peter E. D.; Nicholls, Keith W.; Holland, David M.; Schmidt, Britney E.; Washam, Peter; Riverman, Kiya L.; Arthern, Robert J.; Vankova, Irena; Eayrs, Clare; Smith, James A.; Anker, Paul G. D.; Mullen, Andrew D.; Dichek, Daniel; Lawrence, Justin D.; Meister, Matthew M.; Clyne, Elisabeth; Basinski-Ferris, Aurora; Rignot, Eric; Queste, Bastien Y.; Boehme, Lars; Heywood, Karen J.; Anandakrishnan, Sridhar; Makinson, Keith</t>
  </si>
  <si>
    <t>Suppressed basal melting in the eastern Thwaites Glacier grounding zone</t>
  </si>
  <si>
    <t>BOUNDARY-LAYER BENEATH; ANTARCTIC ICE-SHEET; WEST ANTARCTICA; PINE ISLAND; KOHLER GLACIERS; LINE RETREAT; SHELF; COLLAPSE; RADAR; DESTABILIZATION</t>
  </si>
  <si>
    <t>Thwaites Glacier is one of the fastest-changing ice-ocean systems in Antarctica(1-3). Much of the ice sheet within the catchment of Thwaites Glacier is grounded below sea level on bedrock that deepens inland(4), making it susceptible to rapid and irreversible ice loss that could raise the global sea level by more than half a metre(2,3,5). The rate and extent of ice loss, and whether it proceeds irreversibly, are set by the ocean conditions and basal melting within the grounding-zone region where Thwaites Glacier first goes afloat(3,6), both of which are largely unknown. Here we show-using observations from a hot-water-drilled access hole-that the grounding zone of Thwaites Eastern Ice Shelf (TEIS) is characterized by a warm and highly stable water column with temperatures substantially higher than the in situ freezing point. Despite these warm conditions, low current speeds and strong density stratification in the ice-ocean boundary layer actively restrict the vertical mixing of heat towards the ice base(7,8), resulting in strongly suppressed basal melting. Our results demonstrate that the canonical model of ice-shelf basal melting used to generate sea-level projections cannot reproduce observed melt rates beneath this critically important glacier, and that rapid and possibly unstable grounding-line retreat may be associated with relatively modest basal melt rates.</t>
  </si>
  <si>
    <t>[Davis, Peter E. D.; Nicholls, Keith W.; Arthern, Robert J.; Vankova, Irena; Smith, James A.; Anker, Paul G. D.; Makinson, Keith] British Antarctic Survey, Cambridge, England; [Holland, David M.; Basinski-Ferris, Aurora] NYU, Courant Inst Math Sci, New York, NY USA; [Holland, David M.; Eayrs, Clare] New York Univ Abu Dhabi, Ctr Global Sea Level Change, Abu Dhabi, U Arab Emirates; [Schmidt, Britney E.; Washam, Peter; Mullen, Andrew D.; Dichek, Daniel; Meister, Matthew M.] Cornell Univ, Dept Astron, Ithaca, NY USA; [Riverman, Kiya L.] Univ Portland, Dept Environm Studies, Portland, OR USA; [Riverman, Kiya L.] Oregon State Univ, Coll Earth Ocean &amp; Atmospher Sci, Corvallis, OR USA; [Lawrence, Justin D.] Georgia Inst Technol, Atlanta, GA USA; [Clyne, Elisabeth; Anandakrishnan, Sridhar] Penn State Univ, Dept Geosci, State Coll, PA USA; [Clyne, Elisabeth] Lewis &amp; Clark Coll, Environm Studies, Portland, OR USA; [Rignot, Eric] Univ Calif Irvine, Dept Earth Syst Sci, Irvine, CA USA; [Rignot, Eric] CALTECH, Jet Prop Lab, Pasadena, CA USA; [Queste, Bastien Y.] Univ Gothenburg, Dept Marine Sci, Gothenburg, Sweden; [Boehme, Lars] Univ St Andrews, Scottish Oceans Inst, St Andrews, Fife, Scotland; [Heywood, Karen J.] Univ East Anglia, Ctr Ocean &amp; Atmospher Sci, Sch Environm Sci, Norwich, England</t>
  </si>
  <si>
    <t>UK Research &amp; Innovation (UKRI); Natural Environment Research Council (NERC); NERC British Antarctic Survey; New York University; New York University Abu Dhabi; Cornell University; University of Portland; Oregon State University; University System of Georgia; Georgia Institute of Technology; Pennsylvania Commonwealth System of Higher Education (PCSHE); Pennsylvania State University; University of California System; University of California Irvine; National Aeronautics &amp; Space Administration (NASA); NASA Jet Propulsion Laboratory (JPL); California Institute of Technology; University of Gothenburg; University of St Andrews; University of East Anglia</t>
  </si>
  <si>
    <t>Davis, PED (corresponding author), British Antarctic Survey, Cambridge, England.</t>
  </si>
  <si>
    <t>petvis@bas.ac.uk</t>
  </si>
  <si>
    <t>Eayrs, Clare/T-7969-2019; Rignot, Eric/A-4560-2014; Makinson, Keith/A-2495-2013; Heywood, Karen J/L-1757-2016; Anandakrishnan, Sridhar/JCN-5026-2023; Boehme, Lars/B-6567-2009</t>
  </si>
  <si>
    <t>Eayrs, Clare/0000-0003-3129-7604; Rignot, Eric/0000-0002-3366-0481; Makinson, Keith/0000-0002-5791-1767; Smith, James/0000-0002-1333-2544; Davis, Peter/0000-0002-6471-6310; Lawrence, Justin/0000-0001-7520-5914; Boehme, Lars/0000-0003-3513-6816; Mullen, Andrew/0000-0002-2819-4797</t>
  </si>
  <si>
    <t>National Science Foundation (NSF) [1739003]; Natural Environment Research Council (NERC) [NE/S006656/1]; ITGC TARSAN project (NERC) [NE/S006419/1, NE/S006591/1]; NSF [1929991]; NERC [NE/S006656/1, NE/S006591/1] Funding Source: UKRI; Office of Polar Programs (OPP); Directorate For Geosciences [1929991] Funding Source: National Science Foundation</t>
  </si>
  <si>
    <t>National Science Foundation (NSF)(National Science Foundation (NSF)); Natural Environment Research Council (NERC)(UK Research &amp; Innovation (UKRI)Natural Environment Research Council (NERC)); ITGC TARSAN project (NERC); NSF(National Science Foundation (NSF)); NERC(UK Research &amp; Innovation (UKRI)Natural Environment Research Council (NERC)); Office of Polar Programs (OPP); Directorate For Geosciences(National Science Foundation (NSF)NSF - Directorate for Geosciences (GEO))</t>
  </si>
  <si>
    <t>This work is from the MELT project, a component of the International Thwaites Glacier Collaboration (ITGC). Support from the National Science Foundation (NSF, grant no. 1739003) and the Natural Environment Research Council (NERC, grant no. NE/S006656/1). Logistics provided by NSF U.S. Antarctic Program and NERC British Antarctic Survey. The ship-based CTD data were supported by the ITGC TARSAN project (NERC grant nos. NE/S006419/1 and NE/S006591/1; NSF grant no. 1929991). ITGC contribution no. ITGC 047.</t>
  </si>
  <si>
    <t>10.1038/s41586-022-05586-0</t>
  </si>
  <si>
    <t>WOS:000936873800003</t>
  </si>
  <si>
    <t>Scott, WI; Kramer, SC; Holland, PR; Nicholls, KW; Siegert, MJ; Piggott, MD</t>
  </si>
  <si>
    <t>Scott, William I.; Kramer, Stephan C.; Holland, Paul R.; Nicholls, Keith W.; Siegert, Martin J.; Piggott, Matthew D.</t>
  </si>
  <si>
    <t>Towards a fully unstructured ocean model for ice shelf cavity environments: Model development and verification using the Firedrake finite element framework</t>
  </si>
  <si>
    <t>FEM; Ice shelf cavities; Firedrake; Adjoint; Verification; MMS</t>
  </si>
  <si>
    <t>AMUNDSEN SEA EMBAYMENT; THWAITES GLACIER; WEST ANTARCTICA; MELT RATES; CIRCULATION; ADJOINT; SHELF/OCEAN; SIMULATION; GENERATION; ADVECTION</t>
  </si>
  <si>
    <t>Numerical studies of ice flow have consistently identified the grounding zone of outlet glaciers and ice streams (the region where ice starts to float) as crucial for predicting the rate of grounded ice loss to the ocean. Owing to the extreme environments and difficulty of access to ocean cavities beneath ice shelves, field observations are rare. Estimates of melt rates derived from satellites are also difficult to make near grounding zones with confidence. Therefore, numerical ocean models are important tools to investigate these critical and remote regions. The relative inflexibility of structured grid models means, however, that they can struggle to resolve these processes in irregular cavity geometries near grounding zones. To help solve this issue, we present a new nonhydrostatic unstructured mesh model for flow under ice shelves built using the Firedrake finite element framework. We demonstrate our ability to simulate full ice shelf cavity domains using the community standard ISOMIP+ Ocean0 test case and compare our results against those obtained with the popular MITgcm model. Good agreement is found between the two models, despite their use of different discretisation schemes and the sensitivity of the melt rate parameterisation to grid resolution. Verification tests based on the Method of Manufactured Solutions (MMS) show that the new model discretisation is sound and second-order accurate. A main driver behind using Firedrake is the availability of an automatically generated adjoint model. Our first adjoint calculations, of sensitivities of melt rate with respect to different inputs in an idealised grounding zone domain, are promising and point to the ability to address a number of important questions on ocean influence on ice shelf vulnerability in the future.</t>
  </si>
  <si>
    <t>[Scott, William I.; Kramer, Stephan C.; Siegert, Martin J.; Piggott, Matthew D.] Imperial Coll London, Dept Earth Sci &amp; Engn, Sci &amp; Solut Changing Planet DTP, Prince Consort Rd, London SW7 2BP, England; [Scott, William I.; Siegert, Martin J.; Piggott, Matthew D.] Imperial Coll London, Grantham Inst Climate Change, Sci &amp; Solut Changing Planet DTP, Exhibit Rd, London SW7 2AZ, England; [Holland, Paul R.; Nicholls, Keith W.] British Antarctic Survey, High Cross, Madingley Rd, Cambridge CB3 0ET, England; [Siegert, Martin J.] Univ Exeter, Tremough House, Penryn TR10 9FE, Cornwall, England</t>
  </si>
  <si>
    <t>Imperial College London; Imperial College London; UK Research &amp; Innovation (UKRI); Natural Environment Research Council (NERC); NERC British Antarctic Survey; University of Exeter</t>
  </si>
  <si>
    <t>Scott, WI (corresponding author), Imperial Coll London, Dept Earth Sci &amp; Engn, Sci &amp; Solut Changing Planet DTP, Prince Consort Rd, London SW7 2BP, England.</t>
  </si>
  <si>
    <t>wis15@ic.ac.uk</t>
  </si>
  <si>
    <t>Siegert, Martin/M-9939-2019; Scott, William/JEP-0200-2023</t>
  </si>
  <si>
    <t>Siegert, Martin/0000-0002-0090-4806; Scott, William/0000-0003-4982-5516</t>
  </si>
  <si>
    <t>Natural Environment Research Council [NE/S007415/1, NE/G018391/1]; National Science Foundation (NSF) [NSF PLR 1739003]; Natural Environment Research Council (NERC) [NE/S006656/1, NE/S006427/1]; NSF- U.S. Antarctic Program; NERC-British Antarctic Survey; Engineering and Physical Sciences Research Council; [EP/R029423/1]; EPSRC [EP/R029423/1] Funding Source: UKRI; NERC [2285049, NE/S006427/1, NE/G018391/1, NE/S006656/1] Funding Source: UKRI</t>
  </si>
  <si>
    <t>Natural Environment Research Council(UK Research &amp; Innovation (UKRI)Natural Environment Research Council (NERC)); National Science Foundation (NSF)(National Science Foundation (NSF)); Natural Environment Research Council (NERC)(UK Research &amp; Innovation (UKRI)Natural Environment Research Council (NERC)); NSF- U.S. Antarctic Program; NERC-British Antarctic Survey(UK Research &amp; Innovation (UKRI)Natural Environment Research Council (NERC)); Engineering and Physical Sciences Research Council(UK Research &amp; Innovation (UKRI)Engineering &amp; Physical Sciences Research Council (EPSRC)); ; EPSRC(UK Research &amp; Innovation (UKRI)Engineering &amp; Physical Sciences Research Council (EPSRC)); NERC(UK Research &amp; Innovation (UKRI)Natural Environment Research Council (NERC))</t>
  </si>
  <si>
    <t>We would like to thank Benjamin Yeager for useful discussions and initial help setting up MITgcm. Simulations were carried out using the high performance cluster of the Research Computing Service at Imperial College London. We would like to thank Xylar Asay-Davies and one other anonymous reviewer for their constructive comments that helped to improve this paper. This work was supported by the Natural Environment Research Council (NE/S007415/1 and NE/G018391/1) . This work is also from the MELT project, a component of the International Thwaites Glacier Collaboration (ITGC) . Support from National Science Foundation (NSF: Grant NSF PLR 1739003) and Natural Environment Research Council (NERC: Grant NE/S006656/1 and NE/S006427/1) . Logistics provided by NSF- U.S. Antarctic Program and NERC-British Antarctic Survey. ITGC Contribution No. ITGC-097. This work was also supported by the Engineering and Physical Sciences Research Council (EP/R029423/1) .</t>
  </si>
  <si>
    <t>10.1016/j.ocemod.2023.102178</t>
  </si>
  <si>
    <t>9M7MF</t>
  </si>
  <si>
    <t>WOS:000942408400001</t>
  </si>
  <si>
    <t>Gilbert, NE; LeCleir, GR; Pound, HL; Strzepek, RF; Ellwood, MJ; Twining, BS; Roux, S; Boyd, PW; Wilhelm, SW</t>
  </si>
  <si>
    <t>Gilbert, Naomi E.; LeCleir, Gary R.; Pound, Helena L.; Strzepek, Robert F.; Ellwood, Michael J.; Twining, Benjamin S.; Roux, Simon; Boyd, Philip W.; Wilhelm, Steven W.</t>
  </si>
  <si>
    <t>Giant Virus Infection Signatures Are Modulated by Euphotic Zone Depth Strata and Iron Regimes of the Subantarctic Southern Ocean</t>
  </si>
  <si>
    <t>Monodnaviria; Nucleocytoviricota; Ribovaria; SOTS; iron availability; marine microbiology; metatranscriptomics; phytoplankton; virocells</t>
  </si>
  <si>
    <t>ENHANCED VIRAL PRODUCTION; MARINE VIRUSES; PHYTOPLANKTON BLOOM; PROTEIN; BACTERIOPLANKTON; VIRIOPLANKTON; EXPRESSION; PHYSIOLOGY; COMMUNITY; DYNAMICS</t>
  </si>
  <si>
    <t>Viruses can alter the abundance, evolution, and metabolism of microorganisms in the ocean, playing a key role in water column biogeochemistry and global carbon cycles. Large efforts to measure the contribution of eukaryotic microorganisms (e.g., protists) to the marine food web have been made, yet the in situ activities of the ecologically relevant viruses that infect these organisms are not well characterized. Viruses within the phylum Nucleocytoviricota (giant viruses) are known to infect a diverse range of ecologically relevant marine protists, yet how these viruses are influenced by environmental conditions remains under-characterized. By employing metatranscriptomic analyses of in situ microbial communities along a temporal and depth-resolved gradient, we describe the diversity of giant viruses at the Southern Ocean Time Series (SOTS), a site within the subpolar Southern Ocean. Using a phylogeny-guided taxonomic assessment of detected giant virus genomes and metagenome-assembled genomes, we observed depth-dependent structuring of divergent giant virus families mirroring dynamic physicochemical gradients in the stratified euphotic zone. Analyses of transcribed metabolic genes from giant viruses suggest viral metabolic reprogramming of hosts from the surface to a 200-m depth. Lastly, using on-deck incubations reflecting a gradient of iron availability, we show that modulating iron regimes influences the activity of giant viruses in the field. Specifically, we show enhanced infection signatures of giant viruses under both iron-replete and iron-limited conditions. Collectively, these results expand our understanding of how the water column's vertical biogeography and chemical surroundings affect an important group of viruses within the Southern Ocean.IMPORTANCE The biology and ecology of marine microbial eukaryotes is known to be constrained by oceanic conditions. In contrast, how viruses that infect this important group of organisms respond to environmental change is less well known, despite viruses being recognized as key microbial community members. Here, we address this gap in our understanding by characterizing the diversity and activity of giant viruses within an important region in the sub-Antarctic Southern Ocean. Giant viruses are double-stranded DNA (dsDNA) viruses of the phylum Nucleocytoviricota and are known to infect a wide range of eukaryotic hosts. By employing a metatranscriptomics approach using both in situ samples and microcosm manipulations, we illuminated both the vertical biogeography and how changing iron availability affects this primarily uncultivated group of protist-infecting viruses. These results serve as a foundation for our understanding of how the open ocean water column structures the viral community, which can be used to guide models of the viral impact on marine and global biogeochemical cycling. The biology and ecology of marine microbial eukaryotes is known to be constrained by oceanic conditions. In contrast, how viruses that infect this important group of organisms respond to environmental change is less well known, despite viruses being recognized as key microbial community members.</t>
  </si>
  <si>
    <t>[Gilbert, Naomi E.; LeCleir, Gary R.; Pound, Helena L.; Wilhelm, Steven W.] Univ Tennessee, Dept Microbiol, Knoxville, TN 37996 USA; [Strzepek, Robert F.; Boyd, Philip W.] Univ Tasmania, Inst Marine &amp; Antarctic Studies, Hobart, Tas, Australia; [Ellwood, Michael J.] Australian Natl Univ, Res Sch Earth Sci, Canberra, ACT, Australia; [Twining, Benjamin S.] Bigelow Lab Ocean Sci, East Boothbay, ME USA; [Roux, Simon] Lawrence Berkeley Natl Lab, DOE Joint Genome Inst, Berkeley, CA USA</t>
  </si>
  <si>
    <t>University of Tennessee System; University of Tennessee Knoxville; University of Tasmania; Australian National University; Bigelow Laboratory for Ocean Sciences; United States Department of Energy (DOE); Lawrence Berkeley National Laboratory</t>
  </si>
  <si>
    <t>Wilhelm, SW (corresponding author), Univ Tennessee, Dept Microbiol, Knoxville, TN 37996 USA.</t>
  </si>
  <si>
    <t>wilhelm@utk.edu</t>
  </si>
  <si>
    <t>Boyd, Philip W/J-7624-2014; Wilhelm, Steven W/B-8963-2008; Ellwood, Michael J/G-7390-2011; Roux, Simon/ABE-6255-2020; Strzepek, Robert Francis/GQH-8703-2022</t>
  </si>
  <si>
    <t>Wilhelm, Steven W/0000-0001-6283-8077; Roux, Simon/0000-0002-5831-5895; Strzepek, Robert Francis/0000-0002-6442-7121; Ellwood, Michael/0000-0003-4288-8530</t>
  </si>
  <si>
    <t>Australian Research Council's Discovery program [DP170102108, DP220100289]; National Science Foundation [OCE-1829641]; Office of Science of the U.S. Department of Energy [DE-AC02-05CH11231]</t>
  </si>
  <si>
    <t>Australian Research Council's Discovery program(Australian Research Council); National Science Foundation(National Science Foundation (NSF)); Office of Science of the U.S. Department of Energy(United States Department of Energy (DOE))</t>
  </si>
  <si>
    <t>We thank the officers, crew, and research staff of the Marine National Facility and the RV Investigator for their help with sample collection and hydrochemistry data generation. Financial support for this research was provided by the Australian Research Council's Discovery program (DP170102108, DP220100289). Ship time was provided via Australia's Marine National Facility. A National Science Foundation grant (no. OCE-1829641) to S.W.W. supported this work. The work (proposal: 10.46936/10.25585/60001188) conducted by the U.S. Department of Energy Joint Genome Institute (https://ror.org/04xm1d337), a DOE Office of Science User Facility, is supported by the Office of Science of the U.S. Department of Energy under contract no. DE-AC02-05CH11231.</t>
  </si>
  <si>
    <t>10.1128/msystems.01260-22</t>
  </si>
  <si>
    <t>WOS:000937400300001</t>
  </si>
  <si>
    <t>Sun, PZ; Zhang, XD; Ren, X; Cao, ZQ; Zhao, YF; Man, H; Li, DM</t>
  </si>
  <si>
    <t>Sun, Peizi; Zhang, Xuedi; Ren, Xiang; Cao, Zhiqi; Zhao, Yanfen; Man, Hao; Li, Dongmei</t>
  </si>
  <si>
    <t>Effect of Basic Amino Acid Pretreatment on the Quality of Canned Antarctic Krill</t>
  </si>
  <si>
    <t>FOOD AND BIOPROCESS TECHNOLOGY</t>
  </si>
  <si>
    <t>Antarctic krill (Euphausia superba); Canned; Basic amino acids; Texture; Water distribution</t>
  </si>
  <si>
    <t>LIPID OXIDATION; EUPHAUSIA-SUPERBA; L-LYSINE; CHICKEN; MEAT; PROTEIN; COLOR; CHITOSAN; STORAGE; SHRIMP</t>
  </si>
  <si>
    <t>The present study sought to evaluate the effect of basic amino acid (L-arginine (Arg), L-lysine (Lys), and L-histidine (His)) pretreatment on the quality of canned Antarctic krill. Additionally, the changes in krill meat at different pretreatment conditions and processing stages were measured. The Lys-pretreated krill meat exhibited 39.9% lower hardness, 19.8% lower chewiness, and 47.2% lower thiobarbituric acid reaction substances (TBARS) compared to the control group. The low-field nuclear magnetic resonance (LF-NMR) and the magnetic resonance imaging (MRI) analyses revealed that the Lys-pretreated krill meat showed a larger peak area of immobile water and a higher pseudo-color image brightness. The scanning electron microscopy (SEM) results showed that the microstructure of krill meat in the control group was broken and disordered, while the microstructural network of Lys-pretreated krill meat was more complete. This result indicated that Lys effectively improved the texture, water-holding capacity, and color of krill meat, protecting the microstructure and reducing the degree of oxidation. The sensory evaluation results showed that the Lys-treated canned Antarctic krill had a better flavor and texture than other canned products. Overall, Lys could be a potential regulatory strategy for effectively enhancing the quality of canned Antarctic krill.</t>
  </si>
  <si>
    <t>[Sun, Peizi; Zhang, Xuedi; Ren, Xiang; Cao, Zhiqi; Zhao, Yanfen; Man, Hao; Li, Dongmei] Dalian Polytech Univ, Natl Engn Res Ctr Seafood, Sch Food Sci &amp; Technol, Dalian 116034, Liaoning, Peoples R China; [Li, Dongmei] Minist Educ China, Engn Res Ctr Seafood, Dalian 116034, Liaoning, Peoples R China; [Li, Dongmei] Dalian Polytech Univ, Collaborat Innovat Ctr Seafood Deep Proc, Dalian 116034, Liaoning, Peoples R China</t>
  </si>
  <si>
    <t>Li, DM (corresponding author), Dalian Polytech Univ, Natl Engn Res Ctr Seafood, Sch Food Sci &amp; Technol, Dalian 116034, Liaoning, Peoples R China.;Li, DM (corresponding author), Minist Educ China, Engn Res Ctr Seafood, Dalian 116034, Liaoning, Peoples R China.;Li, DM (corresponding author), Dalian Polytech Univ, Collaborat Innovat Ctr Seafood Deep Proc, Dalian 116034, Liaoning, Peoples R China.</t>
  </si>
  <si>
    <t>426417898@qq.com</t>
  </si>
  <si>
    <t>FENG, X/JPL-4188-2023; huang, libo/JMB-4345-2023; Yang, Yifan/JTV-1487-2023; zhao, lin/JPK-8436-2023; wang, wenjuan/JGD-0428-2023; jing, wang/KCZ-2144-2024; wu, xiaokang/JUJ-4602-2023; LIU, HUI/JPX-8014-2023; Wang, Chao/JHT-6081-2023</t>
  </si>
  <si>
    <t>wang, wenjuan/0000-0002-4220-8817;</t>
  </si>
  <si>
    <t>National Key Research and Development Project of Dalian [2022YF16SN033]; National Key Research and Development Project of Dalian [2022YF16SN033]</t>
  </si>
  <si>
    <t>National Key Research and Development Project of Dalian; National Key Research and Development Project of Dalian</t>
  </si>
  <si>
    <t>This work was supported by the National Key Research and Development Project of Dalian (Grant No. 2022YF16SN033)</t>
  </si>
  <si>
    <t>1935-5130</t>
  </si>
  <si>
    <t>1935-5149</t>
  </si>
  <si>
    <t>FOOD BIOPROCESS TECH</t>
  </si>
  <si>
    <t>Food Bioprocess Technol.</t>
  </si>
  <si>
    <t>10.1007/s11947-023-03027-y</t>
  </si>
  <si>
    <t>K5XK1</t>
  </si>
  <si>
    <t>WOS:000937454000001</t>
  </si>
  <si>
    <t>Guo, ZX; Kohno, N</t>
  </si>
  <si>
    <t>Guo, Zixuan; Kohno, Naoki</t>
  </si>
  <si>
    <t>An Early Miocene kentriodontoid (Cetacea: Odontoceti) from the western North Pacific, and its implications for their phylogeny and paleobiogeography</t>
  </si>
  <si>
    <t>ANTARCTIC ICE-SHEET; DELPHINOIDEA; TRANSITION; EVOLUTION; CLIMATE; JAPAN; TOOL</t>
  </si>
  <si>
    <t>So-called 'kentriodontids' are extinct dolphin-like odontocetes known from the Early to Late Miocene worldwide. Although recent studies have proposed that they were monophyletic, their taxonomic relationships still remain controversial. Such a controversy exists partly because of the predominance of primitive morphologies in this taxon, but the fact is that quite a few 'kentriodontids' are known only from fragmentary skulls and/or isolated periotics. A new 'kentriodontid' Platysvercus ugonis gen. et sp. nov. is described based on a nearly complete skull from the upper Lower Miocene Sugota Formation, Akita Prefecture, northern Japan. Based on the phylogenetic analysis of P. ugonis described here, the monophyly of the 'kentriodontids' is confirmed, and it is recognized as the superfamily Kentriodontoidea. This new superfamily is subdivided into two families as new ranks: Kentriodontidae and Lophocetidae. Based on the paleobiogeographic analysis of the Kentriodontoidea, their common ancestor emerged in the North Pacific Ocean and spread over the Northern Hemisphere. Initial diversification of the Kentriodontidae in the North Pacific Ocean and the Lophocetidae in the North Atlantic Ocean was recognized as a vicariance event. The diversification and extinction of the Kentriodontoidea could have been synchronously influenced by climate events during the Middle Miocene.</t>
  </si>
  <si>
    <t>[Guo, Zixuan; Kohno, Naoki] Univ Tsukuba, Grad Sch Life &amp; Environm Sci, Tsukuba, Japan; [Kohno, Naoki] Natl Museum Nat &amp; Sci, Dept Geol &amp; Paleontol, Tsukuba, Japan</t>
  </si>
  <si>
    <t>University of Tsukuba; National Museum of Nature and Science</t>
  </si>
  <si>
    <t>Guo, ZX (corresponding author), Univ Tsukuba, Grad Sch Life &amp; Environm Sci, Tsukuba, Japan.</t>
  </si>
  <si>
    <t>guo_z@geol.tsukuba.ac.jp</t>
  </si>
  <si>
    <t>Guo, Zixuan/KAM-7011-2024</t>
  </si>
  <si>
    <t>Guo, Zixuan/0000-0002-6775-8743</t>
  </si>
  <si>
    <t>Grants-in-Aid for Scientific Research [22KJ0380] Funding Source: KAKEN</t>
  </si>
  <si>
    <t>FEB 15</t>
  </si>
  <si>
    <t>e0280218</t>
  </si>
  <si>
    <t>10.1371/journal.pone.0280218</t>
  </si>
  <si>
    <t>Q3IH2</t>
  </si>
  <si>
    <t>WOS:001056479600024</t>
  </si>
  <si>
    <t>Peltier, C; Kaplan, MR; Sagredo, EA; Moreno, PI; Araos, J; Birkel, SD; Villa-Martínez, R; Schwartz, R; Reynhout, SA; Schaefer, JM</t>
  </si>
  <si>
    <t>Peltier, Carly; Kaplan, Michael R.; Sagredo, Esteban A.; Moreno, Patricio I.; Araos, Jose; Birkel, Sean D.; Villa-Martinez, Rodrigo; Schwartz, Roseanne; Reynhout, Scott A.; Schaefer, Joerg M.</t>
  </si>
  <si>
    <t>The last two glacial cycles in central Patagonia: A precise record from the Nirehuao glacier lobe</t>
  </si>
  <si>
    <t>Quaternary; Glaciation; Paleoclimatology; South America; Paleo ice sheet modeling; Patagonia; MIS 6; MIS 2; Glacial geomorphology; Be-10 exposure Dating</t>
  </si>
  <si>
    <t>LAGO BUENOS-AIRES; COSMOGENIC NUCLIDE CHRONOLOGY; BE-10 PRODUCTION-RATE; TORRES DEL PAINE; EXPOSURE AGES; SOUTHERN ALPS; ICE LOBES; ANTARCTIC TEMPERATURE; PRODUCTION-RATES; EROSION RATES</t>
  </si>
  <si>
    <t>Milankovitch orbital parameters control cycles of insolation, a primary pacer of long term changes in climate, but exactly how insolation signals are transmitted around the globe in the climate system is unclear. In order to address the fundamental questions of when and how ice age climates begin and end, how fast glaciers retreated during the last deglaciation, and how glaciers behaved before anthropogenic influence, we need robust glacial chronologies. The timing of local glacial maxima beyond the last glacial cycle, however, has remained largely unconstrained due to moraine degradation over time, limiting our ability to fully explore these questions. By developing a detailed geomorphic surficial map and targeting relatively tall, ridge-top boulders, we have constructed a new, precise 10Be chronology of glacial maxima of the Nirehuao glacier lobe (45 degrees S) for the last two glacial cycles. We report one of the first directly dated records of a MIS 6 glacier advance in Patagonia, which formed a major set of moraines by at least 153 +/- 5.1 ka, with a stillstand or smaller readvance by 137 +/- 4.2 ka, corresponding to the two coldest and dustiest periods of MIS 6 in Antarctica. The next largest advance occurred at 23.6 +/- 0.9 ka, at the end of peak Southern Hemisphere MIS 2 cooling. Retreat of the glacier commenced by similar to 18.5 cal ka BP when lakes in a tributary valley just to the southwest became ice-free. Overall we find that advances of the Nirehuao glacier lobe occur when winter sea ice around Antarctica is expansive and both obliquity and eccentricity are at their minima. (c) 2022 Published by Elsevier Ltd.</t>
  </si>
  <si>
    <t>[Peltier, Carly; Schaefer, Joerg M.] Columbia Univ, Dept Earth &amp; Environm Sci, New York, NY 10027 USA; [Peltier, Carly; Kaplan, Michael R.; Schwartz, Roseanne; Schaefer, Joerg M.] Lamont Doherty Earth Observ, Palisades, NY 10964 USA; [Peltier, Carly] Dartmouth Coll, Dept Earth Sci, Hanover, NH 03755 USA; [Sagredo, Esteban A.] Pontificia Univ Catolica Chile, Inst Geog, Santiago, Chile; [Sagredo, Esteban A.; Moreno, Patricio I.; Villa-Martinez, Rodrigo] Millennium Sci Initiat, Millennium Nucleus Paleoclimate, Santiago, Chile; [Sagredo, Esteban A.; Villa-Martinez, Rodrigo] Pontificia Univ Catolica Chile, Estacio Patagonia Invest Interdisciplinarias UC, Santiago, Chile; [Moreno, Patricio I.] Univ Chile, Inst Ecol &amp; Biodivers, Dept Ecol Sci, Santiago, Chile; [Araos, Jose] Univ Alberto Hurtado, Fac Cs Sociales, Dept Geog, Cienfuegos 41, Santiago, Chile; [Birkel, Sean D.] Univ Maine, Climate Change Inst, Orono, ME 04469 USA; [Birkel, Sean D.] Univ Maine, Sch Earth &amp; Climate Sci, Orono, ME 04469 USA; [Villa-Martinez, Rodrigo] Univ Magallanes, Ctr Invest GAIA Antartica, Punta Arenas, Chile; [Villa-Martinez, Rodrigo] Ctr Int Cabo Hornos, Isla Navarino, Chile; [Reynhout, Scott A.] Univ Chile, Fac Ciencias Fis &amp; Matemat, Dept Geol, Santiago, Chile</t>
  </si>
  <si>
    <t>Columbia University; Columbia University; Dartmouth College; Pontificia Universidad Catolica de Chile; Pontificia Universidad Catolica de Chile; Universidad de Chile; Universidad Alberto Hurtado; University of Maine System; University of Maine Orono; University of Maine System; University of Maine Orono; Universidad de Magallanes; Universidad de Chile</t>
  </si>
  <si>
    <t>Peltier, C (corresponding author), Dartmouth Coll, Dept Earth Sci, Hanover, NH 03755 USA.</t>
  </si>
  <si>
    <t>Carly.S.Peltier@Dartmouth.edu</t>
  </si>
  <si>
    <t>Villa, Rodrigo/F-5737-2014; Moreno, Patricio/D-2317-2012; SAGREDO, ESTEBAN/B-7280-2016</t>
  </si>
  <si>
    <t>Villa, Rodrigo/0000-0001-6041-4393; Moreno, Patricio/0000-0002-1333-6238; SAGREDO, ESTEBAN/0000-0002-4494-5423</t>
  </si>
  <si>
    <t>FONDECYT [1180815, 1121141]; Fulbright Commission Visiting Scholar Grant; Fulbright U.S. Student Grant; ANID/BASAL [FB210018]</t>
  </si>
  <si>
    <t>FONDECYT(Comision Nacional de Investigacion Cientifica y Tecnologica (CONICYT)CONICYT FONDECYT); Fulbright Commission Visiting Scholar Grant; Fulbright U.S. Student Grant; ANID/BASAL</t>
  </si>
  <si>
    <t>Funding from FONDECYT 1180815 and 1121141 (Villa-Martinez) and ANID/BASAL FB210018 (Villa-Martinez) . We also acknowledge the Fulbright Commission Visiting Scholar Grant (Kaplan) , and Fulbright U.S. Student Grant (Peltier) .</t>
  </si>
  <si>
    <t>10.1016/j.quascirev.2022.107873</t>
  </si>
  <si>
    <t>H0FL7</t>
  </si>
  <si>
    <t>WOS:000992807400001</t>
  </si>
  <si>
    <t>Singh, AD; Holbourn, A; Kuhnt, W</t>
  </si>
  <si>
    <t>Singh, Arun Deo; Holbourn, Ann; Kuhnt, Wolfgang</t>
  </si>
  <si>
    <t>Editorial preface to special issue: Recent advances in Indian Ocean paleoceanography and paleoclimate</t>
  </si>
  <si>
    <t>Indian Ocean; Paleoceanography; Paleoclimate; Neogene; Quaternary</t>
  </si>
  <si>
    <t>SUMMER MONSOON; ARABIAN SEA; CLIMATE; VARIABILITY</t>
  </si>
  <si>
    <t>This Special Issue on Recent advances in Indian Ocean Paleoceanography and Paleoclimate comprises thirteen research articles. Contributions variously discuss Neogene oceanographic evolution of the tropical Indian Ocean in relation to global climate change, oxygenation, acidification and its effects on calcifying phytoplankton, variability of the Indian-Australian monsoon and monsoon-response to external forcing and internal feedbacks. Some key findings are as follows: Hyperthermal events at eccentricity maxima during the Miocene Climatic Optimum led to the acidification of poorly ventilated deep waters and carbonate dissolution in the equatorial Indian Ocean. During the Middle Miocene Climatic Transition, intensification of deep ocean ventilation at low-latitudes following Antarctic ice sheet expansion prevented re-establishment of hyperthermal conditions after similar to 13.1 Ma. Bottom water conditions in the eastern Arabian Sea remained oxic during the late Miocene-Pliocene, but shifted to suboxic during the Pleistocene, most likely due to the combined effect of decreasing deep-water ventilation and enhanced monsoon circulation. During this interval, changes in monsoonal winds and the inter-ocean transfer of water masses through the Indonesian Throughflow strongly affected the surface-subsurface dynamics of the tropical Indian Ocean. Shoaling of the thermocline in the tropical eastern Indian Ocean occurred between 6 and 3.4 Ma in response to intensification of the Indian summer monsoon. Enhanced Indonesian Throughflow resulted in intensification of cross-equatorial sea surface temperature and pressure gradients and increased summer monsoon precipitation at 2.95 Ma, as inferred from Arabian Sea proxy records. Eastward flowing nutrient-rich, saltier water influenced the surface hydrography of the tropical eastern Indian Ocean between 2.7 and 1.2 Ma. Variations in Indian monsoon precipitation and wind intensity acting in concert with Northern Hemisphere climatic oscillations drove millennial- to centennial-scale changes in surface hydrography and productivity in the Bay of Bengal and Andaman Sea during the late Glacial-Holocene. Rapid intensification of Australian summer monsoon precipitation at the end of glacial terminations coincided with maxima in atmospheric CO2 and CH4 concentrations and in Antarctic temperature. Evidence presented in this special issue indicates that greenhouse gas concentrations and high latitude climate in conjunction with variations in the insolation gradient between the Southern Hemisphere tropics and subtropics modulated the strength of the tropical convection, the latitudinal migration of the Inter-Tropical Convergence Zone and the intensity of the Indian-Australian monsoon.</t>
  </si>
  <si>
    <t>[Singh, Arun Deo] Banaras Hindu Univ, Dept Geol, Varanasi 221005, India; [Holbourn, Ann; Kuhnt, Wolfgang] Univ Kiel, Inst Geosci, Ludewig Meyn Str 10-14, D-24118 Kiel, Germany</t>
  </si>
  <si>
    <t>Banaras Hindu University (BHU); University of Kiel</t>
  </si>
  <si>
    <t>Singh, AD (corresponding author), Banaras Hindu Univ, Dept Geol, Varanasi 221005, India.</t>
  </si>
  <si>
    <t>arundeosingh@yahoo.com; Ann.Holbourn@ifg.uni-kiel.de; Wolfgang.kuhnt@ifg.uni-kiel.de</t>
  </si>
  <si>
    <t>10.1016/j.palaeo.2023.111443</t>
  </si>
  <si>
    <t>H1LQ2</t>
  </si>
  <si>
    <t>WOS:000993650600001</t>
  </si>
  <si>
    <t>Tao, XL; Zhang, XH; Zhu, F; Liu, WK; Li, L</t>
  </si>
  <si>
    <t>Tao, Xianlu; Zhang, Xiaohong; Zhu, Feng; Liu, Wanke; Li, Lan</t>
  </si>
  <si>
    <t>A Hybrid State Representation-Based GNSS Filtering Model to Improve Vehicular Positioning Performance</t>
  </si>
  <si>
    <t>IEEE SENSORS JOURNAL</t>
  </si>
  <si>
    <t>Global navigation satellite system; Adaptation models; Receivers; Mathematical models; Estimation; Filtering; Sensors; Global navigation satellite system (GNSS) positioning; hybrid state model; Kalman filtering (KF); motion recognition; vehicular navigation</t>
  </si>
  <si>
    <t>KALMAN; GPS</t>
  </si>
  <si>
    <t>In the era of intelligence, there is a huge demand for precise positioning in the fields such as automatic driving, assisted driving, and vehicle to everything. Due to the continuous and high-precision positioning capability, the global navigation satellite system (GNSS) has been an important foundation for large-scale location applications in open-sky conditions. For land vehicle kinematic navigation, the GNSS positioning method based on Kalman filtering (KF) has also become the primary choice. However, the general state model based on velocity and acceleration in KF lacks mining and utilization of the physical laws of vehicle motion, resulting in the insufficient performance of GNSS KF positioning in urban conditions. Thus, we constructed a hybrid state model, where the vehicle kinematics are classified into nonlinear and quasi-linear motions, and the corresponding velocity constraint (VC) and heading constraint (HC) models are constructed. Then, the reparameterization between VC-model and HC-model is derived through a strict formula, and the hybrid state model can switch adaptively by vehicle motion recognition. Field vehicle test data was collected with a low-cost GNSS receiver and processed by different methods. The test results of different observation conditions and different motions show that the hybrid state model has better positioning performance, and the root-mean-square (rms) errors in the occlusion condition are reduced by 15% compared with only the VC-model. Furthermore, the test results using the public data of the Google Decimeter Challenge project also verify the effectiveness and practicability of the filtering model in vehicular positioning.</t>
  </si>
  <si>
    <t>[Tao, Xianlu; Zhang, Xiaohong; Zhu, Feng; Liu, Wanke; Li, Lan] Wuhan Univ, Sch Geodesy &amp; Geomatics, Wuhan 430079, Hubei, Peoples R China; [Zhang, Xiaohong] Wuhan Univ, Chinese Antarctic Ctr Surveying &amp; Mapping, Wuhan 430079, Hubei, Peoples R China; [Zhang, Xiaohong; Liu, Wanke] Hubei Luojia Lab, Wuhan 430079, Hubei, Peoples R China</t>
  </si>
  <si>
    <t>Zhang, XH (corresponding author), Wuhan Univ, Sch Geodesy &amp; Geomatics, Wuhan 430079, Hubei, Peoples R China.;Zhang, XH (corresponding author), Wuhan Univ, Chinese Antarctic Ctr Surveying &amp; Mapping, Wuhan 430079, Hubei, Peoples R China.;Zhang, XH (corresponding author), Hubei Luojia Lab, Wuhan 430079, Hubei, Peoples R China.</t>
  </si>
  <si>
    <t>xltao@whu.edu.cn; xhzhang@sgg.whu.edu.cn; fzhu@whu.edu.cn; wkliu@sgg.whu.edu.cn; lilan1@whu.edu.cn</t>
  </si>
  <si>
    <t>Zhang, Xiaohong/A-3060-2015</t>
  </si>
  <si>
    <t>Tao, Xianlu/0000-0002-1030-0678; LIU, Wanke/0000-0003-4322-4373</t>
  </si>
  <si>
    <t>National Key Research and Development Program of China [2020YFB0505803]; Science and Technology Major Project of Hubei Province [2021AAA010]; National Natural Science Foundation of China [42104021]</t>
  </si>
  <si>
    <t>National Key Research and Development Program of China; Science and Technology Major Project of Hubei Province; National Natural Science Foundation of China(National Natural Science Foundation of China (NSFC))</t>
  </si>
  <si>
    <t>This work was supported in part by the National Key Research and Development Program of China under Grant 2020YFB0505803, in part by the Science and Technology Major Project of Hubei Province under Grant 2021AAA010, and in part by the National Natural Science Foundation of China under Grant 42104021.</t>
  </si>
  <si>
    <t>IEEE-INST ELECTRICAL ELECTRONICS ENGINEERS INC</t>
  </si>
  <si>
    <t>PISCATAWAY</t>
  </si>
  <si>
    <t>445 HOES LANE, PISCATAWAY, NJ 08855-4141 USA</t>
  </si>
  <si>
    <t>1530-437X</t>
  </si>
  <si>
    <t>1558-1748</t>
  </si>
  <si>
    <t>IEEE SENS J</t>
  </si>
  <si>
    <t>IEEE Sens. J.</t>
  </si>
  <si>
    <t>10.1109/JSEN.2023.3234098</t>
  </si>
  <si>
    <t>Engineering, Electrical &amp; Electronic; Instruments &amp; Instrumentation; Physics, Applied</t>
  </si>
  <si>
    <t>Engineering; Instruments &amp; Instrumentation; Physics</t>
  </si>
  <si>
    <t>D1HY4</t>
  </si>
  <si>
    <t>WOS:000966313600001</t>
  </si>
  <si>
    <t>Hu, J; Zhu, F; Zhuo, DS; Xu, QX; Liu, WK; Zhang, XH</t>
  </si>
  <si>
    <t>Hu, Jie; Zhu, Feng; Zhuo, Desheng; Xu, Qingxu; Liu, Wanke; Zhang, Xiaohong</t>
  </si>
  <si>
    <t>Performance Evaluation of Stereo Vision Aided Loosely Coupled GNSS/SINS Integration for Land Vehicle Navigation in Different Urban Environments</t>
  </si>
  <si>
    <t>Global navigation satellite system; Stereo vision; Navigation; Visualization; Roads; Urban areas; Feature extraction; Global navigation satellite system (GNSS); strap-down inertial navigation system (SINS); vision integration; multisensors fusion; performance analysis; stereo vision; urban environment</t>
  </si>
  <si>
    <t>CYCLE SLIP DETECTION; AMBIGUITY RESOLUTION; FREQUENCY; ROBUST; GPS</t>
  </si>
  <si>
    <t>In urban environments, the positioning performance of global navigation satellite system (GNSS) degrades severely due to the harsh environment, which will be improved after fused with a strap-down inertial navigation system (SINS). However, due to the error accumulation, the positioning ability of GNSS/SINS integration will also decrease significantly during frequent GNSS outages. To improve the positioning accuracy, we use stereo vision to enhance the performance of GNSS/SINS integration, where GNSS and stereo vision are loosely coupled and tightly coupled with SINS under the Earth-centered Earth-fixed (ECEF) frame, respectively. To evaluate the positioning performance of the multisensor fusion system, two in-field experiments were conducted to assess the contribution of stereo vision. The results show that with the support of stereo vision and SINS, GNSS accuracy can be considerably improved by 60%-80% in complex environments, which also outperforms the GNSS/SINS integration. Besides, detailed analyses in various urban environments further demonstrate that stereo vision can significantly improve the performance of GNSS/SINS integration when a long-term GNSS anomaly occurs, but it shows no improvement for a short-term GNSS anomaly.</t>
  </si>
  <si>
    <t>[Hu, Jie; Zhu, Feng; Zhuo, Desheng; Xu, Qingxu; Liu, Wanke] Wuhan Univ, Sch Geodesy &amp; Geomat, Wuhan 430079, Hubei, Peoples R China; [Liu, Wanke; Zhang, Xiaohong] Hubei Luojia Lab, Wuhan 430079, Hubei, Peoples R China; [Zhang, Xiaohong] Wuhan Univ, Chinese Antarctic Ctr Surveying &amp; Mapping, Wuhan 430079, Hubei, Peoples R China</t>
  </si>
  <si>
    <t>Liu, WK (corresponding author), Wuhan Univ, Sch Geodesy &amp; Geomat, Wuhan 430079, Hubei, Peoples R China.</t>
  </si>
  <si>
    <t>jiehu1995@whu.edu.cn; fzhu@whu.edu.cn; zhuods@whu.edu.cn; xuqingxu@whu.edu.cn; wkliu@sgg.whu.edu.cn; xhzhang@sgg.whu.edu.cn</t>
  </si>
  <si>
    <t>LIU, Wanke/0000-0003-4322-4373; Tao, Xianlu/0000-0002-1030-0678</t>
  </si>
  <si>
    <t>National Key Research and Development Program of China [2020YFB0505803]; National Natural Science Foundation of China [42104021, 42274034]; Science and Technology Major Project of Hubei Province [2021AAA010]</t>
  </si>
  <si>
    <t>National Key Research and Development Program of China; National Natural Science Foundation of China(National Natural Science Foundation of China (NSFC)); Science and Technology Major Project of Hubei Province</t>
  </si>
  <si>
    <t>This work was supported in part by the National Key Research and Development Program of China under Grant 2020YFB0505803,in part by the National Natural Science Foundation of China under Grant 42104021 and Grant 42274034, and in part by the Science and Technology Major Project of Hubei Province under Grant 2021AAA010.</t>
  </si>
  <si>
    <t>10.1109/JSEN.2023.3234216</t>
  </si>
  <si>
    <t>D0UC8</t>
  </si>
  <si>
    <t>WOS:000965953400001</t>
  </si>
  <si>
    <t>Chen, C; Li, ZY; Yang, CW; Han, ZJ; Jiang, X; Liu, TT; Yuan, XY; Jiang, P; Ji, T; Yao, X; Chen, MF</t>
  </si>
  <si>
    <t>Chen, Chao; Li, Zhengyang; Yang, Chenwei; Han, Zijian; Jiang, Xin; Liu, Tingting; Yuan, Xiangyan; Jiang, Peng; Ji, Tuo; Yao, Xu; Chen, Mingfei</t>
  </si>
  <si>
    <t>The Multi-band Survey Telescope at Zhongshan Station, Antarctica</t>
  </si>
  <si>
    <t>telescopes; techniques:photometric; methods:observational</t>
  </si>
  <si>
    <t>DOME; CSTAR; PERFORMANCE; PLANETS</t>
  </si>
  <si>
    <t>The Antarctic Plateau is considered to be the best ground-based astronomical site on Earth. Compared with other middle latitude observatories, the telescopes located in Antarctica have unique advantages in seeing a large fraction of clear nights, continuous observing window in the polar night, and so on. China has operated several generations of telescopes in Antarctica, but has not yet achieved multicolour simultaneous observation with tracking. Multi-band Survey Telescope (MST) is the first multicolour simultaneous survey telescope in Antarctica. It adopts a Newtonian telescope structure which is different from other Antarctic telescopes and is matched with a new alignment scheme suitable for the harsh environment of Antarctica. In addition, MST is equipped with a defrosting indium tin oxide (ITO) window and a high-precision equatorial mount. This paper introduces the optical design, mechanical structure, and analysis of the actual operation of MST in Antarctica. Since March 2022, MST has been carrying out the observation normally in Zhongshan Station, and the operation of MST has provided a new experience for the follow-up design and installation of Antarctic telescopes. We plan to further optimize the design and manufacture of MST, and develop it as a standard model of small-aperture Antarctic telescopes for space debris observations and time-domain surveys.</t>
  </si>
  <si>
    <t>[Chen, Chao; Li, Zhengyang; Han, Zijian; Jiang, Xin; Liu, Tingting; Yuan, Xiangyan] Chinese Acad Sci, Nanjing Inst Astron Opt &amp; Technol, Natl Astron Observ, Nanjing 210042, Peoples R China; [Chen, Chao; Li, Zhengyang; Han, Zijian; Jiang, Xin; Liu, Tingting; Yuan, Xiangyan] Nanjing Inst Astron Opt &amp; Technol, CAS Key Lab Astron Opt &amp; Technol, Nanjing 210042, Peoples R China; [Chen, Chao; Jiang, Xin] Univ Chinese Acad Sci, Beijing 100049, Peoples R China; [Yang, Chenwei; Jiang, Peng; Ji, Tuo; Yao, Xu; Chen, Mingfei] Polar Res Inst China, 451 Jinqiao Rd, Shanghai 200136, Peoples R China; [Yang, Chenwei; Ji, Tuo; Yao, Xu; Chen, Mingfei] MNR, Polar Res Inst China, Key Lab Polar Sci, Shanghai 200136, Peoples R China</t>
  </si>
  <si>
    <t>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 Polar Research Institute of China; Polar Research Institute of China</t>
  </si>
  <si>
    <t>Li, ZY (corresponding author), Chinese Acad Sci, Nanjing Inst Astron Opt &amp; Technol, Natl Astron Observ, Nanjing 210042, Peoples R China.;Li, ZY (corresponding author), Nanjing Inst Astron Opt &amp; Technol, CAS Key Lab Astron Opt &amp; Technol, Nanjing 210042, Peoples R China.;Yang, CW (corresponding author), Polar Res Inst China, 451 Jinqiao Rd, Shanghai 200136, Peoples R China.;Yang, CW (corresponding author), MNR, Polar Res Inst China, Key Lab Polar Sci, Shanghai 200136, Peoples R China.</t>
  </si>
  <si>
    <t>zyli@niaot.ac.cn; yangchenwei@pric.org.cn</t>
  </si>
  <si>
    <t>Ji, Tuo/O-2611-2017; Liu, Tingting/C-3529-2017</t>
  </si>
  <si>
    <t>chen, chao/0000-0002-0992-6091</t>
  </si>
  <si>
    <t>Polar Research Institute of China; Professional Astronomical Instruments company; National Natural Science Foundation of China [11973037, 12173062]; National key research and development program [2022YFC2807301]; Suzhou ZWO company; Jiaxing Ruixing company</t>
  </si>
  <si>
    <t>Polar Research Institute of China; Professional Astronomical Instruments company; National Natural Science Foundation of China(National Natural Science Foundation of China (NSFC)); National key research and development program; Suzhou ZWO company; Jiaxing Ruixing company</t>
  </si>
  <si>
    <t>The authors thank the Polar Research Institute of China and Suzhou ZWO company , Jiaxing Ruixing company, and Professional Astronomical Instruments company for their support and cooperation. This work was supported by the National Natural Science Foundation of China (Grant Nos. 11973037 and 12173062) and National key research and development program (Grant No. 2022YFC2807301).</t>
  </si>
  <si>
    <t>10.1093/mnras/stad310</t>
  </si>
  <si>
    <t>9J0MR</t>
  </si>
  <si>
    <t>WOS:000939893000003</t>
  </si>
  <si>
    <t>Roy, SK; Shrivastava, PK; Asthana, R; Chauhan, N; Mujtaba, SAI; Singhvi, AK</t>
  </si>
  <si>
    <t>Roy, Sandip Kumar; Shrivastava, Prakash Kumar; Asthana, Rajesh; Chauhan, Naveen; Mujtaba, Syed Ali Imam; Singhvi, Ashok Kumar</t>
  </si>
  <si>
    <t>East Antarctica ice sheet in Schirmacher Oasis, Central Dronning Maud Land, during the past 158 ka</t>
  </si>
  <si>
    <t>PROCEEDINGS OF THE INDIAN NATIONAL SCIENCE ACADEMY</t>
  </si>
  <si>
    <t>SEA-SURFACE TEMPERATURES; SOUTHWEST PACIFIC-OCEAN; SOR-RONDANE MOUNTAINS; TRANSANTARCTIC MOUNTAINS; STIMULATED LUMINESCENCE; CHATHAM RISE; DRY VALLEYS; THICKNESS; HISTORY; CLIMATE</t>
  </si>
  <si>
    <t>Varied geomorphic landforms along the coast of eastern Antarctica suggest that the most recent phase of ice retreat was spatially heterogeneous. Ice retreat here comprised; a thinning of the East Antarctic Ice Sheet (EAIS) by up to 500 m and the recession of the ice wall in kilometre. This retreat deposited moraines over the Schirmacher Oasis (SO) in central Dronning Maud Land with minimal reworking. The present study used optical dating of the recessional moraines to determine the timing of their final emplacement. Three phases of moraine deposition, during 158-125 ka; 76-50 ka and 22 ka to present, were inferred. It is suggested that decreased sea surface temperatures and increased sea ice cover of the surrounding oceans limited the moisture supply and led to the retreat of ice. By similar to 35 ka the SO became ice-free and has remained so, ever since. The inference that the ice sheet in this region was moisture limited, implies that in a global warming context, this region may not contribute to an increase in sea-level. Instead, a warming-induced increase in moisture supply may even add to ice cover in the region.</t>
  </si>
  <si>
    <t>[Roy, Sandip Kumar] Geol Survey India, Seminary Hills, Nagpur 440006, India; [Shrivastava, Prakash Kumar] Geol Survey India, Sect E, Aliganj, Lucknow 226024, India; [Asthana, Rajesh] Geol Survey India, Kankarbagh, Patna 800020, India; [Chauhan, Naveen; Singhvi, Ashok Kumar] Phys Res Lab, Navarangpura, Ahmadabad 380009, India; [Mujtaba, Syed Ali Imam] Geol Survey India, Faridabad 121001, India</t>
  </si>
  <si>
    <t>Geological Survey India; Geological Survey India; Geological Survey India; Department of Space (DoS), Government of India; Physical Research Laboratory - India; Geological Survey India</t>
  </si>
  <si>
    <t>Shrivastava, PK (corresponding author), Geol Survey India, Sect E, Aliganj, Lucknow 226024, India.</t>
  </si>
  <si>
    <t>pks.shri@gmail.com</t>
  </si>
  <si>
    <t>Roy, Sandip Kumar/AAE-4323-2019</t>
  </si>
  <si>
    <t>Chauhan, Naveen/0000-0001-9184-0459</t>
  </si>
  <si>
    <t>INDIAN NAT SCI ACAD</t>
  </si>
  <si>
    <t>NEW DELHI</t>
  </si>
  <si>
    <t>BAHADUR SHAH ZAFAR MARG, NEW DELHI 110002, INDIA</t>
  </si>
  <si>
    <t>0370-0046</t>
  </si>
  <si>
    <t>2454-9983</t>
  </si>
  <si>
    <t>P INDIAN NATL SCI AC</t>
  </si>
  <si>
    <t>Proc. Indian Natl. Sci. Acad.</t>
  </si>
  <si>
    <t>10.1007/s43538-023-00154-0</t>
  </si>
  <si>
    <t>9P2SZ</t>
  </si>
  <si>
    <t>WOS:000933678800001</t>
  </si>
  <si>
    <t>Queiros, JP; Machado, JF; Pereira, E; Bustamante, P; Carvalho, L; Soares, E; Stevens, DW; Xavier, JC</t>
  </si>
  <si>
    <t>Queiros, Jose P.; Machado, Joao F.; Pereira, Eduarda; Bustamante, Paco; Carvalho, Lina; Soares, Eugenio; Stevens, Darren W.; Xavier, Jose C.</t>
  </si>
  <si>
    <t>Antarctic toothfish Dissostichus mawsoni as a bioindicator of trace and rare earth elements in the Southern Ocean</t>
  </si>
  <si>
    <t>Actinopterygii; Contaminants; Deep-sea; Metals; Nototheniidae; Nutrients</t>
  </si>
  <si>
    <t>MARINE FISH; FRESH-WATER; ROSS SEA; RISK-ASSESSMENT; HEAVY-METALS; FATTY-ACID; MERCURY; DIET; TISSUES; ELEGINOIDES</t>
  </si>
  <si>
    <t>The Antarctic toothfish Dissostichus mawsoni is a Southern Ocean long-lived top predator which is regularly captured on an annual fishery operating in the region. By its biological and ecological characteristics, it is a potential bioindicator for the concentrations of trace and rare earth elements in the Antarctic. As these elements are mainly transferred through the diet and a deficiency or excess of these elements can lead to diverse health problems, it is important to measure their concentrations on the organisms. This study provides, for the first time, the concentration of 27 trace (major essential, minor essential and non-essential) and rare earth elements in the muscle of D. mawsoni captured in three areas of the Amundsen and Dumont D'Urville Seas (Antarctica). Major essential elements had the highest concentrations, with potassium (K) as the most concentrated, and rare earth elements the lowest. Significant differences between areas were found for most of the studied elements. No bioaccumulation nor biomagnification potential was found for the studied elements, with several elements decreasing concentrations towards larger individuals. Decreasing trends are related with the different habitats occupied by D. mawsoni through their life, suggesting that elements' concentrations in the water is determinant for the concentrations in this top predator, and/or there is a dilution effect as the fish grows. Our results also support that Se presents a detoxification potential for Hg in D. mawsoni, but only when Hg concentrations are higher to unhealthy levels. This study supports D. mawsoni as a potential bioindicator for the concentrations of the different trace and rare earth elements in the Southern Ocean, though only when comparing individuals of similar size/age, but also to evaluate annual changes on their concentrations. Furthermore, D. mawsoni can be a good source of major essential elements to humans with concentrations of major essential elements above some of other marine fish worldwide.</t>
  </si>
  <si>
    <t>[Queiros, Jose P.; Machado, Joao F.; Xavier, Jose C.] Univ Coimbra, Marine &amp; Environm Res Ctr MARE, Dept Life Sci, Aquat Res Network ARNET, P-3000456 Coimbra, Portugal; [Queiros, Jose P.; Xavier, Jose C.] Nat Environm Res Council NERC, British Antarctic Survey BAS, Madingley Rd, Cambridge CB3 0ET, England; [Pereira, Eduarda; Carvalho, Lina; Soares, Eugenio] Univ Aveiro, Dept Quim, Campus Univ Santiago, P-3810193 Aveiro, Portugal; [Pereira, Eduarda; Carvalho, Lina; Soares, Eugenio] Univ Aveiro, Associated Lab Green Chem, Lab Cent Anal, LAQV REQUIMTE, Campus Univ Santiago, P-3810193 Aveiro, Portugal; [Bustamante, Paco] La Rochelle Univ, Littoral Environm &amp; Soc LIENSs, CNRS, UMR 7266, 2 Rue Olympe Gouges, F-17000 La Rochelle, France; [Bustamante, Paco] Inst Univ France IUF, 1 Rue Descartes, F-75005 Paris, France; [Stevens, Darren W.] Natl Inst Water &amp; Atmospher Res NIWA, 401 Evans Bay Parade, Wellington 6021, New Zealand</t>
  </si>
  <si>
    <t>Universidade de Coimbra; UK Research &amp; Innovation (UKRI); Natural Environment Research Council (NERC); Universidade de Aveiro; Universidade de Aveiro; Centre National de la Recherche Scientifique (CNRS); CNRS - Institute of Ecology &amp; Environment (INEE); Institut Universitaire de France; National Institute of Water &amp; Atmospheric Research (NIWA) - New Zealand</t>
  </si>
  <si>
    <t>Queiros, JP (corresponding author), Univ Coimbra, Marine &amp; Environm Res Ctr MARE, Dept Life Sci, Aquat Res Network ARNET, P-3000456 Coimbra, Portugal.</t>
  </si>
  <si>
    <t>jqueiros@student.uc.pt</t>
  </si>
  <si>
    <t>Bustamante, Paco/G-5833-2011; Xavier, José/KFB-6739-2024</t>
  </si>
  <si>
    <t>Bustamante, Paco/0000-0003-3877-9390; /0000-0002-9621-6660; Carvalho, Lina/0000-0003-0569-0269; Machado, Joao F./0000-0002-3516-3964; Queiros, Jose Pedro/0000-0003-2763-2529</t>
  </si>
  <si>
    <t>NEP Japan; FCT/MCTES through national funds (PIDDAC); Portuguese Polar Program (PROPOLAR); FCT; FSE [SFRH/BD/144,320/2019]; IUF (Institut Universitaire de France); Marine and Environmental Sciences Centre (MARE) - FCT [UIDB/704292/2020]</t>
  </si>
  <si>
    <t>NEP Japan; FCT/MCTES through national funds (PIDDAC)(Fundacao para a Ciencia e a Tecnologia (FCT)); Portuguese Polar Program (PROPOLAR); FCT(Fundacao para a Ciencia e a Tecnologia (FCT)); FSE(European Social Fund (ESF)); IUF (Institut Universitaire de France); Marine and Environmental Sciences Centre (MARE) - FCT</t>
  </si>
  <si>
    <t>JPQ presence onboard the fishing vessel was supported by NEP Japan. JPQ was supported by FCT/MCTES through national funds (PIDDAC) and Portuguese Polar Program (PROPOLAR). JPQ was supported by FCT PhD Scholarship co-financed by FSE (SFRH/BD/144,320/2019). PB is supported by IUF (Institut Universitaire de France) as a Senior Member. This study benefited from the strategic program of Marine and Environmental Sciences Centre (MARE), financed by the FCT (UIDB/704292/2020).</t>
  </si>
  <si>
    <t>10.1016/j.chemosphere.2023.138134</t>
  </si>
  <si>
    <t>9I6BX</t>
  </si>
  <si>
    <t>WOS:000939594600001</t>
  </si>
  <si>
    <t>Ivanets, V; Wierzgon, M; Yevchun, H; Parnikoza, I</t>
  </si>
  <si>
    <t>Ivanets, Viktoria; Wierzgon, Mariusz; Yevchun, Hanna; Parnikoza, Ivan</t>
  </si>
  <si>
    <t>Range extensions for moss species on the west side of the Antarctic Peninsula</t>
  </si>
  <si>
    <t>CRYPTOGAMIE BRYOLOGIE</t>
  </si>
  <si>
    <t>Antarctica; Danco Coast; Graham Coast; bryophytes; mosses; distribution; new records</t>
  </si>
  <si>
    <t>REGIONAL BRYOPHYTE RECORDS; SOUTH SHETLAND ISLANDS; SCHISTIDIUM GRIMMIACEAE; TAXONOMIC STATUS; NEW-ZEALAND; BUCKLANDIELLA; FLORA; DIVERSITY; BRYOPSIDA; AFRICA</t>
  </si>
  <si>
    <t>New distributional data are presented for 12 species of moss collected from the Graham Coast and Danco Coast together with their offshore islands on the west side of the Antarctic Peninsula. Pohlia wahlenbergii (F.Weber &amp; D.Mohr) A.L.Andrews is new to the Antarctic Peninsula and the Graham Coast and it is the southernmost station of the species, whereas Warnstorfia sarmentosa ( Wahlenb.) Hedenas is new to the Danco Coast. Schizymenium pusillum (Hook. &amp; Wilson) A.J.Shaw is recorded for the first time on the Antarctic Peninsula mainland, and Schistidium rivulare ( Brid.) Podp. is found at its southernmost locality on Cape Perez on the mainland Graham Coast. Andreaea regularis Mull.Hal., Kiaeria pumila (Mitt.) Ochyra, Bucklandiella sudetica (Funck) Bedn.-Ochyra &amp; Ochyra, Warnstorfia fontinaliopsis (Mull.Hal.) Ochyra and Pohlia nutans (Hedw.) Lindb. are new for Hovgaard Island in the Wilhelm Archipelago, and the latter is additionally recorded for the first time from Point Rasmussen on the mainland Graham Coast. Bryum pallescens Schleich. ex Schwagr. is new to Darboux Island, while Polytrichum juniperinum Hedw. and Brachythecium austroglareosum (Mull. Hal.) Kindb. are new to Lahille Island in the Grandidier Channel. Updated distribution maps for all species in the study areas of the Danco and Graham Coasts and the northern Antarctic Peninsula are presented. The moss floras of the Graham and Danco Coast regions consist currently of 51 and 47 species, respectively.</t>
  </si>
  <si>
    <t>[Ivanets, Viktoria; Yevchun, Hanna; Parnikoza, Ivan] Minist Educ &amp; Sci Ukraine, Natl Antarctic Sci Ctr, State Inst, 16 Taras Shevchenko Blvd, UA-01601 Kiev, Ukraine; [Wierzgon, Mariusz] Univ Silesia Katowice, Fac Nat Sci, Inst Biol Biotechnol &amp; Environm Protect, 28 Jagiellonska St, PL-40032 Katowice, Poland; [Wierzgon, Mariusz] Polish Acad Sci, W Szafer Inst Bot, 46 Lubicz St, PL-31512 Krakow, Poland; [Yevchun, Hanna] Natl Univ Kyiv Mohyla Acad, Minist Educ &amp; Sci Ukraine, 2 Skovorody St, UA-04070 Kiev, Ukraine; [Parnikoza, Ivan] Natl Acad Sci Ukraine, Inst Mol Biol Ukraine, 150 Zabolotnogo St, UA-03143 Kiev, Ukraine</t>
  </si>
  <si>
    <t>Ministry of Education &amp; Science of Ukraine; State Institution National Antarctic Scientific Center; University of Silesia in Katowice; Polish Academy of Sciences; W. Szafer Institute of Botany of the Polish Academy of Sciences; Ministry of Education &amp; Science of Ukraine; National University of Kyiv Mohyla Academy; National Academy of Sciences Ukraine</t>
  </si>
  <si>
    <t>Ivanets, V (corresponding author), Minist Educ &amp; Sci Ukraine, Natl Antarctic Sci Ctr, State Inst, 16 Taras Shevchenko Blvd, UA-01601 Kiev, Ukraine.</t>
  </si>
  <si>
    <t>yellowderevo@gmail.com</t>
  </si>
  <si>
    <t>Wierzgon, Mariusz/0000-0002-4809-2202; Yevchun, Hanna/0000-0003-1356-4385</t>
  </si>
  <si>
    <t>Ukrainian State Special-Purpose Research Programme in Antarctica; Institute of Nature Conservation of the Polish Academy of Sciences within the project Biodiversity of the Antarctic terrestrial ecosystems as indicator of environmental changes; W. Szafer Institute of Botany of the Polish Academy of Sciences</t>
  </si>
  <si>
    <t>The authors deeply thank Prof. Ryszard Ochyra for consultations and help with the manuscript preparation. Special thanks are due to Dr Kenneth J. Adams, Loughton, United Kingdom and Prof. Rodney D. Seppelt, Bundall, Queensland, Australia, for kindly checking the English and valuable comments on the paper. We also thank Mr Piotr Kuzniar, the captain of the yacht Selma for help in the sample collection. The studies of V. Ivanets, A. Yevchun and I. Parnikoza were supported by the Ukrainian State Special-Purpose Research Programme in Antarctica for 2011-2023. Additionally, the work of I. Parnikoza was sponsored by the Institute of Nature Conservation of the Polish Academy of Sciences within the project Biodiversity of the Antarctic terrestrial ecosystems as indicator of environmental changes. The study of M. Wierzgon received a financial support from the statutory fund of the W. Szafer Institute of Botany of the Polish Academy of Sciences.</t>
  </si>
  <si>
    <t>ADAC-CRYPTOGAMIE</t>
  </si>
  <si>
    <t>PARIS</t>
  </si>
  <si>
    <t>12 RUE DE BUFFON, 75005 PARIS, FRANCE</t>
  </si>
  <si>
    <t>1290-0796</t>
  </si>
  <si>
    <t>1776-0992</t>
  </si>
  <si>
    <t>CRYPTOGAMIE BRYOL</t>
  </si>
  <si>
    <t>Cryptogam. Bryol.</t>
  </si>
  <si>
    <t>10.5252/cryptogamie-bryologie2023v44a2</t>
  </si>
  <si>
    <t>9I4LU</t>
  </si>
  <si>
    <t>WOS:000939484900001</t>
  </si>
  <si>
    <t>Liu, YX; Zhang, YM; Huang, YD; Niu, JJ; Huang, J; Peng, XY; Peng, F</t>
  </si>
  <si>
    <t>Liu, Yixuan; Zhang, Yumin; Huang, Yudi; Niu, Jingjing; Huang, Jun; Peng, Xiaoya; Peng, Fang</t>
  </si>
  <si>
    <t>Spatial and temporal conversion of nitrogen using Arthrobacter sp. 24S4-2, a strain obtained from Antarctica</t>
  </si>
  <si>
    <t>Arthrobacter; aerobic DNRA; nitrogen storage; vesicle structure; spatial and temporal transformation of nitrogen; Antarctica</t>
  </si>
  <si>
    <t>DISSIMILATORY NITRATE REDUCTION; AMMONIUM DNRA; NITRITE; GENES; IDENTIFICATION; ADAPTATION; ANNOTATION; PHYSIOLOGY; DIVERSITY; EVOLUTION</t>
  </si>
  <si>
    <t>According to average nucleotide identity (ANI) analysis of the complete genomes, strain 24S4-2 isolated from Antarctica is considered as a potential novel Arthrobacter species. Arthrobacter sp. 24S4-2 could grow and produce ammonium in nitrate or nitrite or even nitrogen free medium. Strain 24S4-2 was discovered to accumulate nitrate/nitrite and subsequently convert nitrate to nitrite intracellularly when incubated in a nitrate/nitrite medium. In nitrogen-free medium, strain 24S4-2 not only reduced the accumulated nitrite for growth, but also secreted ammonia to the extracellular under aerobic condition, which was thought to be linked to nitrite reductase genes nirB, nirD, and nasA by the transcriptome and RT-qPCR analysis. A membrane-like vesicle structure was detected in the cell of strain 24S4-2 by transmission electron microscopy, which was thought to be the site of intracellular nitrogen supply accumulation and conversion. This spatial and temporal conversion process of nitrogen source helps the strain maintain development in the absence of nitrogen supply or a harsh environment, which is part of its adaption strategy to the Antarctic environment. This process may also play an important ecological role, that other bacteria in the environment would benefit from its extracellular nitrogen source secretion and nitrite consumption characteristics.</t>
  </si>
  <si>
    <t>[Liu, Yixuan; Huang, Yudi; Niu, Jingjing; Huang, Jun; Peng, Xiaoya; Peng, Fang] Wuhan Univ, Coll Life Sci, China Ctr Type Culture Collect CCTCC, Wuhan, Peoples R China; [Zhang, Yumin] Chinese Acad Sci, Wuhan Inst Virol, Ctr Biosafety Mega Sci, State Key Lab Virol, Wuhan, Peoples R China</t>
  </si>
  <si>
    <t>Wuhan University; Chinese Academy of Sciences; Wuhan Institute of Virology, CAS</t>
  </si>
  <si>
    <t>Peng, F (corresponding author), Wuhan Univ, Coll Life Sci, China Ctr Type Culture Collect CCTCC, Wuhan, Peoples R China.</t>
  </si>
  <si>
    <t>Yixuan, Liu/AAC-8597-2021; CHEN, AN/KFT-3370-2024; li, Shang/KHU-3233-2024; Zhang, Han/JMR-0670-2023</t>
  </si>
  <si>
    <t>National Science and Technology Fundamental Resources Investigation Program of China [2021FY100900]; National Key Research and Development Program of China [2022YFC2807501]; Ramp;D Infrastructure and Facility Development Program of the Ministry of Science and Technology of the People's Republic of China [NIMR-2020-8]; National Natural Science Foundation of China [42076230]; Chinese Polar Scientific Strategy Research Fund [IC201706]</t>
  </si>
  <si>
    <t>National Science and Technology Fundamental Resources Investigation Program of China; National Key Research and Development Program of China; Ramp;D Infrastructure and Facility Development Program of the Ministry of Science and Technology of the People's Republic of China; National Natural Science Foundation of China(National Natural Science Foundation of China (NSFC)); Chinese Polar Scientific Strategy Research Fund</t>
  </si>
  <si>
    <t>This work was supported by the National Science and Technology Fundamental Resources Investigation Program of China (2021FY100900), the National Key Research and Development Program of China (2022YFC2807501), the R &amp; D Infrastructure and Facility Development Program of the Ministry of Science and Technology of the People's Republic of China (grant no. NIMR-2020-8), the National Natural Science Foundation of China (grant no. 42076230), and the Chinese Polar Scientific Strategy Research Fund (IC201706).</t>
  </si>
  <si>
    <t>10.3389/fmicb.2023.1040201</t>
  </si>
  <si>
    <t>9K5JR</t>
  </si>
  <si>
    <t>WOS:000940904500001</t>
  </si>
  <si>
    <t>Kosugi, M; Kawasaki, M; Shibata, Y; Hara, K; Takaichi, S; Moriya, T; Adachi, N; Kamei, Y; Kashino, Y; Kudoh, S; Koike, H; Senda, T</t>
  </si>
  <si>
    <t>Kosugi, Makiko; Kawasaki, Masato; Shibata, Yutaka; Hara, Kojiro; Takaichi, Shinichi; Moriya, Toshio; Adachi, Naruhiko; Kamei, Yasuhiro; Kashino, Yasuhiro; Kudoh, Sakae; Koike, Hiroyuki; Senda, Toshiya</t>
  </si>
  <si>
    <t>Uphill energy transfer mechanism for photosynthesis in an Antarctic alga</t>
  </si>
  <si>
    <t>LIGHT-HARVESTING COMPLEX; PHOTOSYSTEM-I SUPERCOMPLEX; CRYSTAL-STRUCTURE; ANTENNA COMPLEX; GREEN; CHLOROPHYLLS; FLUORESCENCE; EXCITATION; RESOLUTION; SPECTRA</t>
  </si>
  <si>
    <t>Prasiola crispa, an aerial green alga, forms layered colonies under the severe terrestrial conditions of Antarctica. Since only far-red light is available at a deep layer of the colony, P. crispa has evolved a molecular system for photosystem II (PSII) excitation using far-red light with uphill energy transfer. However, the molecular basis underlying this system remains elusive. Here, we purified a light-harvesting chlorophyll (Chl)-binding protein complex from P. crispa (Pc-frLHC) that excites PSII with far-red light and revealed its ring-shaped structure with undecameric 11-fold symmetry at 3.13 angstrom resolution. The primary structure suggests that Pc-frLHC evolved from LHCI rather than LHCII. The circular arrangement of the Pc-frLHC subunits is unique among eukaryote LHCs and forms unprecedented Chl pentamers at every subunit-subunit interface near the excitation energy exit sites. The Chl pentamers probably contribute to far-red light absorption. Pc-frLHC's unique Chl arrangement likely promotes PSII excitation with entropy-driven uphill excitation energy transfer. A light-harvesting chlorophyll-binding protein complex from an Antarctic green alga called Prasiola crispa can excite photosystem II with low energy far-red light. Here, through Cryo-EM analysis, the authors reveal its ring-shaped structure with 11-fold symmetry at 3.13 angstrom resolution.</t>
  </si>
  <si>
    <t>[Kosugi, Makiko] Astrobiol Ctr, 2-21-1 Osawa, Mitaka, Tokyo 1818588, Japan; [Kosugi, Makiko] Natl Astron Observ Japan, 2-21-1 Osawa, Mitaka, Tokyo 1818588, Japan; [Kosugi, Makiko; Koike, Hiroyuki] Chuo Univ, Fac Sci &amp; Engn, Dept Biol Sci, 1-13-27 Kasuga,Bunkyo Ku, Tokyo 1128551, Japan; [Kawasaki, Masato; Moriya, Toshio; Adachi, Naruhiko; Senda, Toshiya] High Energy Accelerator Res Org KEK, Inst Mat Struct Sci, Struct Biol Res Ctr, Photon Factory, 1-1 Oho, Tsukuba, Ibaraki 3050801, Japan; [Kawasaki, Masato; Senda, Toshiya] Grad Univ Adv Studies Soken dai, Sch High Energy Accelerator Sci, Dept Mat Struct Sci, 1-1 Oho, Tsukuba, Ibaraki 3050801, Japan; [Shibata, Yutaka] Tohoku Univ, Grad Sch Sci, Dept Chem, 6-3 Aza Aoba Aramaki,Aoba Ku, Sendai 9808578, Japan; [Hara, Kojiro] Akita Prefectural Univ, Dept Biol Prod, 241-438 Kaidobata Nishi, Akita 0100195, Japan; [Takaichi, Shinichi] Tokyo Univ Agr, Dept Mol Microbiol, 1-1 Sakuragaoka,Setagaya Ku, Tokyo 1568502, Japan; [Kamei, Yasuhiro] Natl Inst Nat Sci, Natl Inst Basic Biol, 38 Nishigonaka, Okazaki, Aichi 4448585, Japan; [Kamei, Yasuhiro] SOKENDAI Grad Univ Adv Studies, Sch Life Sci, Dept Basic Biol, 38 Nishigonaka, Okazaki, Aichi 4448585, Japan; [Kashino, Yasuhiro] Univ Hyogo, Grad Sch Sci, 3-2-1 Kohto, Kamigori, Hyogo 6781297, Japan; [Kudoh, Sakae] Natl Inst Polar Res, Res Org Informat &amp; Syst, 10-3 Midori Cho, Tachikawa, Tokyo 1908518, Japan; [Kudoh, Sakae] SOKENDAI Grad Univ Adv Studies, Sch Multidisciplinary Sci, Dept Polar Sci, 10-3 Midori Cho, Tachikawa, Tokyo 1908518, Japan; [Senda, Toshiya] Univ Tsukuba, Fac Pure &amp; Appl Sci, 1-1-1 Tennodai, Tsukuba, Ibaraki 3058572, Japan; [Kosugi, Makiko] Natl Inst Nat Sci, Natl Inst Basic Biol, 38 Nishigonaka, Okazaki, Aichi 4448585, Japan</t>
  </si>
  <si>
    <t>National Institutes of Natural Sciences (NINS) - Japan; Astrobiology Center (ABC); National Institutes of Natural Sciences (NINS) - Japan; National Astronomical Observatory of Japan (NAOJ); Chuo University; High Energy Accelerator Research Organization (KEK); Graduate University for Advanced Studies - Japan; Tohoku University; Akita Prefectural University; Tokyo University of Agriculture; National Institutes of Natural Sciences (NINS) - Japan; National Institute for Basic Biology (NIBB); Graduate University for Advanced Studies - Japan; University of Hyogo; Research Organization of Information &amp; Systems (ROIS); National Institute of Polar Research (NIPR) - Japan; Graduate University for Advanced Studies - Japan; University of Tsukuba; National Institutes of Natural Sciences (NINS) - Japan; National Institute for Basic Biology (NIBB)</t>
  </si>
  <si>
    <t>Kosugi, M (corresponding author), Astrobiol Ctr, 2-21-1 Osawa, Mitaka, Tokyo 1818588, Japan.;Kosugi, M (corresponding author), Natl Astron Observ Japan, 2-21-1 Osawa, Mitaka, Tokyo 1818588, Japan.;Kosugi, M (corresponding author), Chuo Univ, Fac Sci &amp; Engn, Dept Biol Sci, 1-13-27 Kasuga,Bunkyo Ku, Tokyo 1128551, Japan.;Senda, T (corresponding author), High Energy Accelerator Res Org KEK, Inst Mat Struct Sci, Struct Biol Res Ctr, Photon Factory, 1-1 Oho, Tsukuba, Ibaraki 3050801, Japan.;Senda, T (corresponding author), Grad Univ Adv Studies Soken dai, Sch High Energy Accelerator Sci, Dept Mat Struct Sci, 1-1 Oho, Tsukuba, Ibaraki 3050801, Japan.;Shibata, Y (corresponding author), Tohoku Univ, Grad Sch Sci, Dept Chem, 6-3 Aza Aoba Aramaki,Aoba Ku, Sendai 9808578, Japan.;Senda, T (corresponding author), Univ Tsukuba, Fac Pure &amp; Appl Sci, 1-1-1 Tennodai, Tsukuba, Ibaraki 3058572, Japan.;Kosugi, M (corresponding author), Natl Inst Nat Sci, Natl Inst Basic Biol, 38 Nishigonaka, Okazaki, Aichi 4448585, Japan.</t>
  </si>
  <si>
    <t>mkosugi@nibb.ac.jp; shibata@m.tohoku.ac.jp; toshiya.senda@kek.jp</t>
  </si>
  <si>
    <t>Adachi, Naruhiko/HSF-8458-2023; Kamei, Yasuhiro/AAD-9281-2019</t>
  </si>
  <si>
    <t>Adachi, Naruhiko/0000-0003-1539-6696; Kamei, Yasuhiro/0000-0001-6382-1365; Kosugi, Makiko/0000-0002-7415-1536; Shibata, Yutaka/0000-0002-7510-503X; HARA, Kojiro/0000-0002-5423-2419; Moriya, Toshio/0000-0001-7226-5487</t>
  </si>
  <si>
    <t>National Institute for Basic Biology (NIBB); Japanese Ministry of Education, Culture, Sports, Science, and Technology [17K19431, 19H03187]; Sumitomo Foundation [151376]; National Institute of Polar Research through the General Collaboration Project [31-29]; NIBB Collaborative Research Program [17-702, 18-506, 19-704]; Platform Project for Supporting Drug Discovery and Life Science Research (Basis for Supporting Innovative Drug Discovery and Life Science Research (BINDS)); Japan Agency for Medical Research and Development (AMED) [JP20am0101071, 22ama121001, 1649]</t>
  </si>
  <si>
    <t>National Institute for Basic Biology (NIBB)(National Institutes of Natural Sciences (NINS) - Japan); Japanese Ministry of Education, Culture, Sports, Science, and Technology(Ministry of Education, Culture, Sports, Science and Technology, Japan (MEXT)); Sumitomo Foundation; National Institute of Polar Research through the General Collaboration Project; NIBB Collaborative Research Program; Platform Project for Supporting Drug Discovery and Life Science Research (Basis for Supporting Innovative Drug Discovery and Life Science Research (BINDS)); Japan Agency for Medical Research and Development (AMED)(Japan Agency for Medical Research and Development (AMED))</t>
  </si>
  <si>
    <t>We thank Ms. Yumiko Makino of the National Institute for Basic Biology (NIBB) for her support with the N-terminal amino acid sequence analysis. We also thank Dr. Hiroshi Imai of Osaka University and Dr. Keisuke Kawakami of RIKEN SPring-8 Center for their technical advice about the sample preparation for cryo-EM analysis. We thank Dr. Kotaro Koiwai of KEK for helping with 3D model building. This work was supported by Grants-in-Aid from the Japanese Ministry of Education, Culture, Sports, Science, and Technology (grant nos. 17K19431 to M.Ko., 19H03187 to Y.S.). This work was also supported by the Sumitomo Foundation (grant no. 151376 to M.Ko.), the National Institute of Polar Research through the General Collaboration Project (no. 31-29 to Y.Kas), and the NIBB Collaborative Research Program (nos. 17-702, 18-506, and 19-704 to M.Ko). This work was partly supported by the Platform Project for Supporting Drug Discovery and Life Science Research (Basis for Supporting Innovative Drug Discovery and Life Science Research (BINDS)) from the Japan Agency for Medical Research and Development (AMED) under Grant No. JP20am0101071 and 22ama121001 to T.S. (supporting no. 1649). The cryo-EM data were collected at the cryo-EM facility in KEK (Ibaraki, Japan).</t>
  </si>
  <si>
    <t>10.1038/s41467-023-36245-1</t>
  </si>
  <si>
    <t>9K3YB</t>
  </si>
  <si>
    <t>WOS:000940806000005</t>
  </si>
  <si>
    <t>van den Berg, NH; Michaud, X; Pattyn, N; Simonelli, G</t>
  </si>
  <si>
    <t>van den Berg, N. H.; Michaud, X.; Pattyn, N.; Simonelli, G.</t>
  </si>
  <si>
    <t>How Sleep Research in Extreme Environments Can Inform the Military: Advocating for a Transactional Model of Sleep Adaptation</t>
  </si>
  <si>
    <t>CURRENT PSYCHIATRY REPORTS</t>
  </si>
  <si>
    <t>Sleep; Circadian rhythms; Isolated confined and extreme environments; Military deployment; Latitude</t>
  </si>
  <si>
    <t>CIRCADIAN-RHYTHMS; MELATONIN RHYTHM; ANTARCTIC SUMMER; SEASONAL-CHANGES; MENTAL DISTRESS; EEG PATTERNS; TERM CHANGES; WAKE RHYTHM; IMPACT; WINTER</t>
  </si>
  <si>
    <t>Purpose of ReviewWe review the literature on sleep in extreme environments. Accordingly, we present a model that identifies the need for mitigating interventions to preserve sleep quality for military deployments.Recent FindingsSituational factors that affect sleep in extreme environments include cold temperatures, isolated and confined areas, fluctuating seasonality, photoperiodicity, and extreme latitudes and altitudes. Results vary across studies, but general effects include decreased total sleep time, poor sleep efficiency, and non-specific phase delays or phase advances in sleep onset and sleep architecture. Considering habitability measures (e.g., light or temperature control) and individual differences such as variable stress responses or sleep need can mitigate these effects to improve mood, cognition, and operational performance.Although the situational demands during military missions inevitably reduce total sleep time and sleep efficiency, mitigating factors can attenuate sleep-related impairments, hence allowing for optimal mission success and personnel safety.</t>
  </si>
  <si>
    <t>[van den Berg, N. H.; Michaud, X.; Simonelli, G.] Hop Sacre Coeur Montreal, CIUSSS Nord Ile de Montreal, Ctr Etud avancees med sommeil, Montreal, PQ, Canada; [van den Berg, N. H.] Univ Ottawa, Fac Social Sci, Sch Psychol, Ottawa, ON, Canada; [Michaud, X.] Univ Montreal, Fac Arts &amp; Sci, Dept Psychol, Montreal, PQ, Canada; [Pattyn, N.; Simonelli, G.] Univ Montreal, Fac Med, Dept Med, Montreal, PQ, Canada; [Pattyn, N.] Vrije Univ Brussel, Human Physiol Dept MFYS, Brussels, Belgium; [Pattyn, N.] Royal Mil Acad, VIPER Res Unit, Brussels, Belgium; [Simonelli, G.] Univ Montreal, Fac Med, Dept Neurosci, Montreal, PQ, Canada</t>
  </si>
  <si>
    <t>Universite de Montreal; University of Ottawa; Universite de Montreal; Universite de Montreal; Vrije Universiteit Brussel; Universite de Montreal</t>
  </si>
  <si>
    <t>Simonelli, G (corresponding author), Hop Sacre Coeur Montreal, CIUSSS Nord Ile de Montreal, Ctr Etud avancees med sommeil, Montreal, PQ, Canada.;Simonelli, G (corresponding author), Univ Montreal, Fac Med, Dept Med, Montreal, PQ, Canada.;Simonelli, G (corresponding author), Univ Montreal, Fac Med, Dept Neurosci, Montreal, PQ, Canada.</t>
  </si>
  <si>
    <t>guido.simonelli@umontreal.ca</t>
  </si>
  <si>
    <t>van den Berg, Nicholas/KEH-7937-2024</t>
  </si>
  <si>
    <t>van den Berg, Nicholas/0000-0003-1099-2472</t>
  </si>
  <si>
    <t>1523-3812</t>
  </si>
  <si>
    <t>1535-1645</t>
  </si>
  <si>
    <t>CURR PSYCHIAT REP</t>
  </si>
  <si>
    <t>Curr. Psychiatry Rep.</t>
  </si>
  <si>
    <t>10.1007/s11920-022-01407-3</t>
  </si>
  <si>
    <t>Psychiatry</t>
  </si>
  <si>
    <t>8X1LC</t>
  </si>
  <si>
    <t>WOS:000931229500001</t>
  </si>
  <si>
    <t>Pittino, F; Ambrosini, R; Seeger, M; Azzoni, RS; Diolaiuti, G; Gazitua, PA; Franzetti, A</t>
  </si>
  <si>
    <t>Pittino, F.; Ambrosini, R.; Seeger, M.; Azzoni, R. S.; Diolaiuti, G.; Alviz Gazitua, P.; Franzetti, A.</t>
  </si>
  <si>
    <t>Geographical variability of bacterial communities of cryoconite holes of Andean glaciers</t>
  </si>
  <si>
    <t>DIVERSITY; ICE</t>
  </si>
  <si>
    <t>Cryoconite holes, ponds full of melting water with sediment on the bottom, are hotspots of biodiversity on glacier surfaces and host dynamic micro-ecosystems. They have been extensively investigated in different areas of the world (e.g., the Arctic, Antarctic, Alps, and Himalaya), but so far no study has described the bacterial communities of the glaciers in the Andes, the world's longest mountain range. In this study, we describe the bacterial communities of three small (&lt;2 km(2)) high-elevation (&lt;4200 m a.s.l.) glaciers of the Central Andes (Iver, East Iver and Morado glaciers) and two large (&gt;85 km(2)) glaciers of the Patagonian Andes (Exploradores and Perito Moreno glaciers) whose ablation tongues reach low altitude (&lt;300 m a.s.l.). Results show that the bacterial communities were generally similar to those observed in the cryoconite holes of other continents, but with few cyanobacteria (0.5% of sequences). The most abundant orders were Betaproteobacteriales, Cytophagales, Chitinophagales, Acetobacterales, Frankiales, Armatimonadales, Sphingobacteriales, Rhizobiales, Bacteroidales, Sphingomonadales, and Micrococcales. The bacterial communities differed between glaciers and both water pH and O-2 concentration appeared to influence the bacterial community composition. This work thus provides the first description of the bacterial communities in cryoconite holes of South American glaciers.</t>
  </si>
  <si>
    <t>[Pittino, F.; Franzetti, A.] Univ Milano Bicocca, Dept Earth &amp; Environm Sci DISAT, Milan, Italy; [Pittino, F.] WSL Swiss Fed Res Inst, Birmensdorf, Switzerland; [Ambrosini, R.; Azzoni, R. S.; Diolaiuti, G.] Univ Milan, Dept Environm Sci &amp; Policy, Lab Glacier Ecol, Milan, Italy; [Seeger, M.] Univ Tecn Federico Santa Maria, Dept Chem, Mol Microbiol &amp; Environm Biotechnol Lab, Valparaiso, Chile; [Azzoni, R. S.] Univ Milan, Dept Earth Sci Ardito Desio, Milan, Italy; [Alviz Gazitua, P.] Univ los Lagos, Dept Ciencias Biol, Osorno, Chile</t>
  </si>
  <si>
    <t>University of Milano-Bicocca; Swiss Federal Institutes of Technology Domain; Swiss Federal Institute for Forest, Snow &amp; Landscape Research; University of Milan; Universidad Tecnica Federico Santa Maria; University of Milan; Universidad de Los Lagos</t>
  </si>
  <si>
    <t>Ambrosini, R (corresponding author), Univ Milan, Dept Environm Sci &amp; Policy, Lab Glacier Ecol, Milan, Italy.</t>
  </si>
  <si>
    <t>roberto.ambrosini@unimi.it</t>
  </si>
  <si>
    <t>; Diolaiuti, Guglielmina/A-9422-2008; Franzetti, Andrea/A-6666-2008</t>
  </si>
  <si>
    <t>alviz gazitua, pablo andres/0000-0001-9151-5023; Diolaiuti, Guglielmina/0000-0002-3883-9309; Seeger, Michael/0000-0002-3925-1996; PITTINO, FRANCESCA/0000-0002-9725-3893; Azzoni, Roberto Sergio/0000-0002-5931-486X; Franzetti, Andrea/0000-0003-1279-9940</t>
  </si>
  <si>
    <t>ANID PIA Ring Genomics and Applied Microbiology for Bioremediation and Bioproducts (GAMBIO) Chile [ACT172128]; Fondecyt [1200756]; APC central fund of the University of Milan</t>
  </si>
  <si>
    <t>ANID PIA Ring Genomics and Applied Microbiology for Bioremediation and Bioproducts (GAMBIO) Chile; Fondecyt(Comision Nacional de Investigacion Cientifica y Tecnologica (CONICYT)CONICYT FONDECYT); APC central fund of the University of Milan</t>
  </si>
  <si>
    <t>This work was supported by the financial support of ANID PIA Ring Genomics and Applied Microbiology for Bioremediation and Bioproducts (GAMBIO) ACT172128 Chile (M.S., P.A-G.) and Fondecyt 1200756 (M.S.) grants. The authors acknowledge the support of the APC central fund of the University of Milan.</t>
  </si>
  <si>
    <t>FEB 14</t>
  </si>
  <si>
    <t>10.1038/s41598-022-24373-5</t>
  </si>
  <si>
    <t>X7YP6</t>
  </si>
  <si>
    <t>WOS:001100562500001</t>
  </si>
  <si>
    <t>Park, JY; Schloesser, F; Timmermann, A; Choudhury, D; Lee, JY; Nellikkattil, AB</t>
  </si>
  <si>
    <t>Park, Jun-Young; Schloesser, Fabian; Timmermann, Axel; Choudhury, Dipayan; Lee, June-Yi; Nellikkattil, Arjun Babu</t>
  </si>
  <si>
    <t>Future sea-level projections with a coupled atmosphere-ocean-ice-sheet model</t>
  </si>
  <si>
    <t>SOUTHERN-OCEAN; MASS-BALANCE; CLIMATE; CIRCULATION; GREENLAND; SIMULATION; DRIVEN; PARAMETERIZATION; CONSEQUENCES; SENSITIVITY</t>
  </si>
  <si>
    <t>Climate-forced, offline ice-sheet model simulations have been used extensively in assessing how much ice-sheets can contribute to future global sea-level rise. Typically, these model projections do not account for the two-way interactions between ice-sheets and climate. To quantify the impact of ice-ocean-atmosphere feedbacks, here we conduct greenhouse warming simulations with a coupled global climate-ice-sheet model of intermediate complexity. Following the Shared Socioeconomic Pathway (SSP) 1-1.9, 2-4.5, 5-8.5 emission scenarios, the model simulations ice-sheet contributions to global sea-level rise by 2150 of 0.2 +/- 0.01, 0.5 +/- 0.01 and 1.4 +/- 0.1 m, respectively. Antarctic ocean-ice-sheet-ice-shelf interactions enhance future subsurface basal melting, while freshwater-induced atmospheric cooling reduces surface melting and iceberg calving. The combined effect is likely to decelerate global sea-level rise contributions from Antarctica relative to the uncoupled climate-forced ice-sheet model configuration. Our results demonstrate that estimates of future sea-level rise fundamentally depend on the complex interactions between ice-sheets, icebergs, ocean and the atmosphere. Most global sea level projections ignore the active role of ice-sheet-climate coupling. Including this effect, a new modeling system simulates irreversible Antarctic ice-sheet loss and accelerating sea level rise for global mean temperatures &gt;1.8oC.</t>
  </si>
  <si>
    <t>[Park, Jun-Young; Timmermann, Axel; Choudhury, Dipayan; Lee, June-Yi; Nellikkattil, Arjun Babu] Inst Basic Sci, Ctr Climate Phys, Pusan, South Korea; [Park, Jun-Young; Lee, June-Yi; Nellikkattil, Arjun Babu] Pusan Natl Univ, Dept Climate Syst, Pusan, South Korea; [Schloesser, Fabian] Univ Hawaii, Int Pacific Res Ctr, Honolulu, HI 96822 USA; [Timmermann, Axel] Pusan Natl Univ, Pusan, South Korea; [Choudhury, Dipayan] Univ New South Wales, Climate Change Res Ctr, Sydney, NSW, Australia; [Lee, June-Yi] Pusan Natl Univ, Res Ctr Climate Sci, Pusan, South Korea</t>
  </si>
  <si>
    <t>Institute for Basic Science - Korea (IBS); Pusan National University; University of Hawaii System; Pusan National University; University of New South Wales Sydney; Pusan National University</t>
  </si>
  <si>
    <t>Park, JY (corresponding author), Inst Basic Sci, Ctr Climate Phys, Pusan, South Korea.;Park, JY (corresponding author), Pusan Natl Univ, Dept Climate Syst, Pusan, South Korea.;Schloesser, F (corresponding author), Univ Hawaii, Int Pacific Res Ctr, Honolulu, HI 96822 USA.</t>
  </si>
  <si>
    <t>junyoung1989@pusan.ac.kr; schloess@hawaii.edu</t>
  </si>
  <si>
    <t>Timmermann, Axel/Y-2799-2019; Lee, June-Yi/D-5752-2012</t>
  </si>
  <si>
    <t>Timmermann, Axel/0000-0003-0657-2969; Lee, June-Yi/0000-0002-3986-9753; Schloesser, Fabian/0000-0003-0042-2724; Park, Jun-Young/0000-0002-6136-2916</t>
  </si>
  <si>
    <t>Institute for Basic Science (IBS), Republic of Korea [IBS-R028-D1]; NSF [1903197]; NASA [80NSSC20K1241]; National Science Foundation</t>
  </si>
  <si>
    <t>Institute for Basic Science (IBS), Republic of Korea; NSF(National Science Foundation (NSF)); NASA(National Aeronautics &amp; Space Administration (NASA)); National Science Foundation(National Science Foundation (NSF))</t>
  </si>
  <si>
    <t>J.-Y.P., A.T., J.-Y.L., D.C., A.B.N. were supported by the Institute for Basic Science (IBS), Republic of Korea, under IBS-R028-D1. F.S. was supported by NSF grant 1903197 and NASA grant 80NSSC20K1241. The LOVECLIP simulations were conducted on the IBS/ICCP supercomputer Aleph, 1.43 peta flops high-performance Cray XC50-LC Skylake computing system with 18,720 processor cores, 9.59 PB storage, and 43 PB tape archive space and supercomputer Cheyenne (doi:10.5065/D6RX99HX) provided by NCAR's Computational and Information Systems Laboratory, sponsored by the National Science Foundation. The team further acknowledges contributions from Dr. Malte Heinemann, who helped with the coupling of an earlier version of the model and Dr. David Pollard for making the Penn State ice-sheet model available.</t>
  </si>
  <si>
    <t>10.1038/s41467-023-36051-9</t>
  </si>
  <si>
    <t>J5FK0</t>
  </si>
  <si>
    <t>WOS:001009872700002</t>
  </si>
  <si>
    <t>Fudge, M; Higgins, V; Vince, J; Rajaguru, R</t>
  </si>
  <si>
    <t>Fudge, Maree; Higgins, Vaughan; Vince, Joanna; Rajaguru, Rajesh</t>
  </si>
  <si>
    <t>Social acceptability and the development of commercial RAS aquaculture</t>
  </si>
  <si>
    <t>Social acceptability; Social licence to operate; RAS; Recirculated aquaculture systems; Aquaculture; Onshore aquaculture; Land based aquaculture</t>
  </si>
  <si>
    <t>STEWARDSHIP COUNCIL MSC; WILLINGNESS-TO-PAY; ENVIRONMENTAL GOVERNANCE; CERTIFICATION SCHEMES; CONSUMER PREFERENCES; MARINE AQUACULTURE; COASTAL AREAS; RULE-MAKING; SYSTEMS RAS; LICENSE</t>
  </si>
  <si>
    <t>Aquaculture technologies are developing quickly for land-based or onshore aquaculture. Recirculated aquacul-ture systems (RAS) are among a suite of emerging technologies in land-based aquaculture focused on increasing food production whilst aiming to reduce negative environmental effects of aquaculture. Despite optimism about the potential for RAS aquaculture production, questions about RAS production methods are beginning to emerge. In turn, such questions trigger a question about the role social acceptability in the extent to which RAS-based industries can establish and expand. This has not been addressed in the literature and is explored in this paper by using current understanding of social acceptability to analyse potential issues for RAS. We found that social concerns about negative environmental effects are not expected to offer the same challenges that apply to existing inshore aquaculture. However, competition for land, and energy costs and their carbon footprint are key issues the industry will need to consider where expansion is pursued. Social acceptability, however, is not only a matter of specific concerns but core determining factors for social acceptability - legitimacy, credibility, and their role in trust - must be considered.</t>
  </si>
  <si>
    <t>[Fudge, Maree; Rajaguru, Rajesh] Univ Tasmania, Coll Business &amp; Econ, Hobart, Tas, Australia; [Fudge, Maree] Univ Tasmania, Inst Marine &amp; Antarctic Studies, Hobart, Tas, Australia; [Fudge, Maree; Higgins, Vaughan; Vince, Joanna] Univ Tasmania, Sch Social Sci, Hobart, Tas, Australia; [Fudge, Maree; Vince, Joanna] Ctr Marine Socioecol, Hobart, Tas 7001, Australia</t>
  </si>
  <si>
    <t>University of Tasmania; University of Tasmania; University of Tasmania</t>
  </si>
  <si>
    <t>Fudge, M (corresponding author), Univ Tasmania, Coll Business &amp; Econ, Hobart, Tas, Australia.</t>
  </si>
  <si>
    <t>maree.fudge@utas.edu.au</t>
  </si>
  <si>
    <t>Vince, Joanna Zofia/J-7465-2014</t>
  </si>
  <si>
    <t>Vince, Joanna Zofia/0000-0002-4469-7634</t>
  </si>
  <si>
    <t>This research was conducted by the Australian Research Council Industrial Transformation Hub for Sustainable Onshore Lobster Aquaculture (project number IH190100014) . The views expressed herein are those of the authors and are not necessarily those of the Australian Government or the Australian Research Council.</t>
  </si>
  <si>
    <t>10.1016/j.aquaculture.2023.739295</t>
  </si>
  <si>
    <t>G9BT6</t>
  </si>
  <si>
    <t>WOS:000992032000001</t>
  </si>
  <si>
    <t>Pearson, HC; Savoca, MS; Costa, DP; Lomas, MW; Molina, R; Pershing, AJ; Smith, CR; Villaseñor-Derbez, JC; Wing, SR; Roman, J</t>
  </si>
  <si>
    <t>Pearson, Heidi C.; Savoca, Matthew S.; Costa, Daniel P.; Lomas, Michael W.; Molina, Renato; Pershing, Andrew J.; Smith, Craig R.; Villasenor-Derbez, Juan Carlos; Wing, Stephen R.; Roman, Joe</t>
  </si>
  <si>
    <t>Whales in the carbon cycle: can recovery remove carbon dioxide?</t>
  </si>
  <si>
    <t>TRENDS IN ECOLOGY &amp; EVOLUTION</t>
  </si>
  <si>
    <t>SEQUENTIAL MEGAFAUNAL COLLAPSE; DIEL VERTICAL MIGRATION; NORTH PACIFIC-OCEAN; IRON FERTILIZATION; ANTARCTIC KRILL; BALEEN WHALES; EXPORT; MODEL; PREY; ZOOPLANKTON</t>
  </si>
  <si>
    <t>The great whales (baleen and sperm whales), through their massive size and wide distribution, influence ecosystem and carbon dynamics. Whales directly store carbon in their biomass and contribute to carbon export through sinking carcasses. Whale excreta may stimulate phytoplankton growth and capture atmospheric CO2; such indirect pathways represent the greatest potential for whale-carbon sequestration but are poorly understood. We quantify the carbon values of whales while recognizing the numerous ecosystem, cultural, and moral motivations to protect them. We also propose a framework to quantify the economic value of whale carbon as populations change over time. Finally, we suggest research to address key unknowns (e.g., bioavailability of whale-derived nutrients to phytoplankton, species-and region-specific variability in whale carbon contributions).</t>
  </si>
  <si>
    <t>[Pearson, Heidi C.] Univ Alaska Southeast, Dept Nat Sci, Juneau, AK 99801 USA; [Savoca, Matthew S.; Villasenor-Derbez, Juan Carlos] Stanford Univ, Hopkins Marine Stn, Pacific Grove, CA USA; [Costa, Daniel P.] Univ Calif Santa Cruz, Ecol &amp; Evolutionary Biol Dept, Santa Cruz, CA USA; [Lomas, Michael W.] Bigelow Lab Ocean Sci, East Boothbay, ME USA; [Molina, Renato] Univ Miami, Rosenstiel Sch Marine, Atmospher Earth Sci &amp; Miami Herbert Business Sch, Miami, FL USA; [Pershing, Andrew J.] Climate Cent Inc, Princeton, NJ USA; [Smith, Craig R.] Univ Hawaii Manoa, Dept Oceanog, Honolulu, HI USA; [Villasenor-Derbez, Juan Carlos] Univ Calif Santa Barbara, Bren Sch Environm Sci &amp; Management, Santa Barbara, CA USA; [Wing, Stephen R.] Univ Otago, Dept Marine Sci, Dunedin, New Zealand; [Roman, Joe] Univ Vermont, Gund Inst Environm, Burlington, VT USA</t>
  </si>
  <si>
    <t>University of Alaska System; University of Alaska Southeastern; Stanford University; University of California System; University of California Santa Cruz; Bigelow Laboratory for Ocean Sciences; University of Miami; University of Hawaii System; University of Hawaii Manoa; University of California System; University of California Santa Barbara; University of Otago; University of Vermont</t>
  </si>
  <si>
    <t>Pearson, HC (corresponding author), Univ Alaska Southeast, Dept Nat Sci, Juneau, AK 99801 USA.</t>
  </si>
  <si>
    <t>hcpearson@alaska.edu</t>
  </si>
  <si>
    <t>Savoca, Matthew/K-3677-2019</t>
  </si>
  <si>
    <t>Pearson, Heidi/0000-0003-0502-2105</t>
  </si>
  <si>
    <t>National Science Foundation [PRFB 1906332]; MAC3 Impact Philanthropies</t>
  </si>
  <si>
    <t>National Science Foundation(National Science Foundation (NSF)); MAC3 Impact Philanthropies</t>
  </si>
  <si>
    <t>We thank Whale and Dolphin Conservation for constructive feedback, especially Vicki James and Ed Goodall, and for funding to support the graphics and publication fees. We also thank Kristen Krumhardt and two anonymous reviewers for helpful feedback. M.S.S. was supported by the National Science Foundation (PRFB 1906332) and MAC3 Impact Philanthropies.</t>
  </si>
  <si>
    <t>0169-5347</t>
  </si>
  <si>
    <t>1872-8383</t>
  </si>
  <si>
    <t>TRENDS ECOL EVOL</t>
  </si>
  <si>
    <t>Trends Ecol. Evol.</t>
  </si>
  <si>
    <t>10.1016/j.tree.2022.10.012</t>
  </si>
  <si>
    <t>Ecology; Evolutionary Biology; Genetics &amp; Heredity</t>
  </si>
  <si>
    <t>Environmental Sciences &amp; Ecology; Evolutionary Biology; Genetics &amp; Heredity</t>
  </si>
  <si>
    <t>A2RI4</t>
  </si>
  <si>
    <t>WOS:000953652400001</t>
  </si>
  <si>
    <t>Cukier, S; Fudala, K; Bialik, RJ</t>
  </si>
  <si>
    <t>Cukier, Stanislaw; Fudala, Katarzyna; Bialik, Robert Jozef</t>
  </si>
  <si>
    <t>Are Antarctic aquatic invertebrates hitchhiking on your footwear?</t>
  </si>
  <si>
    <t>JOURNAL FOR NATURE CONSERVATION</t>
  </si>
  <si>
    <t>Maritime Antarctic; Human impact; Biosecurity; Aquatic invertebrates</t>
  </si>
  <si>
    <t>HUMAN-MEDIATED DISPERSAL; COPEPOD BOECKELLA-POPPEI; BIOLOGICAL INVASIONS; ECOSYSTEM SERVICES; TERRESTRIAL; SURVIVAL; IMPACT; ANOSTRACA; PENINSULA; EXPANSION</t>
  </si>
  <si>
    <t>The increasing number of humans who travel to and within Antarctic regions each year not only increases the risk of introducing non-native species but also of translocating native species within and between Antarctic biogeoregions and poses the potential for artificial, human-mediated introduction of native freshwater inverte-brate species to newly ice-free areas of Antarctica. This study was designed to test the potential for transfer of native Antarctic freshwater invertebrates and their cysts on footwear. An average of 1.86 Anostraca cysts, 29.47 Copepoda cysts, 4.29 Nematoda, 0.40 Rotifera and 0.966 Tardigrada individuals per gram of sediment were found in samples taken from footwear after contact with freshwater sediment. The invertebrate cysts isolated from the samples that underwent drying at 27 degrees C were able to hatch in tap water, and representatives of the other systematic groups (Nematoda, Rotifera, and Tardigrada) also remained viable.</t>
  </si>
  <si>
    <t>[Cukier, Stanislaw; Fudala, Katarzyna; Bialik, Robert Jozef] Polish Acad Sci, Inst Biochem &amp; Biophys, Pawinskiego 5a, Warsaw, Poland</t>
  </si>
  <si>
    <t>Polish Academy of Sciences; Institute of Biochemistry &amp; Biophysics - Polish Academy of Sciences</t>
  </si>
  <si>
    <t>Bialik, RJ (corresponding author), Polish Acad Sci, Inst Biochem &amp; Biophys, Pawinskiego 5a, Warsaw, Poland.</t>
  </si>
  <si>
    <t>rbialik@ibb.waw.pl</t>
  </si>
  <si>
    <t>Institute of Biochemistry and Biophysics PAS Internal grant [MG -09/2021]; Arctowski Polish Antarctic Station</t>
  </si>
  <si>
    <t>Institute of Biochemistry and Biophysics PAS Internal grant; Arctowski Polish Antarctic Station</t>
  </si>
  <si>
    <t>This study was supported by the Institute of Biochemistry and Biophysics PAS Internal grant MG -09/2021. We appreciate the support provided by the Arctowski Polish Antarctic Station. We are grateful to the anonymous reviewers for a very thorough assessment of our manuscript and their constructive comments and helpful suggestions.</t>
  </si>
  <si>
    <t>1617-1381</t>
  </si>
  <si>
    <t>1618-1093</t>
  </si>
  <si>
    <t>J NAT CONSERV</t>
  </si>
  <si>
    <t>J. Nat. Conserv.</t>
  </si>
  <si>
    <t>10.1016/j.jnc.2023.126354</t>
  </si>
  <si>
    <t>9I8YW</t>
  </si>
  <si>
    <t>WOS:000939789500001</t>
  </si>
  <si>
    <t>Azad, MA; Islam, SS; Ghosh, AK; Hasanuzzaman, AM; Smith, AJ; Bir, J; Ahmmed, MK; Ahmmed, F; Banu, GR; Huq, KA</t>
  </si>
  <si>
    <t>Azad, Md. Abul K.; Islam, Shikder S.; Ghosh, Alokesh K.; Hasanuzzaman, Abul F. Md.; Smith, Aaron J.; Bir, Joyanta; Ahmmed, Mirja K.; Ahmmed, Fatema; Banu, Ghausiatur R.; Huq, Khandaker A.</t>
  </si>
  <si>
    <t>Application of zymetin and super PS probiotics in hatchery, nursery, and grow-out phases of Macrobrachium rosenbergii and their impact on culture environment, production, and economics</t>
  </si>
  <si>
    <t>JOURNAL OF THE WORLD AQUACULTURE SOCIETY</t>
  </si>
  <si>
    <t>culture cycle; grow-out phase; growth; production; super PS</t>
  </si>
  <si>
    <t>FRESH-WATER PRAWN; WHITE TAIL DISEASE; DE-MAN; PENAEUS-MONODON; TIGER SHRIMP; SURVIVAL; BACTERIUM; LENGTH; SOIL; ANTIBIOTICS</t>
  </si>
  <si>
    <t>This study evaluated the effect of two commercial probiotics, zymetin, and super PS, on the culture environment, production, and economics of Macrobrachium rosenbergii aquaculture. The experiment was conducted using three treatments, including T-1, probiotics applied in all culture phases; T-2, during grow-out; and a control (C). Prawns were fed commercial pelleted diets. Earthen ponds were used at a stocking density of two juveniles/m(2). Water concentrations of non-ionized ammonia and nitrite-nitrogen were significantly lower (p &lt; 0.05) in T-1 than in T-2 and C. Probiotic application significantly (p &lt; 0.05) reduced phosphate content and balanced soil pH. Growth performance, condition factor, survival, protein utilization, and production were significantly higher in T-1 followed by T-2 compared to C by the end of grow-out. Application of zymetin and super PS in all culture phases significantly (p &lt; 0.05) reduced the feed conversion ratio in T-1 compared to T-2 and C. Positive allometric growth was observed in T-1, whereas growth was isometric in C and T-2. Probiotic treatment during all culture phases achieved the highest net returns to land, family labor, and management. Application of probiotics during the entire culture cycle could be the best practice for improving production and economics in M. rosenbergii aquaculture.</t>
  </si>
  <si>
    <t>[Azad, Md. Abul K.; Islam, Shikder S.; Ghosh, Alokesh K.; Hasanuzzaman, Abul F. Md.; Bir, Joyanta; Banu, Ghausiatur R.; Huq, Khandaker A.] Khulna Univ, Fisheries &amp; Marine Resource Technol Discipline, Khulna, Bangladesh; [Azad, Md. Abul K.] Minist Fisheries &amp; Livestock, Dept Fisheries, Dhaka, Bangladesh; [Ghosh, Alokesh K.] Katholieke Univ Leuven, Fac Sci, Dept Biol, Anim Physiol &amp; Neurobiol Sect,Zool Inst, Leuven, Belgium; [Smith, Aaron J.] Univ Tasmania, Inst Marine &amp; Antarctic Studies, Fisheries &amp; Aquaculture, Launceston, Australia; [Bir, Joyanta] Univ Basque Country, Plentzia Marine Stn PiE UPV EHU, Plentzia, Spain; [Ahmmed, Mirja K.] Univ Otago, Dept Food Sci, Dunedin, New Zealand; [Ahmmed, Mirja K.] Chittagong Vet &amp; Anim Sci Univ, Dept Fishing &amp; Postharvest Technol, Chittagong, Bangladesh; [Ahmmed, Fatema] Univ Otago, Dept Chem, Dunedin, New Zealand</t>
  </si>
  <si>
    <t>Khulna University; KU Leuven; University of Tasmania; University of Basque Country; University of Otago; University of Otago</t>
  </si>
  <si>
    <t>Islam, SS (corresponding author), Khulna Univ, Fisheries &amp; Marine Resource Technol Discipline, Khulna, Bangladesh.</t>
  </si>
  <si>
    <t>shikdersaiful.islam@ku.ac.bd</t>
  </si>
  <si>
    <t>AHMMED, MIRJA KAIZER/AAA-5000-2019; Islam, Shikder Saiful/ABC-3688-2021</t>
  </si>
  <si>
    <t>AHMMED, MIRJA KAIZER/0000-0003-4467-0615; Islam, Shikder Saiful/0000-0001-7134-6736; Hasanuzzaman, Abul Farah Md./0000-0002-5439-2180; Bir, Joyanta/0000-0002-7106-7814</t>
  </si>
  <si>
    <t>Ministry of Education [37.01.0000.078.02.018.13-206(38)/6]; Ministry of Science and Technology [39.012.002.01.03.022.2015-439]</t>
  </si>
  <si>
    <t>Ministry of Education; Ministry of Science and Technology(Spanish Government)</t>
  </si>
  <si>
    <t>Ministry of Education, Grant/Award Number: 37.01.0000.078.02.018.13-206(38)/6; Ministry of Science and Technology, Grant/Award Number: 39.012.002.01.03.022.2015-439</t>
  </si>
  <si>
    <t>0893-8849</t>
  </si>
  <si>
    <t>1749-7345</t>
  </si>
  <si>
    <t>J WORLD AQUACULT SOC</t>
  </si>
  <si>
    <t>J. World Aquacult. Soc.</t>
  </si>
  <si>
    <t>10.1111/jwas.12943</t>
  </si>
  <si>
    <t>K3KO6</t>
  </si>
  <si>
    <t>WOS:000936613100001</t>
  </si>
  <si>
    <t>Hamabe, K; Matsuoka, K; Kitakado, T</t>
  </si>
  <si>
    <t>Hamabe, Kohei; Matsuoka, Koji; Kitakado, Toshihide</t>
  </si>
  <si>
    <t>Estimation of abundance and population dynamics of the Antarctic blue whale in the Antarctic Ocean south of 60°S, from 70°E to 170°W</t>
  </si>
  <si>
    <t>MARINE MAMMAL SCIENCE</t>
  </si>
  <si>
    <t>abundance estimation; Antarctic blue whale; Bayesian state-space model; intrinsic growth rate; line transect method; population dynamics</t>
  </si>
  <si>
    <t>HEMISPHERE; STOCK</t>
  </si>
  <si>
    <t>The Antarctic blue whale population size has decreased due to commercial whaling, and it is listed as endangered by the International Union for Conservation of Nature. Its population status has received widespread attention and the abundance of Antarctic blue whales has been estimated through surveys conducted by international and national programs. This study estimated the abundance of Antarctic blue whales south of 60 degrees S from 70 degrees E to 170 degrees W using data collected during Japanese national surveys. Furthermore, using this information and existing abundance estimates from the IDCR-SOWER surveys conducted by the International Whaling Commission, we estimated and forecasted the population trajectory of the Antarctic blue whale since the beginning of its exploitation using Bayesian state-space surplus production models. The abundance estimate for 2009 was 476, 95% CI [242, 972], corresponding to 0.8%, 95% CI [0.3, 1.9] of the prewhaling levels, and the intrinsic growth rate in this population was low at 0.042, 95% CI [0.009, 0.093]. This analysis suggests that the population size in this region is lower than that during prewhaling. The input of new abundance estimates in the future is expected to accurately estimate population dynamics compared with the current assessment.</t>
  </si>
  <si>
    <t>[Hamabe, Kohei; Kitakado, Toshihide] Tokyo Univ Marine Sci &amp; Technol, Dept Marine Biosci, Tokyo, Japan; [Hamabe, Kohei] Japan Fisheries Res &amp; Educ Agcy, Fisheries Resources Inst, Yokohama, Japan; [Matsuoka, Koji] Inst Cetacean Res, Tokyo, Japan; [Hamabe, Kohei] Japan Fisheries Res &amp; Educ Agcy, Fisheries Resources Inst, 2-12-4 Fukuura,Kanazawa ku, Yokohama, Japan</t>
  </si>
  <si>
    <t>Tokyo University of Marine Science &amp; Technology; Japan Fisheries Research &amp; Education Agency (FRA); Japan Fisheries Research &amp; Education Agency (FRA)</t>
  </si>
  <si>
    <t>Hamabe, K (corresponding author), Japan Fisheries Res &amp; Educ Agcy, Fisheries Resources Inst, 2-12-4 Fukuura,Kanazawa ku, Yokohama, Japan.</t>
  </si>
  <si>
    <t>hamabek@affrc.go.jp</t>
  </si>
  <si>
    <t>Hamabe, Kohei/0000-0002-6793-6933</t>
  </si>
  <si>
    <t>0824-0469</t>
  </si>
  <si>
    <t>1748-7692</t>
  </si>
  <si>
    <t>MAR MAMMAL SCI</t>
  </si>
  <si>
    <t>Mar. Mamm. Sci.</t>
  </si>
  <si>
    <t>10.1111/mms.13006</t>
  </si>
  <si>
    <t>C9MH4</t>
  </si>
  <si>
    <t>WOS:000931930700001</t>
  </si>
  <si>
    <t>Wethington, M; Flynn, C; Borowicz, A; Lynch, HJ</t>
  </si>
  <si>
    <t>Wethington, Michael; Flynn, Clare; Borowicz, Alex; Lynch, Heather J.</t>
  </si>
  <si>
    <t>Adelie penguins north and east of the 'Adelie gap' continue to thrive in the face of dramatic declines elsewhere in the Antarctic Peninsula region</t>
  </si>
  <si>
    <t>SEA-ICE; POPULATIONS; KRILL; TRENDS; VARIABILITY; SILVERFISH; CENSUSES; REVEAL; GROWTH; LINKS</t>
  </si>
  <si>
    <t>While population declines among Adelie penguins and population increases among gentoo penguins on the Western Antarctic Peninsula are well established, the logistical challenges of operating in the sea ice-heavy northern tip of the Antarctic Peninsula have prohibited reliable monitoring of seabirds in this region. Here we describe the findings of an expedition to the northern and eastern sides of the Antarctic Peninsula-a region at the nexus of two proposed Marine Protected Areas-to investigate the distribution and abundance of penguins in this region. We discovered several previously undocumented penguin colonies, completed direct surveys of three colonies initially discovered in satellite imagery, and re-surveyed several colonies last surveyed more than a decade ago. Whereas our expectation had been that the Peninsula itself would divide the areas undergoing ecological transition and the apparently more stable Weddell Sea region, our findings suggest that the actual transition zone lies in the so-called Adelie gap, a 400-km stretch of coastline in which Adelies are notably absent. Our findings suggest that the region north and east of this gap represents a distinct ecoregion whose dynamics stand in sharp contrast to surrounding areas and is likely to be impacted by future conservation measures.</t>
  </si>
  <si>
    <t>[Wethington, Michael; Flynn, Clare; Lynch, Heather J.] SUNY Stony Brook, Dept Ecol &amp; Evolut, Stony Brook, NY 11794 USA; [Borowicz, Alex] SUNY Stony Brook, Sch Marine &amp; Atmospher Sci, Stony Brook, NY 11794 USA; [Lynch, Heather J.] SUNY Stony Brook, Inst Adv Computat Sci, Stony Brook, NY 11794 USA</t>
  </si>
  <si>
    <t>State University of New York (SUNY) System; State University of New York (SUNY) Stony Brook; State University of New York (SUNY) System; State University of New York (SUNY) Stony Brook; State University of New York (SUNY) System; State University of New York (SUNY) Stony Brook</t>
  </si>
  <si>
    <t>Wethington, M (corresponding author), SUNY Stony Brook, Dept Ecol &amp; Evolut, Stony Brook, NY 11794 USA.</t>
  </si>
  <si>
    <t>wethington.michael@stonybrook.edu</t>
  </si>
  <si>
    <t>Michael, Wethington/JHT-8992-2023</t>
  </si>
  <si>
    <t>Wethington, Michael/0000-0002-3668-4083</t>
  </si>
  <si>
    <t>NSF NRT program [1633299]; NSF EarthCube program [1740595]; NASA Biodiversity program [80NSSC21K1027]; Stony Brook's Institute for Advanced Computational Sciences (IACS)</t>
  </si>
  <si>
    <t>NSF NRT program(National Science Foundation (NSF)NSF - Office of the Director (OD)); NSF EarthCube program(National Science Foundation (NSF)NSF - Directorate for Computer &amp; Information Science &amp; Engineering (CISE)); NASA Biodiversity program(National Aeronautics &amp; Space Administration (NASA)); Stony Brook's Institute for Advanced Computational Sciences (IACS)</t>
  </si>
  <si>
    <t>The authors wish to thank Louisa Casson, Usnea Granger, Greenpeace, and the crew of the MV Arctic Sunrise for their tenacity, dedication, assistance, and logistical support for this expedition. We acknowledge financial support for this expedition from Stony Brook's Institute for Advanced Computational Sciences (IACS). M.W. acknowledges additional support through IACS's STRIDE graduate fellowship, facilitated through the NSF NRT program (Award 1633299). H.J.L. acknowledges funding from the NSF EarthCube program (Award 1740595) and the NASA Biodiversity program (Award 80NSSC21K1027).</t>
  </si>
  <si>
    <t>FEB 13</t>
  </si>
  <si>
    <t>10.1038/s41598-023-29465-4</t>
  </si>
  <si>
    <t>F7RQ7</t>
  </si>
  <si>
    <t>Green Published, gold, Green Submitted</t>
  </si>
  <si>
    <t>WOS:000984284300061</t>
  </si>
  <si>
    <t>Zhang, SR; Cnossen, I; Lastovicka, J; Elias, AG; Yue, XN; Jacobi, C; Yue, J; Wang, WB; Qian, LY; Goncharenko, L</t>
  </si>
  <si>
    <t>Zhang, Shun-Rong; Cnossen, Ingrid; Lastovicka, Jan; Elias, Ana G.; Yue, Xinan; Jacobi, Christoph; Yue, Jia; Wang, Wenbin; Qian, Liying; Goncharenko, Larisa</t>
  </si>
  <si>
    <t>Long-term geospace climate monitoring</t>
  </si>
  <si>
    <t>long-term trends; climate; ionosphere; thermosphere; geospace; observation</t>
  </si>
  <si>
    <t>GRAVITY-WAVES; SIMULATION; TRENDS; TIME</t>
  </si>
  <si>
    <t>Climate change is characterized by global surface warming associated with the increase of greenhouse gas population since the start of the industrial era. Growing evidence shows that the upper atmosphere is experiencing appreciable cooling over the last several decades. The seminal modeling study by Roble and Dickinson (1989) suggested potential effects of increased greenhouse gases on the ionosphere and thermosphere cooling which appear consistent with some observations. However, several outstanding issues remain regarding the role of CO2, other important contributors, and impacts of the cooling trend in the ionosphere and thermosphere: for example, (1) what is the regional variability of the trends? (2) the very strong ionospheric cooling observed by multiple incoherent scatter radars that does not fit with the prevailing theory based on the argument of anthropogenic greenhouse gas increases, why? (3) what is the effect of secular changes in Earth's main magnetic field? Is it visible now in the ionospheric data and can it explain some of the regional variability in the observed ionospheric trends? (4) what is the impact of long-term cooling in the thermosphere on operational systems? (5) what are the appropriate strategic plans to ensure the long-term monitoring of the critical space climate?</t>
  </si>
  <si>
    <t>[Zhang, Shun-Rong; Goncharenko, Larisa] MIT, Haystack Observ, Cambridge, MA 02139 USA; [Cnossen, Ingrid] British Antarctic Survey, Cambridge, England; [Lastovicka, Jan] CAS, Inst Atmospher Phys, Prague, Czech Republic; [Elias, Ana G.] INFINOA, CONICET, San Miguel De Tucuman, Argentina; [Elias, Ana G.] FACET UNT, San Miguel De Tucuman, Tucuman, Argentina; [Yue, Xinan] Chinese Acad Sci, Inst Geol &amp; Geophys, Key Lab Earth &amp; Planetary Phys, Beijing, Peoples R China; [Jacobi, Christoph] Univ Leipzig, Inst Meteorol, Leipzig, Germany; [Yue, Jia] NASA Goddard Space Flight Ctr, Greenbelt, MD USA; [Yue, Jia] Catholic Univ Amer, Washington, DC USA; [Wang, Wenbin; Qian, Liying] NCAR High Altitude Observ, Boulder, CO USA</t>
  </si>
  <si>
    <t>Massachusetts Institute of Technology (MIT); UK Research &amp; Innovation (UKRI); Natural Environment Research Council (NERC); NERC British Antarctic Survey; Czech Academy of Sciences; Institute of Atmospheric Physics of the Czech Academy of Sciences; Consejo Nacional de Investigaciones Cientificas y Tecnicas (CONICET); Universidad Nacional de Tucuman; Chinese Academy of Sciences; Institute of Geology &amp; Geophysics, CAS; Leipzig University; National Aeronautics &amp; Space Administration (NASA); NASA Goddard Space Flight Center; Catholic University of America; National Center Atmospheric Research (NCAR) - USA</t>
  </si>
  <si>
    <t>Zhang, SR (corresponding author), MIT, Haystack Observ, Cambridge, MA 02139 USA.</t>
  </si>
  <si>
    <t>shunrong@mit.edu</t>
  </si>
  <si>
    <t>Qian, Liying/D-9236-2013; Cnossen, Ingrid/E-5809-2010; Yue, Jia/D-8177-2011; Yue, Xinan/AAQ-1587-2020; Zhang, Shun-Rong/G-7593-2015; Lastovicka, Jan/H-6804-2014</t>
  </si>
  <si>
    <t>Cnossen, Ingrid/0000-0001-6469-7861; Yue, Jia/0000-0003-0577-5289; Yue, Xinan/0000-0003-3379-9392;</t>
  </si>
  <si>
    <t>10.3389/fspas.2023.1139230</t>
  </si>
  <si>
    <t>9R9OR</t>
  </si>
  <si>
    <t>WOS:000945977700001</t>
  </si>
  <si>
    <t>Grevsmühl, S; Briday, R</t>
  </si>
  <si>
    <t>Grevsmuhl, Sebastian V.; Briday, Regis</t>
  </si>
  <si>
    <t>Satellite images as tools of visual diplomacy: NASA's ozone hole visualizations and the Montreal Protocol negotiations</t>
  </si>
  <si>
    <t>BRITISH JOURNAL FOR THE HISTORY OF SCIENCE</t>
  </si>
  <si>
    <t>CLIMATE</t>
  </si>
  <si>
    <t>On 16 September 1987, the main chlorofluorocarbon-producing and -consuming countries signed the Montreal Protocol, despite the absence of a scientific consensus on the mechanisms of ozone depletion over Antarctica. We argue in this article that the rapid diffusion from late 1985 onwards of satellite images showing the Antarctic ozone hole played a significant role in this diplomatic outcome. Whereas negotiators claimed that they chose to deliberately ignore the Antarctic ozone hole during the negotiations since no theory was able yet to explain it, the images still loomed large for many of the actors involved. In Western countries, the National Aeronautics and Space Administration's (NASA) satellite visualizations were diffused through the general press and television stations. Other popular and mass media outlets followed quickly. In describing the circulation and appropriation processes of these images within and beyond the scientific and negotiation arenas, we show that the ozone hole images did play an important part in ozone diplomacy in the two years leading up to the signing of the Montreal Protocol, both in the expert and diplomatic arenas and as public diplomacy tools. We conclude by encouraging scholars to engage with new visual archives and to contribute to the development of the vibrant new field of research on visual diplomacy.</t>
  </si>
  <si>
    <t>[Grevsmuhl, Sebastian V.] Ecole Hautes Etud Sci Sociales EHESS, Ctr Natl Rech Sci CNRS, Ctr Rech Hist, Paris, France; [Briday, Regis] Lab Hist Technosci Soc HT2S, Conservatoire Natl Arts &amp; Metiers CNAM, Paris, France</t>
  </si>
  <si>
    <t>Centre National de la Recherche Scientifique (CNRS); heSam Universite; Conservatoire National Arts &amp; Metiers (CNAM)</t>
  </si>
  <si>
    <t>Grevsmühl, S (corresponding author), Ecole Hautes Etud Sci Sociales EHESS, Ctr Natl Rech Sci CNRS, Ctr Rech Hist, Paris, France.</t>
  </si>
  <si>
    <t>sebastian.grevsmuhl@ehess.fr</t>
  </si>
  <si>
    <t>0007-0874</t>
  </si>
  <si>
    <t>1474-001X</t>
  </si>
  <si>
    <t>BRIT J HIST SCI</t>
  </si>
  <si>
    <t>Br. J. Hist. Sci.</t>
  </si>
  <si>
    <t>2023 FEB 13</t>
  </si>
  <si>
    <t>10.1017/S000708742300002X</t>
  </si>
  <si>
    <t>History &amp; Philosophy Of Science</t>
  </si>
  <si>
    <t>Social Science Citation Index (SSCI); Arts &amp; Humanities Citation Index (A&amp;HCI)</t>
  </si>
  <si>
    <t>History &amp; Philosophy of Science</t>
  </si>
  <si>
    <t>8Z1TY</t>
  </si>
  <si>
    <t>Green Accepted, Bronze</t>
  </si>
  <si>
    <t>WOS:000933170700001</t>
  </si>
  <si>
    <t>Liu, JJ; Chen, XC; Wang, ZQ; Hu, ZJ; Zhao, XX; Hu, HQ; Han, DS; Lui, ATY</t>
  </si>
  <si>
    <t>Liu, JianJun; Chen, XiangCai; Wang, ZhiQiang; Hu, ZeJun; Zhao, XingXin; Hu, HongQiao; Han, DeSheng; Lui, A. T. Y.</t>
  </si>
  <si>
    <t>Effect of interplanetary shock on an ongoing substorm: Simultaneous satellite-ground auroral observations</t>
  </si>
  <si>
    <t>SCIENCE CHINA-TECHNOLOGICAL SCIENCES</t>
  </si>
  <si>
    <t>interplanetary shock; substorm; global auroral images; all-sky camera; Zhongshan Station</t>
  </si>
  <si>
    <t>MAGNETIC-FIELD; WIND; MAGNETOSPHERE; ENHANCEMENT; SPACECRAFT; PLASMA; OVAL</t>
  </si>
  <si>
    <t>Substorm processes have been studied in detail, and it is well known that interplanetary (IP) shock encountering the terrestrial magnetosphere causes global responses. However, how IP shock compression to the magnetosphere affects the development of an ongoing substorm remains uninvestigated. Herein, the simultaneous satellite and ground-based auroral evolutions associated with an IP shock impact on the magnetopause during an ongoing substorm on May 7th, 2005, were examined. The IMAGE satellite over the Southern Hemisphere captured the global development substorm, which was initiated at 17:38:47 UT. The poleward branch of the nightside auroral oval was fortuitously monitored by an all-sky camera at the Zhongshan Station (-74.5 degrees magnetic latitude, ZHO) in Antarctica. The satellite imager observed continuous brightening and broadening of the nightside auroral oval after the IP shock arrival. The simultaneous ground-based optical aurora measurement displayed the intensification and expansion of a preexisting auroral surge poleward of the aurora oval. The geomagnetic field variations and the instantly increased PC indices indicated an elevated merging rate and enhanced the convection-related DP-2 currents. Therefore, this IP shock transient impact did not significantly change the ongoing development of the substorm, although it meets the magnetospheric precondition hypothesis.</t>
  </si>
  <si>
    <t>[Liu, JianJun; Chen, XiangCai; Hu, ZeJun; Zhao, XingXin; Hu, HongQiao] Polar Res Inst China, Minist Nat Resources MNR, Key Lab Polar Sci, Shanghai 200136, Peoples R China; [Liu, JianJun; Chen, XiangCai; Hu, ZeJun; Zhao, XingXin; Hu, HongQiao] Polar Res Inst China, Antarctic Zhongshan Natl Field Observat &amp; Res Stn, Space Special Environm &amp; Disasters, Shanghai 200136, Peoples R China; [Wang, ZhiQiang] Nanjing Univ Aeronaut &amp; Astronaut, Coll Astronaut, Nanjing 211106, Peoples R China; [Zhao, XingXin] Peking Univ, Inst Space Phys &amp; Appl Technol, Beijing 100871, Peoples R China; [Han, DeSheng] Tongji Univ, Sch Ocean &amp; Earth Sci, State Key Lab Marine Geol, Shanghai 200092, Peoples R China; [Lui, A. T. Y.] Johns Hopkins Univ, Appl Phys Lab, Laurel, MD USA</t>
  </si>
  <si>
    <t>Ministry of Natural Resources of the People's Republic of China; Polar Research Institute of China; Polar Research Institute of China; Nanjing University of Aeronautics &amp; Astronautics; Peking University; Tongji University; Johns Hopkins University; Johns Hopkins University Applied Physics Laboratory</t>
  </si>
  <si>
    <t>Liu, JJ; Chen, XC (corresponding author), Polar Res Inst China, Minist Nat Resources MNR, Key Lab Polar Sci, Shanghai 200136, Peoples R China.;Liu, JJ; Chen, XC (corresponding author), Polar Res Inst China, Antarctic Zhongshan Natl Field Observat &amp; Res Stn, Space Special Environm &amp; Disasters, Shanghai 200136, Peoples R China.</t>
  </si>
  <si>
    <t>liujianjun@pric.org.cn; chenxiangcai@pric.org.cn</t>
  </si>
  <si>
    <t>Chen, Xiangcai/S-9746-2019; Lui, Anthony T Y/G-5051-2019; Hu, Ze-Jun/X-8090-2019; Han, Desheng/H-6971-2018</t>
  </si>
  <si>
    <t>Chen, Xiangcai/0000-0002-6325-5049; Hu, Ze-Jun/0000-0003-2448-2094; Han, Desheng/0000-0002-6635-9214</t>
  </si>
  <si>
    <t>National Key R&amp;D Program of China [2021YFE0106400]; National Scientific Foundation of China [42120104003, 41974185, 42130210]; Shanghai Science and Technology Innovation Action Plan [21DZ1206100, 22ZR1481200]; SOA Key Laboratory for Polar Science [KP201703]; Chinese Meridian Project, and MNR Innovative Youth Talents Program [12110600000018003921]</t>
  </si>
  <si>
    <t>National Key R&amp;D Program of China; National Scientific Foundation of China(National Natural Science Foundation of China (NSFC)); Shanghai Science and Technology Innovation Action Plan; SOA Key Laboratory for Polar Science; Chinese Meridian Project, and MNR Innovative Youth Talents Program</t>
  </si>
  <si>
    <t>This work was supported by the National Key R&amp;D Program of China (Grant No. 2021YFE0106400), the National Scientific Foundation of China (Grant Nos. 42120104003, 41974185 and 42130210), Shanghai Science and Technology Innovation Action Plan (Grant Nos. 21DZ1206100 and 22ZR1481200), SOA Key Laboratory for Polar Science (Grant No. KP201703), Chinese Meridian Project, and MNR Innovative Youth Talents Program (Grant No. 12110600000018003921). We would like to thank Herald Frey in UC Berkeley for providing the IMAGE satellite aurora data. The solar wind data and geomagnetic indices are provided by the CDAWEB service (https://cdaweb.gsfc.nasa.gov). Those magnetometer data were ob-tained from INTERMAGNET (https://www.intermagnet.org/). National Arctic and Antarctic Data Center (http://www.chinare.org.cn) build upper atmospheric data sources.</t>
  </si>
  <si>
    <t>1674-7321</t>
  </si>
  <si>
    <t>1869-1900</t>
  </si>
  <si>
    <t>SCI CHINA TECHNOL SC</t>
  </si>
  <si>
    <t>Sci. China-Technol. Sci.</t>
  </si>
  <si>
    <t>10.1007/s11431-022-2244-0</t>
  </si>
  <si>
    <t>Engineering, Multidisciplinary; Materials Science, Multidisciplinary</t>
  </si>
  <si>
    <t>Engineering; Materials Science</t>
  </si>
  <si>
    <t>U6JE7</t>
  </si>
  <si>
    <t>WOS:000934841700001</t>
  </si>
  <si>
    <t>Schroeter, S; O'Kane, TJ; Sandery, PA</t>
  </si>
  <si>
    <t>Schroeter, Serena; O'Kane, Terence J.; Sandery, Paul A.</t>
  </si>
  <si>
    <t>Antarctic sea ice regime shift associated with decreasing zonal symmetry inthe Southern Annular Mode</t>
  </si>
  <si>
    <t>SURFACE TEMPERATURE RESPONSE; HEMISPHERE CIRCULATION; CLIMATE VARIABILITY; OZONE DEPLETION; AMERICAN MODES; OCEAN; TRENDS; EXTENT; DECLINE; RETREAT</t>
  </si>
  <si>
    <t>Across the long-term (similar to 43-year) satellite record, Antarctic sea ice extent shows a small overall circumpolar increase, resulting from opposing regional sea ice concentration anomalies. Running short-term samples of the same sea ice concentration data, however, show that the longterm trend pattern is dominated by the earliest years of the satellite record. Compensating regional anomalies diminish over time, and in the most recent decade, these tend towards spatial homogeneity instead. Running 30-year trends show the regional pattern of sea ice behaviour reversing over time; while in some regions, trend patterns abruptly shift in line with the record anomalous sea ice behaviour of recent years, in other regions a steady change predates these record anomalies. The shifting trend patterns in many regions are co-located with enhanced north-south flow due to an increasingly wave-3-like structure of the Southern Annular Mode. Sea surface temperature anomalies also shift from a circumpolar cooling to a regional pattern that resembles the increasingly asymmetric structure of the Southern Annular Mode, with warming in regions of previously increasing sea ice such as the Ross Sea.</t>
  </si>
  <si>
    <t>[Schroeter, Serena; O'Kane, Terence J.; Sandery, Paul A.] CSIRO Environm, Earth Syst, Hobart, Tas, Australia; [O'Kane, Terence J.] Australian Ctr Excellence Antarctic Sci, Hobart, Tas, Australia</t>
  </si>
  <si>
    <t>Schroeter, S (corresponding author), CSIRO Environm, Earth Syst, Hobart, Tas, Australia.</t>
  </si>
  <si>
    <t>serena.schroeter@csiro.au</t>
  </si>
  <si>
    <t>O'Kane, Terence J/0000-0002-2137-5915; Schroeter, Serena/0000-0002-8963-3044</t>
  </si>
  <si>
    <t>CSIRO Early Research Career Fellowship; Australian Government</t>
  </si>
  <si>
    <t>CSIRO Early Research Career Fellowship; Australian Government(Australian Government)</t>
  </si>
  <si>
    <t>Serena Schroeter was supported by a CSIRO Early Research Career Fellowship. This research/project was undertaken with the assistance of resources and services from the National Computational Infrastructure (NCI), which is supported by the Australian Government.</t>
  </si>
  <si>
    <t>10.5194/tc-17-701-2023</t>
  </si>
  <si>
    <t>8Y8RS</t>
  </si>
  <si>
    <t>WOS:000932960600001</t>
  </si>
  <si>
    <t>Teoh, CP; Lavin, P; Yusof, NA; González-Aravena, M; Najimudin, N; Cheah, YK; Wong, CMVL</t>
  </si>
  <si>
    <t>Teoh, C. P.; Lavin, P.; Yusof, N. A.; Gonzalez-Aravena, M.; Najimudin, N.; Cheah, Y. K.; Wong, C. M. V. L.</t>
  </si>
  <si>
    <t>Transcriptomics analysis provides insights into the heat adaptation strategies of an Antarctic bacterium, Cryobacterium sp. SO1</t>
  </si>
  <si>
    <t>Genome; Transcriptome; Heat adaptation; Antarctica; Polar</t>
  </si>
  <si>
    <t>ACETYLGLUCOSAMINE UTILIZATION PATHWAY; PHOSPHOTRANSFERASE SYSTEM; SUBSTRATE-SPECIFICITY; ALPHA-GALACTOSIDASE; STRESS RESPONSES; TRANSFER-RNA; DNA; GROWTH; REGULATOR; ELEMENTS</t>
  </si>
  <si>
    <t>Most life forms on earth, including the cold-adapted bacteria from the polar regions, are being affected by global warming. To better understand how global warming may affect Antarctic bacteria, the heat-stress response of cold-adapted Cryobacterium sp. SO1 at the transcript level was determined in this study. A Cryobacterium sp. SO1 culture was grown at 20 degrees C which was its optimal growth temperature and subsequently exposed to a higher temperature of 25 degrees C that inhibited growth for 3 h. The transcriptome of strain SO1 was isolated, and RNA-sequencing (RNA-seq) was performed and analyzed using bioinformatics tools. The global transcriptome revealed 169 differentially expressed genes (DEGs), 108 of which were up-regulated and 61 of which were down-regulated. The strain SO1 DEGs were classified into seven categories: signal transduction, DNA modification and repair mechanisms, oxidative-stress defence, metabolism-related, cellular translational machinery, cell growth-related, and programmed cell death-related genes. Strain SO1 altered those genes to cope with the heat stress. Transposase gene up-regulation, in particular, probably promoted genome transposition in an attempt to generate genetically diverse cells in the population in the hope that some will be able to withstand the growth inhibitory temperature. Overall, the findings of this study shed some light on how Cryobacterium sp. SO1, and other Antarctic bacteria in general, will probably respond to global warming.</t>
  </si>
  <si>
    <t>[Teoh, C. P.; Yusof, N. A.; Wong, C. M. V. L.] Univ Malaysia Sabah, Biotechnol Res Inst, Jalan UMS, Kota Kinabalu 88100, Sabah, Malaysia; [Lavin, P.] Univ Antofagasta, Fac Ciencias Mar &amp; Recursos Biol, Dept Biotecnol, 601 Ave Angamos, Antofagasta 1270300, Chile; [Gonzalez-Aravena, M.] Inst Antart Chileno, Plaza Munoz Gamero 1055, Punta Arenas, Chile; [Najimudin, N.] Univ Sains Malaysia, Sch Biol Sci, Bayan Lepas 11900, Penang, Malaysia; [Cheah, Y. K.] Univ Putra Malaysia, Fac Med &amp; Hlth Sci, Dept Biomed Sci, Upm Serdang 43400, Selangor, Malaysia</t>
  </si>
  <si>
    <t>Universiti Malaysia Sabah; Universidad de Antofagasta; Universiti Sains Malaysia; Universiti Putra Malaysia</t>
  </si>
  <si>
    <t>Wong, CMVL (corresponding author), Univ Malaysia Sabah, Biotechnol Res Inst, Jalan UMS, Kota Kinabalu 88100, Sabah, Malaysia.</t>
  </si>
  <si>
    <t>Yusof, Nur Athirah/ABD-6881-2021; Teoh, Chui Peng/AAM-9640-2021; Wong, Clemente Michael Vui Ling/M-8372-2013</t>
  </si>
  <si>
    <t>Yusof, Nur Athirah/0000-0002-9298-7425; Teoh, Chui Peng/0000-0003-1261-4600; Wong, Clemente Michael Vui Ling/0000-0003-3431-8896; Lavin, Paris/0000-0002-8893-526X</t>
  </si>
  <si>
    <t>Ministry of Science, Technology, and Innovation (MOSTI), Malaysia [1: FP1213E036]</t>
  </si>
  <si>
    <t>Ministry of Science, Technology, and Innovation (MOSTI), Malaysia(Ministry of Energy, Science, Technology, Environment and Climate Change (MESTECC), Malaysia)</t>
  </si>
  <si>
    <t>The funding support from the Ministry of Science, Technology, and Innovation (MOSTI), Malaysia, under the Antarctica Flagship Programme (Sub-Project 1: FP1213E036) is gratefully acknowledged.</t>
  </si>
  <si>
    <t>10.1007/s00300-023-03115-x</t>
  </si>
  <si>
    <t>WOS:000934332300001</t>
  </si>
  <si>
    <t>Cagide, C; Marizcurrena, JJ; Vallés, D; Alvarez, B; Castro-Sowinski, S</t>
  </si>
  <si>
    <t>Cagide, Celica; Marizcurrena, Juan Jose; Valles, Diego; Alvarez, Beatriz; Castro-Sowinski, Susana</t>
  </si>
  <si>
    <t>A bacterial cold-active dye-decolorizing peroxidase from an Antarctic Pseudomonas strain</t>
  </si>
  <si>
    <t>Cold-active enzyme; Dye-decolorizing peroxidase; Antarctica; Lignin modification; Bioremediation</t>
  </si>
  <si>
    <t>RHODOCOCCUS-JOSTII RHA1; HORSERADISH-PEROXIDASE; CATALYTIC MECHANISM; KRAFT LIGNIN; DEGRADATION; IDENTIFICATION; TEMPERATURE; OXIDATION; ANTHRAQUINONE; PREDICTION</t>
  </si>
  <si>
    <t>DyP (dye-decolorizing peroxidase) enzymes are hemeproteins that catalyze the H2O2-dependent oxidation of various molecules and also carry out lignin degradation, albeit with low activity. We identified a dyp gene in the genome of an Antarctic cold-tolerant microbe (Pseudomonas sp. AU10) that codes for a class B DyP. The recombinant protein (rDyP-AU10) was produced using Escherichia coli as a host and purified. We found that rDyP-AU10 is mainly produced as a dimer and has characteristics that resemble psychrophilic enzymes, such as high activity at low temperatures (20 degrees C) when using 2,2 '-azino-bis(3-ethylbenzothiazoline-6-sulfonic acid (ABTS) and H2O2 as substrates, thermo-instability, low content of arginine, and a catalytic pocket surface larger than the DyPs from some mesophilic and thermophilic microbes. We also report the steady-state kinetic parameters of rDyP-AU10 for ABTS, hydroquinone, and ascorbate. Stopped-flow kinetics revealed that Compound I is formed with a rate constant of (2.07 +/- 0.09) x 10(6) M-1 s(-1) at pH 5 and that this is the predominant species during turnover. The enzyme decolors dyes and modifies kraft lignin, suggesting that this enzyme may have potential use in bioremediation and in the cellulose and biofuel industries.</t>
  </si>
  <si>
    <t>[Cagide, Celica; Marizcurrena, Juan Jose; Castro-Sowinski, Susana] Univ Republica, Fac Ciencias, Secc Bioquim, Inst Biol, Igua 4225, Montevideo 11400, Uruguay; [Valles, Diego; Castro-Sowinski, Susana] Univ Republica, Fac Ciencias, Lab Biocatalizadores &amp; Sus Aplicac, Inst Quim Biol, Igua 4225, Montevideo 11400, Uruguay; [Alvarez, Beatriz] Univ Republica, Fac Ciencias, Lab Enzimol, Inst Quim Biol, Igua 4225, Montevideo 11400, Uruguay; [Alvarez, Beatriz] Univ Republica, Ctr Invest Biomed, Igua 4225, Montevideo 11400, Uruguay</t>
  </si>
  <si>
    <t>Universidad de la Republica, Uruguay; Universidad de la Republica, Uruguay; Universidad de la Republica, Uruguay; Universidad de la Republica, Uruguay</t>
  </si>
  <si>
    <t>Castro-Sowinski, S (corresponding author), Univ Republica, Fac Ciencias, Secc Bioquim, Inst Biol, Igua 4225, Montevideo 11400, Uruguay.;Castro-Sowinski, S (corresponding author), Univ Republica, Fac Ciencias, Lab Biocatalizadores &amp; Sus Aplicac, Inst Quim Biol, Igua 4225, Montevideo 11400, Uruguay.</t>
  </si>
  <si>
    <t>s.castro.sow@gmail.com</t>
  </si>
  <si>
    <t>Castro-Sowinski, Susana/0000-0002-1286-1743</t>
  </si>
  <si>
    <t>Uruguayan Antarctic Institute</t>
  </si>
  <si>
    <t>The authors thank the Uruguayan Antarctic Institute for partial financial and for the logistic support during the stay in the Antarctic Base Artigas. We thank Gerardo Ferrer-Sueta (Universidad de la Republica) for helping with the stopped-flow experiments. S. Castro-Sowinski, B. Alvarez; D. Valles, and J.J. Marizcurrena are members of the National Research System (SNI, Sistema Nacional de Investigadores).</t>
  </si>
  <si>
    <t>5-6</t>
  </si>
  <si>
    <t>10.1007/s00253-023-12405-7</t>
  </si>
  <si>
    <t>9T4IF</t>
  </si>
  <si>
    <t>WOS:000932730000001</t>
  </si>
  <si>
    <t>Nguyen, VH; Wemheuer, B; Song, WZ; Bennett, H; Palladino, G; Burgsdorf, I; Sizikov, S; Steindler, L; Webster, NS; Thomas, T</t>
  </si>
  <si>
    <t>Nguyen, Viet Hung; Wemheuer, Bernd; Song, Weizhi; Bennett, Holly; Palladino, Giorgia; Burgsdorf, Ilia; Sizikov, Sofia; Steindler, Laura; Webster, Nicole S.; Thomas, Torsten</t>
  </si>
  <si>
    <t>Functional characterization and taxonomic classification of novel gammaproteobacterial diversity in sponges</t>
  </si>
  <si>
    <t>SYSTEMATIC AND APPLIED MICROBIOLOGY</t>
  </si>
  <si>
    <t>Symbionts; Taxonomy; Metabolism; Alcohol oxidation; Host specificity; Respiration</t>
  </si>
  <si>
    <t>TRIMETHYLAMINE-N-OXIDE; L-LACTATE DEHYDROGENASE; DEPENDENT FORMALDEHYDE DEHYDROGENASE; NADH-QUINONE OXIDOREDUCTASE; CYTOCHROME-C REDUCTASE; CELL GENOMICS REVEALS; ESCHERICHIA-COLI; MARINE SPONGE; PSEUDOMONAS-AERUGINOSA; CARBON-MONOXIDE</t>
  </si>
  <si>
    <t>Sponges harbour exceptionally diverse microbial communities, whose members are largely uncultured. The class Gammaproteobacteria often dominates the microbial communities of various sponge species, but most of its diversity remains functional and taxonomically uncharacterised. Here we reconstructed and characterised 32 metagenome-assembled genomes (MAGs) derived from three sponge species. These MAGs represent ten novel species and belong to seven orders, of which one is new. We propose nomenclature for all these taxa. These new species comprise sponge-specific bacteria with varying levels of host specificity. Functional gene profiling highlights significant differences in metabolic capabilities across the ten species, though each also often exhibited a large degree of metabolic diversity involving various nitrogen- and sulfur-based compounds. The genomic features of the ten species suggest they have evolved to form symbiotic interaction with their hosts or are well-adapted to survive within the sponge environment. These Gammaproteobacteria are proposed to scavenge substrates from the host environment, including metabolites or cellular components of the sponge. Their diverse metabolic capabilities may allow for efficient cycling of organic matter in the sponge environment, potentially to the benefit of the host and other symbionts</t>
  </si>
  <si>
    <t>[Nguyen, Viet Hung; Wemheuer, Bernd; Song, Weizhi; Palladino, Giorgia; Thomas, Torsten] Univ New South Wales, Ctr Marine Sci &amp; Innovat, Sch Biol Earth &amp; Enviromental Sci, Sydney, NSW, Australia; [Bennett, Holly; Webster, Nicole S.] Ausingian Inst Marine Sci, Townsvdle, Qld, Australia; [Bennett, Holly] Cawthron Inst, Nelson, New Zealand; [Palladino, Giorgia] Univ Bologna, Dept Pharm &amp; Biotechnol, Unit Microbiome Sci &amp; Biotechnol, Via Belmeloro 6, I-40126 Bologna, Italy; [Burgsdorf, Ilia; Sizikov, Sofia; Steindler, Laura] Univ Haifa, Haifa, Israel; [Webster, Nicole S.] Univ Queensland, Australian Ctr Ecogenom, Sch Chem &amp; Mol Biosci, Brisbane, Qld, Australia; [Webster, Nicole S.] Australian Antarctic Div, Kingston, Tas, Australia</t>
  </si>
  <si>
    <t>University of New South Wales Sydney; Cawthron Institute; University of Bologna; University of Haifa; University of Queensland; Australian Antarctic Division</t>
  </si>
  <si>
    <t>Thomas, T (corresponding author), Univ New South Wales, Ctr Marine Sci &amp; Innovat, Sch Biol Earth &amp; Enviromental Sci, Sydney, NSW, Australia.</t>
  </si>
  <si>
    <t>t.thomas@unsw.edu.au</t>
  </si>
  <si>
    <t>Nguyen, Hung/F-1236-2013</t>
  </si>
  <si>
    <t>Song, Weizhi/0000-0001-5890-5361</t>
  </si>
  <si>
    <t>0723-2020</t>
  </si>
  <si>
    <t>1618-0984</t>
  </si>
  <si>
    <t>SYST APPL MICROBIOL</t>
  </si>
  <si>
    <t>Syst. Appl. Microbiol.</t>
  </si>
  <si>
    <t>10.1016/j.syapm.2023.126401</t>
  </si>
  <si>
    <t>H4OT2</t>
  </si>
  <si>
    <t>WOS:000995780800001</t>
  </si>
  <si>
    <t>Creac'h, L; Noble, TL; Chase, Z; Charlier, BLA; Townsend, AT; Perez-Tribouillier, H; Dietz, C</t>
  </si>
  <si>
    <t>Creac'h, Layla; Noble, Taryn L.; Chase, Zanna; Charlier, Bruce L. A.; Townsend, Ashley T.; Perez-Tribouillier, Habacuc; Dietz, Christian</t>
  </si>
  <si>
    <t>Unradiogenic reactive phase controls the ENd of authigenic phosphates in East Antarctic margin sediment</t>
  </si>
  <si>
    <t>GEOCHIMICA ET COSMOCHIMICA ACTA</t>
  </si>
  <si>
    <t>Neodymium isotopes; Rare Earth Elements; Leaching; Authigenic phosphate; Early diagenesis; East Antarctica</t>
  </si>
  <si>
    <t>RARE-EARTH-ELEMENTS; NEODYMIUM ISOTOPIC COMPOSITION; DEEP-SEA SEDIMENTS; NORTH-ATLANTIC DEEP; OCEAN CIRCULATION; SOUTHERN-OCEAN; WATER MASSES; ICE-SHEET; GEOTRACES INTERCALIBRATION; BOUNDARY EXCHANGE</t>
  </si>
  <si>
    <t>Determining past changes in ocean circulation on the Antarctic margin is important for understanding the interactions between climate, circulation, and ice sheet retreat. However, the application of neodymium isotopes (epsilon(Nd)), a well-known proxy of ocean circulation, is limited on the Antarctic margin, due to the lack of carbonate preservation and inconsistency in authigenic epsilon(Nd) leached from bulk sediment. Here we assess the use of the epsilon(Nd) proxy along the continental rise of Wilkes Land, by combining analyses of seawater with phases extracted using a 10-second reductive leach in co-located surface sediments. Dissolved seawater epsilon(Nd) values displayed the following water mass signatures; epsilon(Nd) = -8.8 +/- 0.2 (n = 1) for Antarctic Surface Water; epsilon(Nd) = -9.7 +/- 0.2 (n = 2) for Winter Water; and epsilon(Nd) = -8.7 +/- 0.3 (n = 6) for modified Circumpolar Deep Water. The sediment leachate did not reproduce a bottom water Nd signature and yielded a very variable epsilon(Nd), ranging from -10.4 to -14.4. In contrast, the bulk detrital sediment eNd fell within a narrow range of -13.1 +/- 0.5 (n = 29). Examination of elemental ratios and rare earth element (REE) anomalies indicates that the leaching procedure extracts exclusively authigenic phases. The strong relationship found between phosphorus (P) and REE suggests that a P-associated phase is the main REE host-phase leached, as opposed to ferromanganese oxyhydroxides. The leached europium anomalies and epsilon(Nd) indicate that the extracted Nd signature is influenced by two end members, one with a seawater-like epsilon(Nd) (similar to-8) and one more negative than the bulk detritus (epsilon(Nd) similar to-14). Finally, the decoupling between [Nd] and epsilon(Nd), as well the distinct middle-REE enrichments measured in the leach implies the authigenic epsilon(Nd) is controlled by diagenesis. We thus infer that the Nd signature of the leached phosphates is derived from porewater and influenced by the presence of a reactive detrital component in the sediment. Unradiogenic reactive sedimentary phases which easily dissolve into porewaters are likely sourced from the subglacial erosion of ancient metasediments and crustal remnants on the Wilkes Land coast. These new epsilon(Nd) data contribute to the evaluation of the epsilon(Nd) proxy at complex, dynamic and under-studied interfaces such as the East Antarctic margin. However, further work is still needed to develop reliable proxies of past Antarctic water masses. (C) 2023 The Authors. Published by Elsevier Ltd. This is an open access article under the CC BY license (http://creativecommons.org/licenses/by/4.0/).</t>
  </si>
  <si>
    <t>[Creac'h, Layla; Noble, Taryn L.; Chase, Zanna; Perez-Tribouillier, Habacuc] Univ Tasmania, Inst Marine &amp; Antarctic Studies, Hobart, Tas, Australia; [Chase, Zanna] Victoria Univ Wellington, Wellington, New Zealand; [Townsend, Ashley T.; Dietz, Christian] Univ Tasmania, Cent Sci Lab, Hobart, Tas, Australia; [Perez-Tribouillier, Habacuc] Swiss Fed Inst Technol, Lab Ion Beam Phys, Zurich, Switzerland</t>
  </si>
  <si>
    <t>University of Tasmania; Victoria University Wellington; University of Tasmania; Swiss Federal Institutes of Technology Domain; ETH Zurich</t>
  </si>
  <si>
    <t>Creac'h, L (corresponding author), Univ Tasmania, Inst Marine &amp; Antarctic Studies, Hobart, Tas, Australia.</t>
  </si>
  <si>
    <t>layla.creach@utas.edu.au</t>
  </si>
  <si>
    <t>Chase, Zanna/E-9232-2013; Charlier, Bruce L.A./A-7548-2012; Townsend, Ashley/J-7445-2014</t>
  </si>
  <si>
    <t>Townsend, Ashley/0000-0002-2972-2678; DIETZ, CHRISTIAN/0000-0002-6755-0491; CREAC'H, Layla/0000-0001-8686-312X; Noble, Taryn/0000-0002-5708-751X</t>
  </si>
  <si>
    <t>Australian Antarctic Program Project [LE0989539]; ARC LIEF funds [LE170100219]; ARC LIEF project; University of Tasmania; [4419]</t>
  </si>
  <si>
    <t>Australian Antarctic Program Project; ARC LIEF funds(Australian Research Council); ARC LIEF project(Australian Research Council); University of Tasmania;</t>
  </si>
  <si>
    <t>This project was funded by the Australian Antarctic Program Project 4419, with access to ICP instrumentation supported through ARC LIEF funds (LE0989539). 210Pb analyses were funded through an ARC LIEF project (LE170100219). The PhD scholarship of L.C. was provided by the University of Tasmania.</t>
  </si>
  <si>
    <t>0016-7037</t>
  </si>
  <si>
    <t>1872-9533</t>
  </si>
  <si>
    <t>GEOCHIM COSMOCHIM AC</t>
  </si>
  <si>
    <t>Geochim. Cosmochim. Acta</t>
  </si>
  <si>
    <t>10.1016/j.gca.2023.01.001</t>
  </si>
  <si>
    <t>A2FR2</t>
  </si>
  <si>
    <t>WOS:000953346300001</t>
  </si>
  <si>
    <t>Padilha, JA; Carvalho, GO; Espejo, W; Pessoa, ARL; Cunha, LST; Costa, ES; Torres, JPM; Lepoint, G; Das, K; Dorneles, PR</t>
  </si>
  <si>
    <t>Padilha, J. A.; Carvalho, G. O.; Espejo, W.; Pessoa, A. R. L.; Cunha, L. S. T.; Costa, E. S.; Torres, J. P. M.; Lepoint, G.; Das, K.; Dorneles, P. R.</t>
  </si>
  <si>
    <t>Trace elements in migratory species arriving to Antarctica according to their migration range</t>
  </si>
  <si>
    <t>Polar region; Seabirds; Toxic elements; Feather; Eggs</t>
  </si>
  <si>
    <t>MIDWAY ATOLL; METAL LEVELS; EXPOSURE; FEATHERS; MERCURY; PENGUINS; EGGS; ZINC; BAY</t>
  </si>
  <si>
    <t>The levels of eighteen trace elements (TEs) were evaluated in association with stable isotopes (815N, 834S, and 813C) in feathers and eggs of five migratory species breeding on the Antarctic Peninsula to test the factors that influence their exposure to contaminants. The feathers of seabirds migrating to the Northern Hemisphere (South polar skua) have concentrations (mean +/- SD, mu g. g-1) of Li (1.71 +/- 2.08) and Mg (1169.5 +/- 366.8) one order of magnitude higher than southern migrants, such as Snowy sheathbill Li (0.01 +/- 0.005) and Mg (499.6 +/- 111.9). Feathers had significantly higher concentrations for 11 of a total of 18 metals measured compared to eggs. South polar skua have higher concentrations of all TEs in eggs compared to antarctic tern. Therefore, the present study showed that migration and trophic ecology (815N, 813C, and 834S) influence Fe, Mn, Cu, and Se concentrations in feathers of Antarctic seabirds. The concentrations of Cu, Mn, Rb, Zn, Pb, Cd, Cr are higher than previously reported, which may be due to increased local and global human activities.</t>
  </si>
  <si>
    <t>[Padilha, J. A.; Carvalho, G. O.; Pessoa, A. R. L.; Cunha, L. S. T.; Torres, J. P. M.; Dorneles, P. R.] Univ Fed Rio De Janeiro, Biophys Inst, Rio De Janeiro, Brazil; [Espejo, W.] Univ Concepcion, Fac Agron, Dept Soils &amp; Nat Resources, POB 537, Chillan, Chile; [Costa, E. S.] Univ Estadual Rio Grande Do Sul, Mestrado Profiss Ambiente &amp; Sustentabilidade, Rua Assis Brasil 842, Sao Francisco De Paula, RS, Brazil; [Lepoint, G.; Das, K.; Dorneles, P. R.] Univ Liege, Freshwater &amp; Ocean Sci Unit Res FOCUS, Lab Oceanol, Liege, Belgium; [Padilha, J. A.] Univ Minho, Inst Sci &amp; Innovat Biosustainabil, Ctr Mol &amp; Environm Biol, Dept Biol,CBMA,ARNET Aquat Res Network, Campus Gualtar, P-4710057 Braga, Portugal; Univ Minho, Inst Sci &amp; Innovat Biosustainabil, IB S, Dept Biol, P-4710057 Braga, Portugal</t>
  </si>
  <si>
    <t>Universidade Federal do Rio de Janeiro; Universidad de Concepcion; Universidade Estadual do Rio Grande do Sul (UERGS); University of Liege; Universidade do Minho; Universidade do Minho</t>
  </si>
  <si>
    <t>Padilha, JA (corresponding author), Univ Fed Rio De Janeiro UFRJ, Ctr Ciencias Saude CCS, Inst Biofis Carlos Chagas Filho IBCCF, Lab Radioisotopos Eduardo Penna Franca LREPF, Ave Carlos Chagas Filho 373,Sala G0-62, BR-21941902 Rio De Janeiro, RJ, Brazil.</t>
  </si>
  <si>
    <t>janeide.padilha@ufrj.br</t>
  </si>
  <si>
    <t>Cunha, Larissa/KGM-1405-2024; torres, joao/AAI-8390-2021</t>
  </si>
  <si>
    <t>Cunha, Larissa/0000-0003-0814-4175; torres, joao/0000-0002-2510-1612; Das, Krishna/0000-0003-2689-3348; de Assis Guilherme Padilha, Janeide/0000-0002-1901-5822</t>
  </si>
  <si>
    <t>Brazilian National Council for Scientific and Technological Development (CNPq); Brazilian Foundation; Rio de Janeiro State Government Research Agency [88887.154724/2017-00, FAPERJ-E-26/111.505/2010, E-26/210.464/2019(249593)]; Wallonie Bruxelles International (WBI, from Belgium); Rio de Janeiro State Government Research Agency; CNPq; Agencia Nacional de Investigacion y Desarrollo de Chile (ANID); Conselho Nacional de Desenvolvimento Cientifico e Tecnologico (CNPq); [CNPq/MCT 557049/2009-1]; [432518/2016-9]; [88881.154725/2017-01]; [08733/2019-3]; [3200302]; [141460/2020-2]</t>
  </si>
  <si>
    <t>Brazilian National Council for Scientific and Technological Development (CNPq)(Conselho Nacional de Desenvolvimento Cientifico e Tecnologico (CNPQ)); Brazilian Foundation; Rio de Janeiro State Government Research Agency; Wallonie Bruxelles International (WBI, from Belgium); Rio de Janeiro State Government Research Agency; CNPq(Conselho Nacional de Desenvolvimento Cientifico e Tecnologico (CNPQ)); Agencia Nacional de Investigacion y Desarrollo de Chile (ANID); Conselho Nacional de Desenvolvimento Cientifico e Tecnologico (CNPq)(Conselho Nacional de Desenvolvimento Cientifico e Tecnologico (CNPQ)); ; ; ; ; ;</t>
  </si>
  <si>
    <t>This work was supported by the Brazilian National Council for Scientific and Technological Development (CNPq) through CNPq/MCT 557049/2009-1, as well as through a Universal Call CNPq-Project from PRD (proc. 432518/2016-9) . This work was also supported by a scientific cooperation established between the Brazilian Foundation for the Coordination and Improvement of Higher Level or Education Personnel (CAPES-process numbers 88881.154725/2017-01 88887.154724/2017-00) and Wallonie Bruxelles International (WBI, from Belgium) , coordinated by PRD and KD, as well as by the Rio de Janeiro State Government Research Agency [FAPERJ-E-26/111.505/2010 and E-26/210.464/2019(249593)] . Thanks for C. Delforge for technical assistance during chemical analyses. We would like to thank the Brazilian Navy, which provided logistical support in Antarctica through the Secretariat of the Interministerial Commission for the Resources of the Sea (SECIRM) . GL and KD are Senior F.R.S.- FNRS research associate. PRD has a research grant from CNPq (PQ -2 proc. 08733/2019-3) . WE is supported by the FONDECYT 3200302 of the Agencia Nacional de Investigacion y Desarrollo de Chile (ANID) . GOC received a doctoral scholarship from the Conselho Nacional de Desenvolvimento Cientifico e Tecnologico (CNPq- proc. 141460/2020-2) , Ministerio da Ciencia, Tecnologia e Inovacao.</t>
  </si>
  <si>
    <t>10.1016/j.marpolbul.2023.114693</t>
  </si>
  <si>
    <t>9N4LU</t>
  </si>
  <si>
    <t>WOS:000942886700001</t>
  </si>
  <si>
    <t>Lane, TP; Darvill, C; Rea, B; Bentley, M; Smith, JA; Jamieson, S; Cofaigh, CO; Roberts, D</t>
  </si>
  <si>
    <t>Lane, Timothy P.; Darvill, Christopher; Rea, Brice; Bentley, Mike; Smith, James A.; Jamieson, Stewart; Cofaigh, Colm O.; Roberts, David</t>
  </si>
  <si>
    <t>Geomorphological record of a former ice stream to ice shelf lateral transition zone in northeast Greenland</t>
  </si>
  <si>
    <t>EARTH SURFACE PROCESSES AND LANDFORMS</t>
  </si>
  <si>
    <t>ice stream; ice shelf; geomorphology; Greenland; palaeoglaciology</t>
  </si>
  <si>
    <t>GROUNDING LINE MIGRATION; SHEET DYNAMICS; WEST GREENLAND; ANTARCTIC PENINSULA; HOLOCENE DYNAMICS; BEDROCK TERRAIN; EPISHELF LAKES; RETREAT; HISTORY; UUMMANNAQ</t>
  </si>
  <si>
    <t>Understanding ice stream dynamics over decadal to millennial timescales is crucial for improving numerical model projections of ice sheet behaviour and future ice loss. In marine-terminating settings, ice shelves play a critical role in controlling ice-stream grounding line stability and ice flux to the ocean, but few studies have investigated the terrestrial lateral geomorphological imprint of ice shelves during deglaciation. Here, we document the terrestrial deglacial landsystem of Nioghalvfjerdsfjorden Glacier (79N) in northeast Greenland, following the Last Glacial Maximum, and the margin's lateral transition to a floating ice shelf. High-elevation areas are influenced by local ice caps and display autochthonous to allochthonous blockfields that mark the interaction of local ice caps with the ice stream below. A thermal transition from cold- to warm-based ice is denoted by the emplacement of erratics onto allochthonous blockfields. Below similar to 600 m above sea level (a.s.l.) glacially abraded bedrock surfaces and assemblages of lateral moraines, 'hummocky' moraine, fluted terrain, and ice-contact deltas record the former presence of warm-based ice and thinning of the grounded ice stream margin through time. In the outer fjord a range of landforms such as ice shelf moraines, dead-ice topography, and weakly developed ice marginal glaciofluvial outwash was produced by an ice shelf during deglaciation. Along the mid- and inner-fjord areas this ice shelf signal is absent, suggesting ice shelf disintegration prior to grounding line retreat under tidewater conditions. However, below the marine limit, the geomorphological record along the fjord indicates the expansion of the 79N ice shelf during the Neoglacial, which culminated in the Little Ice Age. This was followed by 20th century recession, with the development of a suite of compressional ice shelf moraines, ice-marginal fluvioglacial corridors, kame terraces, dead-ice terrain, and crevasse infill ridges. These mark rapid ice shelf thinning and typify the present-day ice shelf landsystem in a warming climate.</t>
  </si>
  <si>
    <t>[Lane, Timothy P.] Liverpool John Moores Univ, Sch Biol &amp; Environm Sci, Liverpool, England; [Darvill, Christopher] Univ Manchester, Dept Geog, Manchester, England; [Rea, Brice] Univ Aberdeen, Sch Geosci, Aberdeen, Scotland; [Bentley, Mike; Jamieson, Stewart; Cofaigh, Colm O.; Roberts, David] Univ Durham, Dept Geog, Durham, England; [Smith, James A.] NERC, British Antarctic Survey, Cambridge, England</t>
  </si>
  <si>
    <t>Liverpool John Moores University; University of Manchester; University of Aberdeen; Durham University; UK Research &amp; Innovation (UKRI); Natural Environment Research Council (NERC); NERC British Antarctic Survey</t>
  </si>
  <si>
    <t>Lane, TP (corresponding author), Liverpool John Moores Univ, Sch Biol &amp; Environm Sci, Liverpool, England.</t>
  </si>
  <si>
    <t>t.p.lane@ljmu.ac.uk</t>
  </si>
  <si>
    <t>Lane, Thomas/E-5821-2018</t>
  </si>
  <si>
    <t>Lane, Thomas/0000-0003-4787-7929; Lane, Timothy/0000-0002-7116-9976; Rea, Brice/0000-0002-9928-145X</t>
  </si>
  <si>
    <t>Natural Environment Research Council,Grant/Award Number: NE/N011228/1</t>
  </si>
  <si>
    <t>0197-9337</t>
  </si>
  <si>
    <t>1096-9837</t>
  </si>
  <si>
    <t>EARTH SURF PROC LAND</t>
  </si>
  <si>
    <t>Earth Surf. Process. Landf.</t>
  </si>
  <si>
    <t>10.1002/esp.5552</t>
  </si>
  <si>
    <t>I9XJ6</t>
  </si>
  <si>
    <t>WOS:000933047500001</t>
  </si>
  <si>
    <t>Bisaccia, M; Binda, E; Rosini, E; Caruso, G; Dell'Acqua, O; Azzaro, M; Lagana, P; Tedeschi, G; Maffioli, EM; Pollegioni, L; Marinelli, F</t>
  </si>
  <si>
    <t>Bisaccia, Melissa; Binda, Elisa; Rosini, Elena; Caruso, Gabriella; Dell'Acqua, Ombretta; Azzaro, Maurizio; Lagana, Pasqualina; Tedeschi, Gabriella; Maffioli, Elisa M.; Pollegioni, Loredano; Marinelli, Flavia</t>
  </si>
  <si>
    <t>A novel promising laccase from the psychrotolerant and halotolerant Antarctic marine Halomonas sp. M68 strain</t>
  </si>
  <si>
    <t>Antarctica; laccase; Halomonas sp; marine biofilm; cold-adaptation; extremophile bacteria</t>
  </si>
  <si>
    <t>COLD-ADAPTED ENZYMES; COPPER RESISTANCE; TERRESTRIAL; INDUCTION; OXIDATION; ALCOHOLS; BACTERIA; SYSTEM; OXYGEN; FUNGI</t>
  </si>
  <si>
    <t>Microbial communities inhabiting the Antarctic Ocean show psychrophilic and halophilic adaptations conferring interesting properties to the enzymes they produce, which could be exploited in biotechnology and bioremediation processes. Use of cold- and salt-tolerant enzymes allows to limit costs, reduce contaminations, and minimize pretreatment steps. Here, we report on the screening of 186 morphologically diverse microorganisms isolated from marine biofilms and water samples collected in Terra Nova Bay (Ross Sea, Antarctica) for the identification of new laccase activities. After primary screening, 13.4 and 10.8% of the isolates were identified for the ability to oxidize 2,2 '-azino-bis (3-ethylbenzothiazoline-6-sulfonic acid) (ABTS) and the dye azure B, respectively. Amongst them, the marine Halomonas sp. strain M68 showed the highest activity. Production of its laccase-like activity increased six-fold when copper was added to culture medium. Enzymatic activity-guided separation coupled with mass spectrometry identified this intracellular laccase-like protein (named Ant laccase) as belonging to the copper resistance system multicopper oxidase family. Ant laccase oxidized ABTS and 2,6-dimethoxy phenol, working better at acidic pHs The enzyme showed a good thermostability, with optimal temperature in the 40-50 degrees C range and maintaining more than 40% of its maximal activity even at 10 degrees C. Furthermore, Ant laccase was salt- and organic solvent-tolerant, paving the way for its use in harsh conditions. To our knowledge, this is the first report concerning the characterization of a thermo- and halo-tolerant laccase isolated from a marine Antarctic bacterium.</t>
  </si>
  <si>
    <t>[Bisaccia, Melissa; Binda, Elisa; Rosini, Elena; Pollegioni, Loredano; Marinelli, Flavia] Univ Insubria, Dept Biotechnol &amp; Life Sci DBSV, Varese, Italy; [Caruso, Gabriella; Azzaro, Maurizio] CNR, Inst Polar Sci, Messina, Italy; [Dell'Acqua, Ombretta] CNR, Inst Polar Sci, Venice, Italy; [Lagana, Pasqualina] Univ Messina, Dept Biomed &amp; Dent Sci &amp; Morphofunct Imaging BIOMO, Messina, Italy; [Tedeschi, Gabriella; Maffioli, Elisa M.] Univ Milan, Dept Vet Med &amp; Anim Sci DIVAS, Milan, Italy; [Tedeschi, Gabriella; Maffioli, Elisa M.] Univ Milan, Cimaina, Milan, Italy</t>
  </si>
  <si>
    <t>University of Insubria; Consiglio Nazionale delle Ricerche (CNR); Istituto di Scienze Polari (ISP-CNR); Consiglio Nazionale delle Ricerche (CNR); Istituto di Scienze Polari (ISP-CNR); University of Messina; University of Milan; University of Milan</t>
  </si>
  <si>
    <t>Bisaccia, M (corresponding author), Univ Insubria, Dept Biotechnol &amp; Life Sci DBSV, Varese, Italy.</t>
  </si>
  <si>
    <t>mbisaccia@uninsubria.it</t>
  </si>
  <si>
    <t>marinelli, flavia/H-2495-2012; Caruso, Gabriella/F-5450-2013; azzaro, Maurizio/AAE-6784-2019</t>
  </si>
  <si>
    <t>Caruso, Gabriella/0000-0002-3819-5486; azzaro, Maurizio/0000-0001-7885-2340; Bisaccia, Melissa/0009-0004-5992-6139; Binda, Elisa/0000-0001-9305-4451</t>
  </si>
  <si>
    <t>ANT-Biofilm Project (Microbial colonization of Antarctic benthic environments: response of microbial abundances, diversity, activities and larval settlement to natural and anthropogenic disturbances and search for secondary metabolites) [PNRA16_00105]; Consorzio Interuniversitario per le Biotecnologie (CIB), Bando MiUR Consorzi Network-CIB: catalisi dell'innovazione nelle biotecnologie, subproject: Un approccio glocal alle bioraffinerie di terza generazione.</t>
  </si>
  <si>
    <t>ANT-Biofilm Project (Microbial colonization of Antarctic benthic environments: response of microbial abundances, diversity, activities and larval settlement to natural and anthropogenic disturbances and search for secondary metabolites); Consorzio Interuniversitario per le Biotecnologie (CIB), Bando MiUR Consorzi Network-CIB: catalisi dell'innovazione nelle biotecnologie, subproject: Un approccio glocal alle bioraffinerie di terza generazione.</t>
  </si>
  <si>
    <t>This research was funded by the PNRA16_00105 ANT-Biofilm Project (Microbial colonization of Antarctic benthic environments: response of microbial abundances, diversity, activities and larval settlement to natural and anthropogenic disturbances and search for secondary metabolites) and Consorzio Interuniversitario per le Biotecnologie (CIB), Bando MiUR Consorzi Network-CIB: catalisi dell'innovazione nelle biotecnologie, subproject: Un approccio glocal alle bioraffinerie di terza generazione.</t>
  </si>
  <si>
    <t>FEB 10</t>
  </si>
  <si>
    <t>10.3389/fmicb.2023.1078382</t>
  </si>
  <si>
    <t>9F7LY</t>
  </si>
  <si>
    <t>WOS:000937648000001</t>
  </si>
  <si>
    <t>Dennison, F; Woodhouse, MT</t>
  </si>
  <si>
    <t>Dennison, Fraser; Woodhouse, Matthew T. T.</t>
  </si>
  <si>
    <t>ACCESS-CM2-Chem: evaluation of southern hemisphere ozone and its effect on the Southern Annular Mode</t>
  </si>
  <si>
    <t>chemistry; climate; interactive; model; ozone; SAM; Southern Annular Mode; southern hemisphere</t>
  </si>
  <si>
    <t>GREENHOUSE-GAS CONCENTRATIONS; CHEMISTRY-CLIMATE MODEL; STRATOSPHERIC CHEMISTRY; DRY DEPOSITION; CIRCULATION; SENSITIVITY; VERSION; OCEAN; PARAMETERIZATION; TEMPERATURE</t>
  </si>
  <si>
    <t>Chemistry-climate models are important tools for forecasting the evolution of climate. Of particular importance is the simulation of Antarctic ozone depletion due to its effect on the Southern Annular Mode (SAM). In this paper we evaluate the chemistry-climate model ACCESS-CM2-Chem. We find the simulation of stratospheric ozone by ACCESS-CM2-Chem to be significantly improved relative to its predecessor, and as good as the best of the contemporary chemistry-climate models - the ensemble of which displays considerable variation. We also find that the trend in summertime SAM is simulated well by ACCESS-CM2-Chem compared to the ERA5 reanalysis. Further, we show that this trend is more sensitive to changes in ozone depletion forcing in ACCESS-CM2-Chem than the equivalent model with prescribed ozone. However, a downside of the interactive chemistry of ACCESS-CM2-Chem, relative to the prescribed chemistry version, is an increase in the bias towards later vortex break-ups. Many recent studies have identified the important role of feedbacks between interactive ozone chemistry and climate. This phenomenon will be crucial to understand future projections where the recovery of stratospheric ozone will interact with increasing greenhouse gas driven warming. Based on the performance demonstrated here, ACCESS-CM2-Chem is a promising model with which to further this line of research, although the delay in the vortex break-up induced by the interactive chemistry is an issue that requires further work.</t>
  </si>
  <si>
    <t>[Dennison, Fraser; Woodhouse, Matthew T. T.] CSIRO Environm, Aspendale, Vic 3195, Australia</t>
  </si>
  <si>
    <t>Dennison, F (corresponding author), CSIRO Environm, Aspendale, Vic 3195, Australia.</t>
  </si>
  <si>
    <t>fraser.dennison@csiro.au</t>
  </si>
  <si>
    <t>Woodhouse, Matthew/E-4808-2013</t>
  </si>
  <si>
    <t>Woodhouse, Matthew/0000-0002-9892-4492; Dennison, Fraser/0000-0003-3931-3736</t>
  </si>
  <si>
    <t>Australian Government</t>
  </si>
  <si>
    <t>Australian Government(Australian Government)</t>
  </si>
  <si>
    <t>This research and project were undertaken with the assistance of resources and services from the National Computational Infrastructure (NCI), which is supported by the Australian Government. This research did not receive any specific funding.</t>
  </si>
  <si>
    <t>10.1071/ES22015</t>
  </si>
  <si>
    <t>WOS:000932249300001</t>
  </si>
  <si>
    <t>Engelbrecht, M; Bekker, A</t>
  </si>
  <si>
    <t>Engelbrecht, Martinique; Bekker, Anriette</t>
  </si>
  <si>
    <t>A discomfort threshold for impulsive whole-body vibration on a slamming-prone vessel</t>
  </si>
  <si>
    <t>APPLIED ERGONOMICS</t>
  </si>
  <si>
    <t>Whole-body vibration discomfort threshold; Wave-induced slamming; Receiver operating characteristic analysis</t>
  </si>
  <si>
    <t>QUESTIONNAIRE SURVEYS; RESPONSES; EXPOSURE; BOARD</t>
  </si>
  <si>
    <t>This study contributes towards a threshold for the onset of discomfort stemming from vibration that is transmitted to the human body by means of impulsive wave slamming in dynamic shipping environments. Wave slamming is a random, violent, non-linear event. Subjective and objective data were collected from two research voyages on a slamming-prone vessel. Full-scale vertical acceleration measurements were conducted near work and accommodation areas on the vessel. A daily diary survey was used to gather human responses among passengers. In addition, instantaneous slamming vibration comfort ratings were obtained by observers on the ship Bridge during a test sequence that purposefully induced slamming. The results indicate that two different approaches converged to the same VDV1hr comfort threshold (0.41 m/s1.75 and 0.43 m/s1.75), which corresponds to the limit where 50% of respondents indicated discomfort. A similar analysis using the r. m. s. metric converged to an identical threshold (0.03 m/s2), irrespective of the accumulated time of assessment.</t>
  </si>
  <si>
    <t>[Engelbrecht, Martinique; Bekker, Anriette] Stellenbosch Univ, Dept Mech &amp; Mechatron Engn, Private Bag X1, ZA-7006 Stellenbosch, South Africa</t>
  </si>
  <si>
    <t>Stellenbosch University</t>
  </si>
  <si>
    <t>Bekker, A (corresponding author), Stellenbosch Univ, Dept Mech &amp; Mechatron Engn, Private Bag X1, ZA-7006 Stellenbosch, South Africa.</t>
  </si>
  <si>
    <t>annieb@sun.ac.za</t>
  </si>
  <si>
    <t>NRF (National Research Foundation) [110737]</t>
  </si>
  <si>
    <t>NRF (National Research Foundation)(National Research Foundation of Korea)</t>
  </si>
  <si>
    <t>The authors would like to thank the Department of Forestry, Fisheries and the Environment (DFFE) of the Republic of South Africa, AM-SOL (Africa Marine Solutions) and the 2019 SCALE participant cohort for their role in making this research possible. The financial assistance of the NRF (National Research Foundation) through the South African National Antarctic Programme (Grant #110737) towards this research is gratefully acknowledged. Opinions expressed and conclusions arrived at, are those of the authors and are not necessarily to be attributed to the NRF. (ORCID: 0000-0003-4498-0867)</t>
  </si>
  <si>
    <t>0003-6870</t>
  </si>
  <si>
    <t>1872-9126</t>
  </si>
  <si>
    <t>APPL ERGON</t>
  </si>
  <si>
    <t>Appl. Ergon.</t>
  </si>
  <si>
    <t>10.1016/j.apergo.2023.103992</t>
  </si>
  <si>
    <t>Engineering, Industrial; Ergonomics; Psychology, Applied</t>
  </si>
  <si>
    <t>Engineering; Psychology</t>
  </si>
  <si>
    <t>J4VY0</t>
  </si>
  <si>
    <t>WOS:001009619700001</t>
  </si>
  <si>
    <t>Wu, LB; Sheng, M; Liu, XD; Zheng, ZQ; Emslie, SD; Yang, N; Wang, XY; Nie, YG; Jin, J; Xie, QR; Chen, S; Zhang, DH; Su, SH; Zhong, SJ; Hu, W; Deng, JJ; Zhu, JL; Qi, YL; Liu, CQ; Fu, PQ</t>
  </si>
  <si>
    <t>Wu, Libin; Sheng, Ming; Liu, Xiaodong; Zheng, Zhangqin; Emslie, Steven D.; Yang, Ning; Wang, Xueying; Nie, Yaguang; Jin, Jing; Xie, Qiaorong; Chen, Shuang; Zhang, Donghuan; Su, Sihui; Zhong, Shujun; Hu, Wei; Deng, Junjun; Zhu, Jialei; Qi, Yulin; Liu, Cong-Qiang; Fu, Pingqing</t>
  </si>
  <si>
    <t>Molecular transformation of organic nitrogen in Antarctic penguin guano-affected soil</t>
  </si>
  <si>
    <t>ENVIRONMENT INTERNATIONAL</t>
  </si>
  <si>
    <t>Organic nitrogen; FT-ICR MS; Soil; Penguin guano; Antarctic ice -free areas</t>
  </si>
  <si>
    <t>RESONANCE MASS-SPECTROMETRY; ROSS SEA REGION; ORNITHOGENIC SEDIMENTS; MATTER; DEPOSITION; CARBON; CHINA; INCREASE; ORIGIN; 21ST-CENTURY</t>
  </si>
  <si>
    <t>Organic nitrogen (ON) is an important participant in the Earth's N cycle. Previous studies have shown that penguin feces add an abundance of nutrients including N to the soil, significantly changing the eco-environment in ice-free areas in Antarctica. To explore the molecular transformation of ON in penguin guano-affected soil, we collected guano-free weathered soil, modern guano-affected soil from penguin colonies, ancient guano-affected soil from abandoned penguin colonies, and penguin feces from the Ross Sea region, Antarctica, and Fourier transform ion cyclotron mass spectrometry (FT-ICR MS) was used to investigate the chemical composition of water-extractable ON. By comparing the molecular compositions of ON among different samples, we found that the number of ON compounds (&gt;4,000) in weathered soil is minimal, while carboxylic-rich alicyclic-like molecules (CRAM-like) are dominant. Penguin feces adds ON into the soil with &gt; 10,000 CHON, CHONS and CHN compounds, including CRAM-like, lipid-like, aliphatic/ peptide-like molecules and amines in the guano-affected soil. After the input of penguin feces, macromolecules continue to degrade, and other ON compounds tend to be oxidized into relatively stable CRAM-like molecules, this is an important transformation process of ON in guanoaffected soils. We conclude the roles of various forms of ON in the N cycle are complex and diverse. Combined with previous studies, ON eventually turns into inorganic N and is lost from the soil. The lost N ultimately returns to the ocean and the food web, thus completing the N cycle. Our study preliminarily reveals the molecular transformation of ON in penguin guano-affected soil and is important for understanding the N cycle in Antarctica.</t>
  </si>
  <si>
    <t>[Wu, Libin; Sheng, Ming; Yang, Ning; Xie, Qiaorong; Chen, Shuang; Zhang, Donghuan; Su, Sihui; Zhong, Shujun; Hu, Wei; Deng, Junjun; Zhu, Jialei; Qi, Yulin; Liu, Cong-Qiang; Fu, Pingqing] Tianjin Univ, Inst Surface Earth Syst Sci, Sch Earth Syst Sci, Tianjin 300072, Peoples R China; [Liu, Xiaodong; Zheng, Zhangqin; Wang, Xueying; Jin, Jing] Univ Sci &amp; Technol China, Sch Earth &amp; Space Sci, Anhui Prov Key Lab Polar Environm &amp; Global Change, Hefei 230026, Anhui, Peoples R China; [Nie, Yaguang] Univ North Carolina Wilmington, Dept Biol &amp; Marine Biol, 601 S Coll Rd, Wilmington, NC 28403 USA; [Nie, Yaguang] Anhui Univ, Inst Phys Sci &amp; Informat Technol, Hefei 230601, Anhui, Peoples R China</t>
  </si>
  <si>
    <t>Tianjin University; Chinese Academy of Sciences; University of Science &amp; Technology of China, CAS; University of North Carolina; University of North Carolina Wilmington; Anhui University</t>
  </si>
  <si>
    <t>Fu, PQ (corresponding author), Tianjin Univ, Inst Surface Earth Syst Sci, Sch Earth Syst Sci, Tianjin 300072, Peoples R China.;Liu, XD (corresponding author), Univ Sci &amp; Technol China, Sch Earth &amp; Space Sci, Anhui Prov Key Lab Polar Environm &amp; Global Change, Hefei 230026, Anhui, Peoples R China.</t>
  </si>
  <si>
    <t>wulibin@tju.edu.cn; shengming@tju.edu.cn; ycx@ustc.edu.cn; zzq123@mail.ustc.edu.cn; emslies@uncw.edu; ning_yang@tju.edu.cn; zkdwxy@mail.ustc.edu.cn; nyg@ahu.edu.cn; jjin@mail.ustc.edu.cn; xieqiaorong@tju.edu.cn; chenshuang221@tju.edu.cn; ZDH_bamboo@163.com; susihui1990@126.com; shujunzhong@tju.edu.cn; huwei@tju.edu.cn; dengjunjun@tju.edu.cn; zhujialei@tju.edu.cn; yulin.qi@tju.edu.cn; liucongqiang@tju.edu.cn; fupingqing@tju.edu.cn</t>
  </si>
  <si>
    <t>Fu, Pingqing/G-4863-2013; Qi, Yulin/AFL-4664-2022</t>
  </si>
  <si>
    <t>Fu, Pingqing/0000-0001-6249-2280; Qi, Yulin/0000-0003-2504-0685</t>
  </si>
  <si>
    <t>National Natural Science Foundation of China [41905110, 41976191]; National Key Research and Development Program of China [2020YFA0608503]; Chinese Arctic and Antarctic Administration (CAAA) of the State Oceanic Administration</t>
  </si>
  <si>
    <t>National Natural Science Foundation of China(National Natural Science Foundation of China (NSFC)); National Key Research and Development Program of China; Chinese Arctic and Antarctic Administration (CAAA) of the State Oceanic Administration</t>
  </si>
  <si>
    <t>This study was supported by the National Natural Science Foundation of China (Grant Nos. 41905110 and 41976191) , and the National Key Research and Development Program of China (2020YFA0608503) . We would like to thank the Chinese Arctic and Antarctic Administration (CAAA) of the State Oceanic Administration for project support. We also thank the United States Antarctic Program (USAP) , Antarctic Support Contract and the Italian Mario Zucchelli Station for logistical support. R. Murray and A. McKenzie provided valuable assistance in the field.</t>
  </si>
  <si>
    <t>0160-4120</t>
  </si>
  <si>
    <t>1873-6750</t>
  </si>
  <si>
    <t>ENVIRON INT</t>
  </si>
  <si>
    <t>Environ. Int.</t>
  </si>
  <si>
    <t>10.1016/j.envint.2023.107796</t>
  </si>
  <si>
    <t>G8NU1</t>
  </si>
  <si>
    <t>WOS:000991667000001</t>
  </si>
  <si>
    <t>Hartz, WF; Björnsdotter, MK; Yeung, LWY; Hodson, A; Thomas, ER; Humby, JD; Day, C; Jogsten, IE; Kärrman, A; Kallenborn, R</t>
  </si>
  <si>
    <t>Hartz, William F.; Bjornsdotter, Maria K.; Yeung, Leo W. Y.; Hodson, Andrew; Thomas, Elizabeth R.; Humby, Jack D.; Day, Chris; Jogsten, Ingrid Ericson; Karrman, Anna; Kallenborn, Roland</t>
  </si>
  <si>
    <t>Levels and distribution profiles of Per- and Polyfluoroalkyl Substances (PFAS) in a high Arctic Svalbard ice core</t>
  </si>
  <si>
    <t>Temporal trends; Trifluoroacetic acid; Fluorotelomer alcohols; Hydrofluorocarbons; Long-range transport; Snowmelt</t>
  </si>
  <si>
    <t>ATOM INITIATED OXIDATION; FILM-FORMING FOAM; ATMOSPHERIC CHEMISTRY; OH RADICALS; PERFLUOROALKYL SUBSTANCES; POLYFLUORINATED COMPOUNDS; FLUOROTELOMER ALCOHOLS; TRIFLUOROACETIC-ACID; DEPOSITION HISTORY; MONTREAL PROTOCOL</t>
  </si>
  <si>
    <t>Per-and polyfluoroalkyl substances (PFAS) are a group of persistent organic contaminants of which some are toxic and bioaccumulative. Several PFAS can be formed from the atmospheric degradation of precursors such as fluorotelomer alcohols (FTOHs) as well as hydrochlorofluorocarbons (HFCs) and other ozone-depleting chlorofluorocarbon (CFC) re-placement compounds. Svalbard ice cores have been shown to provide a valuable record of long-range atmospheric transport of contaminants to the Arctic. This study uses a 12.3 m ice core from the remote Lomonosovfonna ice cap on Svalbard to understand the atmospheric deposition of PFAS in the Arctic. A total of 45 PFAS were targeted, of which 26 were detected, using supercritical fluid chromatography (SFC) tandem mass spectrometry (MS/MS) and ultra-performance liquid chromatography (UPLC) MS/MS. C2 to C11 perfluoroalkyl carboxylic acids (PFCAs) were de-tected continuously in the ice core and their fluxes ranged from 2.5 to 8200 ng m-2 yr-1 (9.51-16,500 pg L-1). Tri-fluoroacetic acid (TFA) represented 71 % of the total mass of C2 - C11 PFCAs in the ice core and had increasing temporal trends in deposition. The distribution profile of PFCAs suggested that FTOHs were likely the atmospheric pre-cursor to C8 - C11 PFCAs, whereas C2 - C6 PFCAs had alternative sources, such as HFCs and other CFC replacement compounds. Perfluorooctanesulfonic acid (PFOS) was also widely detected in 82 % of ice core subsections, and its isomer profile (81 % linear) indicated an electrochemical fluorination manufacturing source. Comparisons of PFAS concentrations with a marine aerosol proxy showed that marine aerosols were insignificant for the deposition of PFAS on Lomonosovfonna. Comparisons with a melt proxy showed that TFA and PFOS were mobile during meltwater percolation. This indicates that seasonal snowmelt and runoff from post-industrial accumulation on glaciers could be a significant seasonal source of PFAS to ecosystems in Arctic fjords.</t>
  </si>
  <si>
    <t>[Hartz, William F.; Day, Chris] Univ Oxford, Dept Earth Sci, South Parks Rd, Oxford OX1 3AN, England; [Hartz, William F.; Hodson, Andrew] Univ Ctr Svalbard UNIS, Dept Arctic Geol, NO-9171 Longyearbyen, Svalbard, Norway; [Bjornsdotter, Maria K.] Inst Environm Assessment &amp; Water Res IDAEA CSIC, C-Jordi Girona 18-26, Barcelona 08034, Catalonia, Spain; [Bjornsdotter, Maria K.; Yeung, Leo W. Y.; Jogsten, Ingrid Ericson; Karrman, Anna] Orebro Univ, Man Technol Environm Res Ctr MTM, SE-70182 Orebro, Sweden; [Hodson, Andrew] Western Norway Univ Appl Sci, Dept Environm Sci, NO-6851 Sogndal, Norway; [Thomas, Elizabeth R.; Humby, Jack D.] British Antarctic Survey, Ice Dynam &amp; Paleoclimate, Cambridge CB3 0ET, England; [Kallenborn, Roland] Norwegian Univ Life Sci NMBU, Fac Chem Biotechnol &amp; Food Sci KBM, NO-1432 As, Norway; [Kallenborn, Roland] Univ Ctr Svalbard UNIS, Dept Arctic Technol, N-9171 Longyearbyen, Svalbard, Norway</t>
  </si>
  <si>
    <t>University of Oxford; University Centre Svalbard (UNIS); Consejo Superior de Investigaciones Cientificas (CSIC); CSIC - Centro de Investigacion y Desarrollo Pascual Vila (CID-CSIC); CSIC - Instituto de Diagnostico Ambiental y Estudios del Agua (IDAEA); Orebro University; Western Norway University of Applied Sciences; UK Research &amp; Innovation (UKRI); Natural Environment Research Council (NERC); NERC British Antarctic Survey; Norwegian University of Life Sciences; University Centre Svalbard (UNIS)</t>
  </si>
  <si>
    <t>Hartz, WF (corresponding author), Univ Oxford, Dept Earth Sci, South Parks Rd, Oxford OX1 3AN, England.</t>
  </si>
  <si>
    <t>william.hartz@earth.ox.ac.uk</t>
  </si>
  <si>
    <t>Hartz, William/JJD-2403-2023; Thomas, Elizabeth Ruth/ADF-3660-2022; Kallenborn, Roland/F-8368-2011; Yeung, Leo/P-1967-2015</t>
  </si>
  <si>
    <t>Hartz, William/0000-0003-1735-3307; Thomas, Elizabeth Ruth/0000-0002-3010-6493; Kallenborn, Roland/0000-0003-1703-2538; humby, jack/0000-0003-0526-2766; Yeung, Leo/0000-0001-6800-5658</t>
  </si>
  <si>
    <t>Swedish Research Council Formas [2016-01284]; United Kingdom Research and Innovation Natural Environment Research Council; Oxford Doctoral Training Partnership in Environmental Research [NE/L002612/1]; Burdett-Coutts Trust; Svalbard Science Forum Arctic Field Grant 2019 [11121]; Research Council of Norway [196218/S30]; Fram Centre Flagship program [534/75219]; Knowledge Foundation [20160019]; Formas [2016-01284] Funding Source: Formas; Swedish Research Council [2016-01284] Funding Source: Swedish Research Council</t>
  </si>
  <si>
    <t>Swedish Research Council Formas(Swedish Research Council Formas); United Kingdom Research and Innovation Natural Environment Research Council; Oxford Doctoral Training Partnership in Environmental Research; Burdett-Coutts Trust; Svalbard Science Forum Arctic Field Grant 2019; Research Council of Norway(Research Council of Norway); Fram Centre Flagship program; Knowledge Foundation; Formas(Swedish Research Council Formas); Swedish Research Council(Swedish Research Council)</t>
  </si>
  <si>
    <t>The authors gratefully acknowledge financial support from the Swedish Research Council Formas (2016-01284) , the United Kingdom Research and Innovation Natural Environment Research Council and the Oxford Doctoral Training Partnership in Environmental Research (NE/L002612/1) , the Burdett-Coutts Trust, the Svalbard Science Forum Arctic Field Grant 2019 (RiS ID 11121) , the Research Council of Norway (SvalPOP, 196218/S30) , the Fram Centre Flagship program (PharmArctic, 534/75219) and the Knowledge Foundation (Enforce Research Project, 20160019) . The authors would also like to thank the Logistics Department and colleagues at the University Centre in Svalbard for help organizing and assisting with field-work, and Veerle van Winden, Eirik Rolland Enger and Julien-Pooya Weihs for assistance in the field and laboratory. The authors also grateful acknowledge Pernilla Bohlin-Nizzetto for providing the Zeppelin monitoring data from the EBAS database.</t>
  </si>
  <si>
    <t>10.1016/j.scitotenv.2023.161830</t>
  </si>
  <si>
    <t>D0GG4</t>
  </si>
  <si>
    <t>WOS:000965591500001</t>
  </si>
  <si>
    <t>Young, A; Runting, RK; Kujala, H; Konlechner, TM; Strain, EMA; Morris, RL</t>
  </si>
  <si>
    <t>Young, Alys; Runting, Rebecca K.; Kujala, Heini; Konlechner, Teresa M.; Strain, Elisabeth M. A.; Morris, Rebecca L.</t>
  </si>
  <si>
    <t>Identifying opportunities for living shorelines using a multi-criteria suitability analysis</t>
  </si>
  <si>
    <t>Coastal hazards; Coastal protection; Climate adaptation; Nature-based coastal defence; Species distribution models; Spatial prioritisation</t>
  </si>
  <si>
    <t>SPECIES DISTRIBUTION MODELS; INFRASTRUCTURE; URBANIZATION; CONSERVATION; COMMUNITIES; ACCURACY; FUTURE; BIAS</t>
  </si>
  <si>
    <t>The need to develop more sustainable solutions for coastal hazard risk reduction and to protect and restore degraded coastal habitats has led to an increased interest in living shorelines. A barrier to the wider implementation of living shorelines is a lack of guidance on where it is suitable to implement these solutions. We developed a shoreline suitability model to select areas of a representative coastline that would be either suitable for a soft (natural habitats only) or hybrid (natural habitats in combination with hard structures) approaches. We created species distribution models in MaxEnt to predict the potential distribution of 14 coastal species including four seagrasses, one mangrove, three saltmarsh, three shellfish and three dune species. These were combined in a multi-criteria analysis that also accounted for the accommodation (current space in the intertidal) and adaptation space (amount of space between the intertidal and nearest infrastructure) available to implement living shorelines at a 250 m resolution. This was done for the state of Victoria, Australia as a case study location where there is a high percentage of coastal infrastructure reaching the end of its design life. For the Victorian coastline 74% was suitable for hybrid approaches, while 65% was suitable for soft approaches and 4% of the coastline was not suitable for either approach. For the coastline already protected with hard defence structures, 67 and 69% would be suitable for at least one taxa, using a soft or hybrid approach, respectively. The percentage of coastline suitable for soft or hybrid approaches was similar in rural areas, however, suitability for hybrid was greater than soft approaches in urban and built-up areas, which could be due to a combination of habitat suitability and space available on the foreshore. This study has demonstrated how spatial multi-criteria analysis can be adapted to a complex coastal environment and inform more diverse coastal hazard mitigation actions to risk reduction and climate adaptation.(c) 2023 Elsevier B.V. All rights reserved.</t>
  </si>
  <si>
    <t>[Young, Alys; Konlechner, Teresa M.; Strain, Elisabeth M. A.; Morris, Rebecca L.] Univ Melbourne, Natl Ctr Coasts &amp; Climate, Sch Biosci, Melbourne, Vic 3010, Australia; [Young, Alys; Kujala, Heini] Deakin Univ, Ctr Integrat Ecol, Sch Life &amp; Environm Sci, Geelong, Vic 3125, Australia; [Runting, Rebecca K.] Univ Melbourne, Sch Ecosyst &amp; Forest Sci, Melbourne, Vic 3010, Australia; [Kujala, Heini] Univ Melbourne, Sch Geog Earth &amp; Atmospher Sci, Melbourne, Vic 3010, Australia; [Strain, Elisabeth M. A.] Univ Helsinki, Finnish Nat Hist Museum, FIN-00014 Helsinki, Finland; [Strain, Elisabeth M. A.] Univ Tasmania, Inst Marine &amp; Antarctic Studies, Hobart, Tas, Australia; [Strain, Elisabeth M. A.] Univ Tasmania, Ctr Marine Socioecol, Hobart, Tas, Australia</t>
  </si>
  <si>
    <t>Melbourne Genomics Health Alliance; University of Melbourne; Deakin University; University of Melbourne; Melbourne Genomics Health Alliance; University of Melbourne; Melbourne Genomics Health Alliance; University of Helsinki; University of Tasmania; University of Tasmania</t>
  </si>
  <si>
    <t>Morris, RL (corresponding author), Univ Melbourne, Natl Ctr Coasts &amp; Climate, Sch Biosci, Melbourne, Vic 3010, Australia.</t>
  </si>
  <si>
    <t>rebecca.morris@unimelb.edu.au</t>
  </si>
  <si>
    <t>Strain, Elisabeth/U-3520-2017; Runting, Rebecca/I-1470-2013; Morris, Rebecca/AAB-3364-2020</t>
  </si>
  <si>
    <t>Runting, Rebecca/0000-0003-0614-1456; Young, Alys/0000-0002-9562-2253; KUJALA, HEINI/0000-0001-9772-3202</t>
  </si>
  <si>
    <t>Earth Systems and Climate Change Hub by the Au-tralian Government's National Environmental Science Program; University of Melbourne's School of Bio Sciences through the Seed Fund 2019; Australian Research Council Discovery Early Career Research Award [DE210100330, DE210100492]; Finnish Strategic Research Councils projects IBC-Carbon [312559]; Australian Research Council [DE210100492, DE210100330] Funding Source: Australian Research Council</t>
  </si>
  <si>
    <t>Earth Systems and Climate Change Hub by the Au-tralian Government's National Environmental Science Program; University of Melbourne's School of Bio Sciences through the Seed Fund 2019; Australian Research Council Discovery Early Career Research Award(Australian Research Council); Finnish Strategic Research Councils projects IBC-Carbon; Australian Research Council(Australian Research Council)</t>
  </si>
  <si>
    <t>The National Centre for Coasts and Climate was funded through The Earth Systems and Climate Change Hub by the Aus-tralian Government's National Environmental Science Program. This project was funded by the University of Melbourne's School of BioSciences through the Seed Fund 2019. RLM and RKR were supported by an Australian Research Council Discovery Early Career Research Award (DE210100330 and DE210100492, respec-tively). HK acknowledges funding through the Finnish Strategic Research Councils projects IBC-Carbon (312559). We appreciate the input of the two anonymous reviewers.</t>
  </si>
  <si>
    <t>10.1016/j.rsma.2023.102857</t>
  </si>
  <si>
    <t>9P5LM</t>
  </si>
  <si>
    <t>WOS:000944326800001</t>
  </si>
  <si>
    <t>Zhao, HJ; Xiao, D; Bian, LG; Wu, W; Yang, HW; Chen, Q; Liang, T; Sun, LD</t>
  </si>
  <si>
    <t>Zhao, Hui-Jun; Xiao, Dong; Bian, Lin-Gen; Wu, Wei; Yang, Hai-Wei; Chen, Qi; Liang, Tian; Sun, Lan-Dong</t>
  </si>
  <si>
    <t>Seasonal prediction and possible causes of sudden losses of sea-ice in the Weddell Sea in recent years based on potential oceanic and atmospheric factors</t>
  </si>
  <si>
    <t>FRONTIERS IN ENVIRONMENTAL SCIENCE</t>
  </si>
  <si>
    <t>Weddell Sea; sea-ice concentration; sudden loss; multiple linear regression; seasonal prediction</t>
  </si>
  <si>
    <t>ATLANTIC-OCEAN; CLIMATE; OSCILLATION; FORECAST; PREDICTABILITY; ANOMALIES; IMPACTS; TRENDS; NORTH; MODEL</t>
  </si>
  <si>
    <t>The seasonal prediction of sea-ice concentration (SIC), especially sudden loss events, is always challenging. Weddell Sea SIC experienced two unprecedented decline events, falling from 2.21% in the austral winter of 2015 to 0.02% in the austral summer of 2016 and then falling to -2.32% in the austral spring of 2017. This study proposes several statistical prediction models for Weddell Sea SIC and performs them for a period that includes the sudden decline events. We identified six potential oceanic and atmospheric factors at different leading times that relate to the variability of the Weddell Sea SIC, including the Pacific Decadal Oscillation (PDO), Atlantic Multidecadal Oscillation (AMO), Nino12 sea surface temperature (SST), Southeastern Indian Ocean (SEIO) SST, Antarctic sea level pressure (SLP), and Weddell Sea surface air temperature (SAT). Multiple linear regression models were employed to establish equations to simulate the variation of Weddell Sea SIC under three groups of climate factors for 1979-2012. These models could effectively reproduce the low-frequency variation of SIC in the Weddell Sea during the simulation period and the high-frequency values through two kinds of error-correction methods developed in this study. After applying these error correction methods, the correlation coefficients (absolute errors) of these models were enhanced (decreased) during the simulation period. In the prediction period of 2013-2018, the corrected models generally predicted well the sudden losses of Weddell Sea SIC. The possible primary factors influencing these sudden losses were the PDO, Nino12 SST, Southern Annular Mode (SAM), and SAT during 2015-2016 and the AMO, PDO, Nino12 SST, SAM, and SAT during 2016-2017.</t>
  </si>
  <si>
    <t>[Zhao, Hui-Jun; Bian, Lin-Gen] Chinese Acad Meteorol Sci, Beijing, Peoples R China; [Zhao, Hui-Jun; Xiao, Dong; Wu, Wei; Yang, Hai-Wei; Chen, Qi; Liang, Tian; Sun, Lan-Dong] Key Lab CitesMitigat &amp; Adaptat Climate Change Shan, Shanghai, Peoples R China</t>
  </si>
  <si>
    <t>China Meteorological Administration; Chinese Academy of Meteorological Sciences (CAMS)</t>
  </si>
  <si>
    <t>Xiao, D (corresponding author), Key Lab CitesMitigat &amp; Adaptat Climate Change Shan, Shanghai, Peoples R China.</t>
  </si>
  <si>
    <t>xiaodong1981@foxmail.com</t>
  </si>
  <si>
    <t>ZHAO, HUANYU/JFD-8853-2023</t>
  </si>
  <si>
    <t>Strategic Priority Research Program of the Chinese Academy of Sciences [XDA20100300]; Second Tibetan Plateau Scientific Expedition and Research (STEP) program [2019QZKK0105]; National Science Foundation of China [42175053]; Natural Science Foundation of Shanghai [21ZR1457600]</t>
  </si>
  <si>
    <t>Strategic Priority Research Program of the Chinese Academy of Sciences(Chinese Academy of Sciences); Second Tibetan Plateau Scientific Expedition and Research (STEP) program; National Science Foundation of China(National Natural Science Foundation of China (NSFC)); Natural Science Foundation of Shanghai(Natural Science Foundation of Shanghai)</t>
  </si>
  <si>
    <t>Funding This work was jointly supported by the Strategic Priority Research Program of the Chinese Academy of Sciences (XDA20100300) and the Second Tibetan Plateau Scientific Expedition and Research (STEP) program (2019QZKK0105), a National Science Foundation of China grant (42175053), and the Natural Science Foundation of Shanghai (21ZR1457600).</t>
  </si>
  <si>
    <t>2296-665X</t>
  </si>
  <si>
    <t>FRONT ENV SCI-SWITZ</t>
  </si>
  <si>
    <t>Front. Environ. Sci.</t>
  </si>
  <si>
    <t>FEB 9</t>
  </si>
  <si>
    <t>10.3389/fenvs.2023.1135165</t>
  </si>
  <si>
    <t>9E8XR</t>
  </si>
  <si>
    <t>WOS:000937063100001</t>
  </si>
  <si>
    <t>Chen, M; Huang, GB; Xu, JS; Wang, CT; Xu, JZ; Qi, HS; Zhang, AM</t>
  </si>
  <si>
    <t>Chen, Min; Huang, Guobiao; Xu, Jishang; Wang, Chengtao; Xu, Jizheng; Qi, Hongshuai; Zhang, Aimei</t>
  </si>
  <si>
    <t>Diatom distribution in Holocene sediments from the northern West Caroline Basin (western equatorial Pacific) and their environmental significance</t>
  </si>
  <si>
    <t>diatom; western equatorial Pacific; environmental significance; West Caroline Basin; Holocene sediment</t>
  </si>
  <si>
    <t>SURFACE SEDIMENTS; BOUNDARY CURRENTS; SEA; PHYTOPLANKTON; DEPTH; WATER</t>
  </si>
  <si>
    <t>Diatoms are an important component of submarine biogenic sediments and often used for carrying out palaeoceanographical reconstructions. To understand the relationship between diatoms and environment in the western equatorial Pacific, diatoms from the Holocene sediments in the northern West Caroline Basin were selected for analysis. We made quantitative statistics on diatoms and divided diatom assemblages through cluster analysis. A total of 53 species or varieties of diatoms belonging to 22 genera were identified. The range of diatom abundance was 0-88,373 valves/g. The diatoms found were mainly oceanic warm-water species. Overall, Azpeitia nodulifera was the species with the highest contribution, followed by Hemidiscus cuneiformis and Thalassiosira pacifica with these three species together accounting for approximately 80% in this area. We identified four diatom groupings and divided the study area into three regions. Diatom assemblage I in the West Caroline Basin was mainly affected by the North Equatorial Counter Current (NECC), Antarctic Intermediate Water (AAIW) and upwelling, and the supply of nutrients was relatively high. Assemblage II in the West Caroline Ridge was less influenced by currents, and thus had lower abundance and species diversity than assemblage I. The complex diatom assemblages in the Yap Trench were probably controlled by Upper Circumpolar Deep Water (UCPW) and Lower Circumpolar Deep Water (LCPW).</t>
  </si>
  <si>
    <t>[Chen, Min; Huang, Guobiao; Wang, Chengtao; Qi, Hongshuai; Zhang, Aimei] Minist Nat Resources, Inst Oceanog 3, Xiamen, Peoples R China; [Chen, Min; Huang, Guobiao] Fuzhou Univ, Sch Adv Mfg, Jinjiang, Peoples R China; [Chen, Min] Fujian Prov Key Lab Marine Phys &amp; Geol Proc, Xiamen, Peoples R China; [Xu, Jishang] Ocean Univ China, Key Lab Submarine Geosci &amp; Prospecting Tech, Minist Educ, Qingdao, Peoples R China; [Xu, Jizheng] Ocean Univ China, Engn Res Ctr Marine Petr Dev &amp; Secur Safeguard, Minist Educ, Qingdao, Peoples R China</t>
  </si>
  <si>
    <t>Third Institute of Oceanography, Ministry of Natural Resources; Ministry of Natural Resources of the People's Republic of China; Fuzhou University; Ocean University of China; Ocean University of China</t>
  </si>
  <si>
    <t>Chen, M (corresponding author), Minist Nat Resources, Inst Oceanog 3, Xiamen, Peoples R China.;Chen, M (corresponding author), Fuzhou Univ, Sch Adv Mfg, Jinjiang, Peoples R China.;Chen, M (corresponding author), Fujian Prov Key Lab Marine Phys &amp; Geol Proc, Xiamen, Peoples R China.;Xu, JS (corresponding author), Ocean Univ China, Key Lab Submarine Geosci &amp; Prospecting Tech, Minist Educ, Qingdao, Peoples R China.</t>
  </si>
  <si>
    <t>chenmin@tio.org.cn; jishangxu@ouc.edu.cn</t>
  </si>
  <si>
    <t>Xu, Jizheng/JDD-5152-2023; Hongshuai, Qi/ABC-6165-2021</t>
  </si>
  <si>
    <t>10.3389/fmars.2023.1110621</t>
  </si>
  <si>
    <t>9C3BJ</t>
  </si>
  <si>
    <t>WOS:000935296500001</t>
  </si>
  <si>
    <t>Novis, PM; Dhami, M; Podolyan, A; Matsumoto, M; Kodner, R</t>
  </si>
  <si>
    <t>Novis, Phil M.; Dhami, Manpreet; Podolyan, Anastasija; Matsumoto, Maya; Kodner, Robin</t>
  </si>
  <si>
    <t>The austral biflagellate Chloromonas rubroleosa (Chlorophyceae) is the closest relative of the unusual quadriflagellate genus Chlainomonas, both found in snow</t>
  </si>
  <si>
    <t>JOURNAL OF PHYCOLOGY</t>
  </si>
  <si>
    <t>Chlainomonas; Chloromonas; Chlorophyta; flagella; phylogenetic analysis; snow algae</t>
  </si>
  <si>
    <t>COMB-NOV CHLOROPHYTA; MOLECULAR PHYLOGENY; LIFE-HISTORY; VOLVOCALES; ALGA; ECOLOGY; REVISION; POSITION; RAXML; CYCLE</t>
  </si>
  <si>
    <t>The quadriflagellate genus Chlainomonas frequently dominates red snow globally. It is unusual in several respects, with two separated pairs of flagella, apparent cell division via extrusion of cytoplasmic threads, and being nested phylogenetically within the biflagellate genus Chloromonas. Here, we showed that the austral species Chloromonas (Cr.) rubroleosa, originally described from Antarctic red snow, is a close biflagellate relative of Chlainomonas, challenging the monophyly of Chlainomonas as currently conceived. Sequences of the 18S rRNA gene robustly linked Cr. rubroleosa with near-identical environmental sequences from Antarctic red snow and Chlainomonas from North America, Japan, and Europe. Furthermore, the 18S rRNA and rbcL gene sequences of Cr. rubroleosa were almost identical to New Zealand and North American collections of Chlainomonas. Cr. rubroleosa and New Zealand Chlainomonas are separated by only a single-base substitution across the ITS1-5.8S-ITS2 rRNA loci (and according to ITS2, the North American collection is the next closest relative). This again raises the possibility that Chlainomonas is a life-cycle stage of vegetatively biflagellate organisms, although this remains confounded by the scarcity of biflagellates in field populations, the apparent cell division by quadriflagellates, and the absence of Chlainomonas-type cells in cultures of Cr. rubroleosa. The latter species is broadly similar to Chlainomonas, being poor at swimming, with similar pigment, chloroplast arrangement and ultrastructure, and is relatively large. Increased size is a feature of the wider clade of Group D  snow algae. A synthesis of field and laboratory investigations may be needed to unravel the life cycle and correct the systematics of this group.</t>
  </si>
  <si>
    <t>[Novis, Phil M.; Dhami, Manpreet; Podolyan, Anastasija] Manaaki Whenua Landcare Res, Lincoln, New Zealand; [Matsumoto, Maya; Kodner, Robin] Western Washington Univ, Dept Biol &amp; Environm Sci, Washington, DC USA; [Novis, Phil M.] Manaaki Whenua Landcare Res, Lincoln 7640, New Zealand</t>
  </si>
  <si>
    <t>Landcare Research - New Zealand; Western Washington University; Landcare Research - New Zealand</t>
  </si>
  <si>
    <t>Novis, PM (corresponding author), Manaaki Whenua Landcare Res, Lincoln 7640, New Zealand.</t>
  </si>
  <si>
    <t>novisp@landcareresearch.co.nz</t>
  </si>
  <si>
    <t>Novis, Phil/0000-0002-8802-4984</t>
  </si>
  <si>
    <t>National Science Foundation Division of Biological Infrastructure [2019228]; National Science Foundation Division of Environmental Biology [2113747]; Ministry of Business, Innovation and Employment's Science and Innovation Group, New Zealand; Ministry of Business, Innovation and Employment; Western Washington University; National Science Foundation; Direct For Biological Sciences; Division Of Environmental Biology [2113747] Funding Source: National Science Foundation; Direct For Biological Sciences; Div Of Biological Infrastructure [2019228] Funding Source: National Science Foundation</t>
  </si>
  <si>
    <t>National Science Foundation Division of Biological Infrastructure(National Science Foundation (NSF)); National Science Foundation Division of Environmental Biology(National Science Foundation (NSF)NSF - Directorate for Biological Sciences (BIO)); Ministry of Business, Innovation and Employment's Science and Innovation Group, New Zealand(New Zealand Ministry of Business, Innovation and Employment (MBIE)); Ministry of Business, Innovation and Employment; Western Washington University; National Science Foundation(National Science Foundation (NSF)); Direct For Biological Sciences; Division Of Environmental Biology(National Science Foundation (NSF)NSF - Directorate for Biological Sciences (BIO)); Direct For Biological Sciences; Div Of Biological Infrastructure(National Science Foundation (NSF)NSF - Directorate for Biological Sciences (BIO))</t>
  </si>
  <si>
    <t>National Science Foundation Division of Biological Infrastructure, Grant/Award Number: 2019228; National Science Foundation Division of Environmental Biology, Grant/Award Number: 2113747; Strategic Science Investment Fund Core funding for Crown Research Institutes from the Ministry of Business, Innovation and Employment's Science and Innovation Group, New Zealand; Ministry of Business, Innovation and Employment; Western Washington University; National Science Foundation</t>
  </si>
  <si>
    <t>0022-3646</t>
  </si>
  <si>
    <t>1529-8817</t>
  </si>
  <si>
    <t>J PHYCOL</t>
  </si>
  <si>
    <t>J. Phycol.</t>
  </si>
  <si>
    <t>10.1111/jpy.13318</t>
  </si>
  <si>
    <t>Plant Sciences; Marine &amp; Freshwater Biology</t>
  </si>
  <si>
    <t>D5YO8</t>
  </si>
  <si>
    <t>WOS:000935021600001</t>
  </si>
  <si>
    <t>Vandersteen, J; Fust, C; Crowther, MS; Smith, M; Viola, B; Barton, P; Newsome, TM</t>
  </si>
  <si>
    <t>Vandersteen, James; Fust, Christopher; Crowther, Mathew S.; Smith, Matt; Viola, Benjamin; Barton, Philip; Newsome, Thomas M.</t>
  </si>
  <si>
    <t>Carcass use by mesoscavengers drives seasonal shifts in Australian alpine scavenging dynamics</t>
  </si>
  <si>
    <t>WILDLIFE RESEARCH</t>
  </si>
  <si>
    <t>alps; apex scavenger; breeding; brushtail possum; carrion; food source; mesoscavenger; raven; scavenger guild</t>
  </si>
  <si>
    <t>POSSUM TRICHOSURUS-VULPECULA; RAVEN CORVUS-MELLORI; BRUSHTAIL POSSUM; NATIONAL-PARK; SOUTHEASTERN AUSTRALIA; AVIAN SCAVENGERS; LARUS-ARGENTATUS; HABITAT USE; FERAL CAT; DIET</t>
  </si>
  <si>
    <t>Context. Carrion is a high-energy and nutrient-rich resource that attracts a diverse group of vertebrate scavengers. However, despite the carrion pool being highly seasonal in its availability, there is little understanding of how scavengers utilise carcasses across all four seasons. Aim. To assess how season influences carcass-detection times by vertebrate scavengers and their rates of scavenging. Methods. We used remote cameras to monitor vertebrate scavenging at 15 eastern grey kangaroo (Macropus giganteus) carcasses in four consecutive seasons (summer, autumn, winter, and spring; total 58 carcasses) in the Australian Alps. Key results. In total, 745 599 remote-camera images were captured, within which 34 vertebrate species were identified, nine of which were recorded to actively scavenge. Time to first detection of carcasses by vertebrate scavengers was 5.3 and 9.6 times longer during summer (average 144 h) than during spring (average 34 h) and winter (average 24 h) respectively. Rates of vertebrate scavenging were highest in winter and spring, with brushtail possums (Trichosurus vulpecula) accounting for 78% of all scavenging events during winter, and ravens (Corvus spp.) accounting for 73% during spring. High rates of carcass use by these mesoscavengers may reflect a scarcity of other food sources, the demands of their breeding season, or a relative absence of scavenging by larger dominant species such as dingoes (Canis dingo) and wedge-tailed eagles (Aquila audax). Conclusions. These findings demonstrate the highly seasonal nature of vertebrate scavenging dynamics in an alpine ecosystem, and that mesoscavengers, not apex scavengers, can dominate the use of carcasses. Implications. Accounting for the effects of season is integral to understanding the way animals utilise carcasses in alpine and other strongly seasonal environments; and for developing further our knowledge of ecosystem processes linked to decomposition.</t>
  </si>
  <si>
    <t>[Vandersteen, James; Fust, Christopher; Crowther, Mathew S.; Newsome, Thomas M.] Univ Sydney, Sch Life &amp; Environm Sci, Sydney, NSW 2006, Australia; [Smith, Matt] Univ New South Wales, Sch Biol Earth &amp; Environm Sci, Sydney, NSW 2052, Australia; [Viola, Benjamin] Univ Tasmania, Inst Marine &amp; Antarctic Studies, Battery Point, Tas 7004, Australia; [Barton, Philip] Federat Univ, Future Reg Res Ctr, Ballarat, Vic 3353, Australia</t>
  </si>
  <si>
    <t>University of Sydney; University of New South Wales Sydney; University of Tasmania; Federation University Australia</t>
  </si>
  <si>
    <t>Vandersteen, J; Newsome, TM (corresponding author), Univ Sydney, Sch Life &amp; Environm Sci, Sydney, NSW 2006, Australia.</t>
  </si>
  <si>
    <t>james.vandersteen@outlook.com; thomas.newsome@sydney.edu.au</t>
  </si>
  <si>
    <t>Crowther, Mathew/M-7406-2013; Vandersteen, James/KDN-7143-2024; Viola, Benjamin/GQO-8891-2022; Barton, Philip/A-6400-2010; Vandersteen, James/HTN-4130-2023</t>
  </si>
  <si>
    <t>Crowther, Mathew/0000-0001-8968-1161; Vandersteen, James/0000-0002-9955-5131; Viola, Benjamin/0000-0003-2620-2914; Barton, Philip/0000-0002-8377-2211; Vandersteen, James/0000-0002-9955-5131; Smith, Matt/0000-0002-6504-347X; Newsome, Thomas/0000-0003-3457-3256</t>
  </si>
  <si>
    <t>Australian Alps National Parks Cooperative Management Program</t>
  </si>
  <si>
    <t>Funding for this work was provided by the Australian Alps National Parks Cooperative Management Program.</t>
  </si>
  <si>
    <t>1035-3712</t>
  </si>
  <si>
    <t>1448-5494</t>
  </si>
  <si>
    <t>WILDLIFE RES</t>
  </si>
  <si>
    <t>Wildl. Res.</t>
  </si>
  <si>
    <t>2023 FEB 9</t>
  </si>
  <si>
    <t>10.1071/WR22100</t>
  </si>
  <si>
    <t>Ecology; Zoology</t>
  </si>
  <si>
    <t>Environmental Sciences &amp; Ecology; Zoology</t>
  </si>
  <si>
    <t>9B7TZ</t>
  </si>
  <si>
    <t>WOS:000934937600001</t>
  </si>
  <si>
    <t>Mumcu, H; Cebeci, ETS; Kilic, MM; Cebeci, A; Gunes, Y; Karacan, I; Oztug, M; Balci, N; Karaguler, NG</t>
  </si>
  <si>
    <t>Mumcu, Hande; Cebeci, Emine Tugce Sarac; Kilic, Meryem Menekse; Cebeci, Anil; Gunes, Yagmur; Karacan, Ilker; Oztug, Merve; Balci, Nurgul; Karaguler, Nevin Gul</t>
  </si>
  <si>
    <t>Identification of phenotypic and genotypic properties and cold adaptive mechanisms of novel freeze-thaw stress-resistant strain Pseudomonas mandelii from Antarctica</t>
  </si>
  <si>
    <t>Antarctic; Pseudomonas mandelii; Polyextremophilic; Genome; Proteome</t>
  </si>
  <si>
    <t>DNA-DNA HYBRIDIZATION; GENOME SEQUENCE; SP NOV.; PSYCHROTOLERANT BACTERIUM; PSYCHROTROPHIC BACTERIUM; TEMPERATURE; DIVERSITY; PROTEIN</t>
  </si>
  <si>
    <t>Antarctica is a region with harsh conditions which have become a focus of research for identifying novel extreme microorganisms in recent years. Here, we identified and characterized the KGI_MA19 isolate obtained by enriched culture and freeze-thaw stress treatment from the sediment samples of King George Island in Antarctica. Whole-genome sequencing, MLSA, and phylogenetic analyses revealed that this isolate was a novel strain of Pseudomonas mandelii sharing less similarity to the first Pseudomonas mandelii isolate 6A1 from Antarctica. The phenotypic and biochemical characterizations indicate that this psychrotolerant and halotolerant strain can use disaccharides as a carbon source, has denitrification ability, and has multiple antibiotic resistance. Moreover, comparative proteomic analyses showed that P. mandelii KGI_MA19 adapts to the cold environment by changing its membrane composition, excreting EPS, and producing major cold shock proteins, in addition to turning off its other stress response mechanisms.</t>
  </si>
  <si>
    <t>[Mumcu, Hande; Cebeci, Emine Tugce Sarac; Kilic, Meryem Menekse; Cebeci, Anil; Karaguler, Nevin Gul] Istanbul Tech Univ, Fac Sci &amp; Letters, Dept Mol Biol &amp; Genet, Istanbul, Turkiye; [Mumcu, Hande; Cebeci, Emine Tugce Sarac; Kilic, Meryem Menekse; Cebeci, Anil; Karaguler, Nevin Gul] Istanbul Tech Univ, Dr Orhan Ocalgiray Mol Biol Biotechnol &amp; Genet Res, Istanbul, Turkiye; [Gunes, Yagmur; Balci, Nurgul] Istanbul Tech Univ, Dept Geol Engn, Geomicrobiol Biogeochem Lab, Istanbul, Turkiye; [Karacan, Ilker] Istanbul Medeniyet Univ, Sci &amp; Adv Technol Res Ctr BILTAM, Istanbul, Turkiye; [Oztug, Merve] TUBITAK UME, Natl Metrol Inst, Kocaeli, Turkiye</t>
  </si>
  <si>
    <t>Istanbul Technical University; Istanbul Technical University; Istanbul Technical University; Istanbul Medeniyet University; National Metrology Institute of Turkey; Turkiye Bilimsel ve Teknolojik Arastirma Kurumu (TUBITAK)</t>
  </si>
  <si>
    <t>Karaguler, NG (corresponding author), Istanbul Tech Univ, Fac Sci &amp; Letters, Dept Mol Biol &amp; Genet, Istanbul, Turkiye.;Karaguler, NG (corresponding author), Istanbul Tech Univ, Dr Orhan Ocalgiray Mol Biol Biotechnol &amp; Genet Res, Istanbul, Turkiye.</t>
  </si>
  <si>
    <t>karaguler@itu.edu.tr</t>
  </si>
  <si>
    <t>Cebeci, Anıl/A-1139-2009; Menekşe Kılıç, Meryem/IZE-3002-2023; karacan, ilker/AAD-6034-2020; Topaloğlu, Hande Mumcu/ABD-5002-2020; Oztug, Merve/AAH-6132-2021; Saraç Cebeci, Emine Tuğçe/HJZ-3757-2023</t>
  </si>
  <si>
    <t>Topaloğlu, Hande Mumcu/0000-0003-0270-6229; Oztug, Merve/0000-0002-6287-2774; Gunes, Yagmur/0000-0002-4873-9547; SARAC CEBECI, EMINE/0000-0002-7219-8015; CEBECI, ANIL/0000-0001-6493-7714</t>
  </si>
  <si>
    <t>Ministry of Industry and Technology; Istanbul Technical University (ITU) Polar Research Center (PolReC)</t>
  </si>
  <si>
    <t>This study was carried under the auspices of Presidency of The Republic of Turkey, supported by the Ministry of Industry and Technology, and coordinated by Istanbul Technical University (ITU) Polar Research Center (PolReC). This study was in the frame of bilateral agreement with Polish Institute of Biochemistry and Biophysics (IBB) and PolReC. We would like to thank to 42nd expedition crew for their hospitality and help in Henryk Arctowski Polish Antarctic Station.</t>
  </si>
  <si>
    <t>10.1007/s00300-023-03114-y</t>
  </si>
  <si>
    <t>WOS:000931749300001</t>
  </si>
  <si>
    <t>Wang, P; Meng, WY; Zhang, WW; Fu, M; Li, YM; Yang, RQ; Zhang, QH; Jiang, GB</t>
  </si>
  <si>
    <t>Wang, Pu; Meng, Wenying; Zhang, Weiwei; Fu, Min; Li, Yingming; Yang, Ruiqiang; Zhang, Qinghua; Jiang, Guibin</t>
  </si>
  <si>
    <t>Source identification of PCBs in Antarctic air by compound-specific isotope analysis of chlorine (CSIA-Cl) using HRGC/HRMS</t>
  </si>
  <si>
    <t>PCBs; CSIA-Cl; Antarctic air; Urban air; LRAT</t>
  </si>
  <si>
    <t>KING GEORGE ISLAND; ENVIRONMENTAL SOURCES; ORGANIC CONTAMINANTS; STABLE CHLORINE; FRACTIONATION; ATMOSPHERE; BROMINE; PBDES; GAS; POLLUTANTS</t>
  </si>
  <si>
    <t>Occurrence of persistent organic pollutants (POPs) in the Polar Regions has received great concern in the past several decades due to their long-term adverse effect on biological health in such a fragile environment. How-ever, there is still argument over their source and fate in these pristine areas. Here we attempted to use a novel approach (compound-specific isotope analysis of chlorine, CSIA-Cl) to identify the source of POPs in Antarctic air by comparison with the source area. The results showed that the relative isotope-ratio variation of Cl (837Cl ') values showed a large variation from -137 to 9.04 %o in the gas-phase samples, and a significantly negative correlation (p &lt; 0.01) was obtained against the logKoa values of PCBs. There were no significant correlations (p &gt; 0.05) observed between the 837Cl ' values and meteorological parameters except for PCB-28 which showed temperature dependence. By contrast, the 837Cl ' values in the urban (Beijing) air ranged from -12.8 to 2.03 %o. The larger variation of delta 37Cl ' in Antarctic air indicated evidently influence of long-range atmospheric transport (LRAT) on isotopologue fractionation of PCBs. This study may shed light on the application of CSIA-Cl for source identification of chlorinated POPs on a large scale.</t>
  </si>
  <si>
    <t>[Wang, Pu; Zhang, Qinghua] Jianghan Univ, Sch Environm &amp; Hlth, Hubei Key Lab Environm &amp; Hlth Effects Persistent T, Wuhan 430056, Peoples R China; [Meng, Wenying; Zhang, Weiwei; Li, Yingming; Yang, Ruiqiang; Zhang, Qinghua; Jiang, Guibin] Chinese Acad Sci, Res Ctr Ecoenvironm Sci, State Key Lab Environm Chem &amp; Ecotoxicol, Beijing 100085, Peoples R China; [Fu, Min] Natl Marine Environm Forecasting Ctr, Key Lab Res Marine Hazards Forecasting, Beijing 100081, Peoples R China; [Zhang, Qinghua; Jiang, Guibin] Univ Chinese Acad Sci, Beijing 100049, Peoples R China</t>
  </si>
  <si>
    <t>Jianghan University; Chinese Academy of Sciences; Research Center for Eco-Environmental Sciences (RCEES); National Marine Environmental Forecasting Center; Chinese Academy of Sciences; University of Chinese Academy of Sciences, CAS</t>
  </si>
  <si>
    <t>Zhang, QH (corresponding author), Chinese Acad Sci, Res Ctr Ecoenvironm Sci, State Key Lab Environm Chem &amp; Ecotoxicol, Beijing 100085, Peoples R China.</t>
  </si>
  <si>
    <t>qhzhang@rcees.ac.cn</t>
  </si>
  <si>
    <t>Zhang, Qinghua/K-4474-2013; ren, jing/JXN-8411-2024; tian, ye/KGL-6485-2024; Yao, Chen/JVD-6226-2023</t>
  </si>
  <si>
    <t>Zhang, Qinghua/0000-0002-4162-7155;</t>
  </si>
  <si>
    <t>National Natural Science Foundation of China [41977327]; Eco-environmental Excellent Innovation projects of Research Center for Eco-Environmental Sciences [RCEES-EEI-2019-01]</t>
  </si>
  <si>
    <t>National Natural Science Foundation of China(National Natural Science Foundation of China (NSFC)); Eco-environmental Excellent Innovation projects of Research Center for Eco-Environmental Sciences</t>
  </si>
  <si>
    <t>This study was jointly supported by the National Natural Science Foundation of China (41977327) and Eco-environmental Excellent Innovation projects of Research Center for Eco-Environmental Sciences (RCEES-EEI-2019-01) .</t>
  </si>
  <si>
    <t>10.1016/j.jhazmat.2023.130907</t>
  </si>
  <si>
    <t>D1EW2</t>
  </si>
  <si>
    <t>WOS:000966232900001</t>
  </si>
  <si>
    <t>Kundu, A; Harrisson, O; Ghoshal, S</t>
  </si>
  <si>
    <t>Kundu, Anirban; Harrisson, Orfeo; Ghoshal, Subhasis</t>
  </si>
  <si>
    <t>Impacts of Arctic diesel contamination on microbial community composition and degradative gene abundance during hydrocarbon biodegradation with and without nutrients: A case study of seven sub-Arctic soils</t>
  </si>
  <si>
    <t>Biostimulation; Petroleum hydrocarbons; Microbial community; alkB; Soil organic carbon; Sub-Arctic soils</t>
  </si>
  <si>
    <t>REAL-TIME PCR; PETROLEUM-HYDROCARBONS; BACTERIAL COMMUNITIES; OIL BIODEGRADATION; ANTARCTIC SOILS; LOW-TEMPERATURE; ORGANIC-MATTER; BIOREMEDIATION; BIOSTIMULATION; DIVERSITY</t>
  </si>
  <si>
    <t>Although a number of studies have assessed hydrocarbon degradation or microbial responses in petroleum contaminated soils, few have examined both and/or assessed impacts in multiple soils simultaneously. In this study petroleum hydrocarbon biodegradation and microbial activity was monitored in seven sub-Arctic soils at similar levels (-3500-4000 mg/kg) of Arctic diesel (DSL), amended with moisture and nutrients (70 mg-N/kg, 78 mg-P/kg), and incubated at site-representative summer temperatures (-7 degrees C) under water unsaturated conditions. Total petroleum hydrocarbon (TPH) biodegradation extents (42.7-85.4 %) at 50 days were slightly higher in nutrient amended (DSL + N,P) than unamended (DSL) systems in all but one soil. Semi-volatile (C10-C16) hydrocarbons were degraded to a greater extent (40-80 %) than non-volatile (C16-C24) hydrocarbons (20-40 %). However, more significant shifts in microbial diversity and relative abundance of genera belonging to Actinobacteria and Proteobacteria phyla were observed in DSL + N,P than in DSL systems in all soils. Moreover, higher abundance of the alkane degrading gene alkB were observed in DSL + N,P systems than in DSL systems for all soils. The more significant microbial community response in the DSL + N,P systems indicate that addition of nutrients may have influenced the microbial community involved in degradation of carbon sources other than the diesel compounds, such as the soil organic matter or degradation intermediates of diesel compounds. Nocardioides, Arthrobacter, Marmoricola, Pseudomonas, Polaromonas, and Massilia genera were present in high relative abundance in the DSL systems suggesting those genera contained hydrocarbon degraders. Overall, the results suggest that the extents of microbial community shifts or alkB copy number increases may not be closely correlated to the increase in hydrocarbon biodegradation and thus bioremediation performance between various treatments or across different soils.</t>
  </si>
  <si>
    <t>[Kundu, Anirban; Harrisson, Orfeo; Ghoshal, Subhasis] McGill Univ, Dept Civil Engn, Montreal, PQ H3A 0C3, Canada</t>
  </si>
  <si>
    <t>McGill University</t>
  </si>
  <si>
    <t>Ghoshal, S (corresponding author), McGill Univ, Dept Civil Engn, Montreal, PQ H3A 0C3, Canada.</t>
  </si>
  <si>
    <t>subhasis.ghoshal@mcgill.ca</t>
  </si>
  <si>
    <t>Ghoshal, Subhasis/V-2848-2017</t>
  </si>
  <si>
    <t>Ghoshal, Subhasis/0000-0001-9968-6150; Kundu, Anirban/0000-0001-6393-313X; Harrisson, Orfeo/0000-0002-1014-5954</t>
  </si>
  <si>
    <t>Natural Sciences and Engineering Research Council of Canada [CRDPJ 530891 - 18]; Hydro-Quebec; McGill Engineering Doctoral Award</t>
  </si>
  <si>
    <t>Natural Sciences and Engineering Research Council of Canada(Natural Sciences and Engineering Research Council of Canada (NSERC)CGIAR); Hydro-Quebec; McGill Engineering Doctoral Award</t>
  </si>
  <si>
    <t>The authors wish to acknowledge the financial support received from the Natural Sciences and Engineering Research Council of Canada (CRDPJ 530891 - 18) and from Hydro-Quebec. The authors are grateful to Marie-Claude Chapdelaine, Hydro-Quebec, for providing the soil and Arctic diesel samples, and for suggestions on study design and discussion of results. A.K. was supported in part by the McGill Engineering Doctoral Award. The authors of this manuscript declare no confiict of interests.</t>
  </si>
  <si>
    <t>10.1016/j.scitotenv.2023.161777</t>
  </si>
  <si>
    <t>A2JV7</t>
  </si>
  <si>
    <t>WOS:000953455200001</t>
  </si>
  <si>
    <t>Navedo, JG; Piersma, T</t>
  </si>
  <si>
    <t>Navedo, Juan G.; Piersma, Theunis</t>
  </si>
  <si>
    <t>Do 50-year-old Ramsar criteria still do the best possible job? A plea for broadened scientific underpinning of the global protection of wetlands and migratory waterbirds</t>
  </si>
  <si>
    <t>buffering areas; conservation agreements; emergency refuge sites; life cycle; miniaturized technology; oversummering; timing</t>
  </si>
  <si>
    <t>CONSERVATION; SITES</t>
  </si>
  <si>
    <t>With its focus on wetlands, the Ramsar Convention provides the clearest global agreement helping the conservation of migratory waterbirds. Two specific criteria (5 and 6) support the scientific basis for sites to achieve Ramsar recognition based on waterbird counts, while criterion 4, on species and ecological communities, also plays a role. Other international conventions and agreements follow these criteria. We identify several reasons why the listing thus established can only catch  the absolute minimum wetland network for the conservation of migratory waterbirds. We argue that individual tracking and modern observational tools allow to better delineate the areas needed to effectively give migratory waterbird populations full life cycle protection. The sophisticated techniques to measure population characteristics now available should be used to modernize the guidance for the application of Criteria 4 and 6 of the Ramsar Convention for waterbirds, based on (i) time spent in a site throughout migration; (ii) critical ( untouchable ) sites; (iii) robustness of designated site network including buffer areas; (iv) full life cycle information-including early life phases; and (v) refuges used on-and-off during migration in emergency situations. In these enhanced ways, migratory waterbirds can enact their roles as effective sentinels of the ecological state of the world.</t>
  </si>
  <si>
    <t>[Navedo, Juan G.] Millennium Inst Biodivers Antarctic &amp; Subantarct E, Santiago, Chile; [Navedo, Juan G.] Univ Austral Chile, Bird Ecol Lab, Inst Ciencias Marinas &amp; Limnol, Valdivia, Chile; [Navedo, Juan G.] Univ Extremadura, Area Zool, Badajoz, Spain; [Navedo, Juan G.; Piersma, Theunis] Univ Groningen, Ctr Global Ecol Change Fac Sci &amp; Engn &amp; Campus Fry, BirdEyes, Leeuwarden, Netherlands; [Piersma, Theunis] Univ Groningen, Rudi Drent Chair Global Flyway Ecol, Conservat Ecol Grp, Groningen, Netherlands; [Piersma, Theunis] NIOZ Royal Netherlands Inst Sea Res, Dept Coastal Syst, Den Burg, Netherlands; [Piersma, Theunis] Beijing Forestry Univ, Ctr East Asian, Sch Ecol &amp; Nat Conservat, Australasian Flyway Studies, Beijing, Peoples R China; [Navedo, Juan G.] Univ Austral Chile, Fac Ciencias, Inst Ciencias Marinas &amp; Limnol, Campus Isla Teja S-N, Valdivia 5090000, Chile</t>
  </si>
  <si>
    <t>Universidad Austral de Chile; Universidad de Extremadura; University of Groningen; University of Groningen; Utrecht University; Royal Netherlands Institute for Sea Research (NIOZ); Beijing Forestry University; Universidad Austral de Chile</t>
  </si>
  <si>
    <t>Navedo, JG (corresponding author), Univ Austral Chile, Fac Ciencias, Inst Ciencias Marinas &amp; Limnol, Campus Isla Teja S-N, Valdivia 5090000, Chile.</t>
  </si>
  <si>
    <t>Piersma, Theunis/D-1871-2012</t>
  </si>
  <si>
    <t>Piersma, Theunis/0000-0001-9668-466X</t>
  </si>
  <si>
    <t>ANID-Millennium Science Initiative Program [ICN2021_002]</t>
  </si>
  <si>
    <t>ANID-Millennium Science Initiative Program</t>
  </si>
  <si>
    <t>We owe direct inspiration to Nicola Crockford that lead to finish this opinion piece. We also like to acknowledge the influence of 100s of friends and colleagues with which we share our compassion, that is, that powerful combination of curiosity, awe, and concern, for the conservation of migratory waterbirds. We thank three anonymous reviewers whose comments have much improved this perspective. JGN was funded by ANID-Millennium Science Initiative Program-ICN2021_002.</t>
  </si>
  <si>
    <t>10.1111/conl.12941</t>
  </si>
  <si>
    <t>WOS:000930955800001</t>
  </si>
  <si>
    <t>Xuan, M; Lei, W</t>
  </si>
  <si>
    <t>Xuan, Ma; Lei, Wang</t>
  </si>
  <si>
    <t>The Role of Ozone Depletion in the Lack of Cooling in the Antarctic Upper Stratosphere during Austral Winter</t>
  </si>
  <si>
    <t>Antarctic stratosphere; temperature trends; ozone; wave activity</t>
  </si>
  <si>
    <t>CHEMISTRY-CLIMATE MODEL; BREWER-DOBSON CIRCULATION; GENERALIZED ELIASSEN-PALM; PLANETARY WAVE ACTIVITY; TEMPERATURE TRENDS; TECHNICAL NOTE; SIMULATION; RECOVERY; PROPAGATION; TROPOSPHERE</t>
  </si>
  <si>
    <t>Temperature trends in the upper stratosphere are investigated using satellite measurements from Stratospheric Sounding Unit (SSU) outputs and simulations from chemistry-climate models (CCMs) and the Coupled Model Intercomparison Project Phase 6 (CMIP6). Observational evidence shows a lack of cooling in the Antarctic, in contrast to strong cooling at other latitudes, during austral winter over 1979-97. Analysis of CCM simulations for a longer period of 1961-97 also shows a significant contrast in the upper stratospheric temperature trends between the Antarctic and lower latitudes. Results from two sets of model integrations with fixed ozone-depleting substances (ODSs) and fixed greenhouse gases (GHGs) at their 1960 levels suggest that the ODSs have made a major contribution to the lack of cooling in the Antarctic upper stratosphere. Results from CMIP6 simulations with prescribed GHGs and ozone confirm that changes in the dynamical processes associated with observed ozone depletion are largely responsible for the lack of cooling in the Antarctic upper stratosphere. The lack of cooling is found to be dynamically induced through increased upward wave activity into the upper stratosphere, which is attributed mainly to ODSs forcing. Specifically, the radiative cooling caused by the ozone depletion results in a stronger meridional temperature gradient between middle and high latitudes in the upper stratosphere, allowing more planetary waves propagating upward to warm the Antarctic upper stratosphere. These findings improve our understanding of the chemistry-climate coupling in the southern upper stratosphere.</t>
  </si>
  <si>
    <t>[Xuan, Ma; Lei, Wang] Fudan Univ, Inst Atmospher Sci, Dept Atmospher &amp; Ocean Sci, Shanghai 200438, Peoples R China; [Lei, Wang] Shanghai Qi Zhi Inst, Shanghai 200232, Peoples R China; [Lei, Wang] Fudan Univ, Big Data Inst Carbon Emiss &amp; Environm Pollut, Shanghai 200438, Peoples R China; [Lei, Wang] Columbia Univ, Lamont Doherty Earth Observ, Palisades, NY 10964 USA</t>
  </si>
  <si>
    <t>Fudan University; Fudan University; Columbia University</t>
  </si>
  <si>
    <t>Lei, W (corresponding author), Fudan Univ, Inst Atmospher Sci, Dept Atmospher &amp; Ocean Sci, Shanghai 200438, Peoples R China.;Lei, W (corresponding author), Shanghai Qi Zhi Inst, Shanghai 200232, Peoples R China.;Lei, W (corresponding author), Fudan Univ, Big Data Inst Carbon Emiss &amp; Environm Pollut, Shanghai 200438, Peoples R China.;Lei, W (corresponding author), Columbia Univ, Lamont Doherty Earth Observ, Palisades, NY 10964 USA.</t>
  </si>
  <si>
    <t>wanglei_ias@fudan.edu.cn</t>
  </si>
  <si>
    <t>National Natural Science Foundation of China (NSFC) [41875047, 91837206]; Fudan University [JIH2308007]</t>
  </si>
  <si>
    <t>National Natural Science Foundation of China (NSFC)(National Natural Science Foundation of China (NSFC)); Fudan University</t>
  </si>
  <si>
    <t>This project was supported by Grant Nos. 41875047 and 91837206 from the National Natural Science Foundation of China (NSFC) and Grant No. JIH2308007 from Fudan University. We thank NOAA for producing SSU satellite temperature datasets, SWOOSH for the ozone dataset, ECMWF and JMA for meteorological fields from ERA5 and JRA55, the WCRP SPARC Chemistry-Climate Model Validation (CCMVal) Activity, the SPARC/IGAC Chemistry-Climate Model Initiative (CCMI), CMIP6, DAMIP, the participating modelling groups, and the ESGF centres (see details on the CMIP Panel website at http://www.wcrp-climate.org/index.php/wgcm-cmip/about-cmip) for organizing and coordinating the model data analysis activity, as well as the British Atmospheric Data Centre (BADC) for collecting and archiving the model output. We also acknowledge Dr. William RANDEL from NCAR and Dr. Lorenzo POLVANI from Columbia University for providing helpful comments for this study.</t>
  </si>
  <si>
    <t>10.1007/s00376-022-2047-9</t>
  </si>
  <si>
    <t>9J6SD</t>
  </si>
  <si>
    <t>WOS:000929305000005</t>
  </si>
  <si>
    <t>Ksepka, DT; Field, DJ; Heath, TA; Pett, W; Thomas, DB; Giovanardi, S; Tennyson, AJD</t>
  </si>
  <si>
    <t>Ksepka, Daniel T. T.; Field, Daniel J. J.; Heath, Tracy A. A.; Pett, Walker; Thomas, Daniel B. B.; Giovanardi, Simone; Tennyson, Alan J. D.</t>
  </si>
  <si>
    <t>Largest-known fossil penguin provides insight into the early evolution of sphenisciform body size and flipper anatomy</t>
  </si>
  <si>
    <t>JOURNAL OF PALEONTOLOGY</t>
  </si>
  <si>
    <t>NEW-ZEALAND; GIANT PENGUIN; EOCENE; PALEOCENE; ISLAND; AVES; ANTARCTICA; DIVERSITY; MODELS; TIME</t>
  </si>
  <si>
    <t>Recent fossil discoveries from New Zealand have revealed a remarkably diverse assemblage of Paleocene stem group penguins. Here, we add to this growing record by describing nine new penguin specimens from the late Paleocene (upper Teurian local stage; 55.5-59.5 Ma) Moeraki Formation of the South Island, New Zealand. The largest specimen is assigned to a new species, Kumimanu fordycei n. sp., which may have been the largest penguin ever to have lived. Allometric regressions based on humerus length and humerus proximal width of extant penguins yield mean estimates of a live body mass in the range of 148.0 kg (95% CI: 132.5 kg-165.3 kg) and 159.7 kg (95% CI: 142.6 kg-178.8 kg), respectively, for Kumimanu fordycei. A second new species, Petradyptes stonehousei n. gen. n. sp., is represented by five specimens and was slightly larger than the extant emperor penguin Aptenodytes forsteri. Two small humeri represent an additional smaller unnamed penguin species. Parsimony and Bayesian phylogenetic analyses recover Kumimanu and Petradyptes crownward of the early Paleocene mainland NZ taxa Waimanu and Muriwaimanu, but stemward of the Chatham Island taxon Kupoupou. These analyses differ, however, in the placement of these two taxa relative to Sequiwaimanu, Crossvallia, and Kaiika. The massive size and placement of Kumimanu fordycei close to the root of the penguin tree provide additional support for a scenario in which penguins reached the upper limit of sphenisciform body size very early in their evolutionary history, while still retaining numerous plesiomorphic features of the flipper.UUID: https://zoobank.org/15b1d5b2-a5a0-4aa5-ba0a-8ef3b8461730</t>
  </si>
  <si>
    <t>[Ksepka, Daniel T. T.] Bruce Museum, Greenwich, CT 06830 USA; [Field, Daniel J. J.] Univ Cambridge, Dept Earth Sci, Cambridge CB2 3EQ, England; [Field, Daniel J. J.] Univ Cambridge, Museum Zool, Cambridge CB2 3EJ, England; [Heath, Tracy A. A.; Pett, Walker] Iowa State Univ, Dept Ecol Evolut &amp; Organismal Biol, Ames, IA 50011 USA; [Thomas, Daniel B. B.; Giovanardi, Simone] Massey Univ, Sch Nat Sci, Auckland 0632, New Zealand; [Tennyson, Alan J. D.] Museum New Zealand Te Papa Tongarewa, POB 467, Wellington, New Zealand</t>
  </si>
  <si>
    <t>University of Cambridge; University of Cambridge; Iowa State University; Massey University</t>
  </si>
  <si>
    <t>Ksepka, DT (corresponding author), Bruce Museum, Greenwich, CT 06830 USA.</t>
  </si>
  <si>
    <t>dksepka@brucemuseum.org; djf70@cam.ac.uk; phylo@iastate.edu; will.pett@gmail.com; d.b.thomas@massey.ac.nz; giovanerd90@gmail.com; alant@tepapa.govt.nz</t>
  </si>
  <si>
    <t>Field, Daniel/0000-0002-1786-0352; Heath, Tracy/0000-0002-0087-2541</t>
  </si>
  <si>
    <t>National Science Foundation [DEB-1556615]; UKRI Future Leaders Fellowship [MR/S032177/1]; NSF [DBI-1759909]</t>
  </si>
  <si>
    <t>National Science Foundation(National Science Foundation (NSF)); UKRI Future Leaders Fellowship(UK Research &amp; Innovation (UKRI)); NSF(National Science Foundation (NSF))</t>
  </si>
  <si>
    <t>We thank R.E. Fordyce (OU), R.P. Scofield (CM), M. Florence and H. James (USNM), C. Mehling, M. Norell, J. Cracraft, P. Capainolo, B. Smith, and P. Sweet (AMNH), and R. Prum and K. Zyskowski (YPM) for access to specimens; S. Tennyson, A. Mannering, and J. Wold for their help in finding the Hampden Beach fossils described here; and A. Mannering also for his outstanding work preparing the new specimens. We thank P. Jadwiszczak for sharing photos of Antarctic fossil specimens, K. Dzikiewicz for collecting measurements, C. Kammerer for advice on Greek etymology, and J.-C. Stahl for photography of the new Hampden Beach fossils. DTK was supported by National Science Foundation award DEB-1556615. DJF is supported by UKRI Future Leaders Fellowship MR/S032177/1. TAH and WP were supported by NSF DBI-1759909. The Te Papa Collection Development Fund supported fieldwork, fossil preparation, and storage.</t>
  </si>
  <si>
    <t>0022-3360</t>
  </si>
  <si>
    <t>1937-2337</t>
  </si>
  <si>
    <t>J PALEONTOL</t>
  </si>
  <si>
    <t>J. Paleontol.</t>
  </si>
  <si>
    <t>PII S0022336022000889</t>
  </si>
  <si>
    <t>10.1017/jpa.2022.88</t>
  </si>
  <si>
    <t>D3WF8</t>
  </si>
  <si>
    <t>WOS:000929155500001</t>
  </si>
  <si>
    <t>Potapov, AM; Guerra, CA; van den Hoogen, J; Babenko, A; Bellini, BC; Berg, MP; Chown, SL; Deharveng, L; Kovác, L; Kuznetsova, NA; Ponge, JF; Potapov, MB; Russell, DJ; Alexandre, D; Alatalo, JM; Arbea, JI; Bandyopadhyaya, I; Bernava, V; Bokhorst, S; Bolger, T; Castaño-Meneses, G; Chauvat, M; Chen, TW; Chomel, M; Classen, AT; Cortet, J; Cuchta, P; Manuela de la Pedrosa, A; Ferreira, SSD; Fiera, C; Filser, J; Franken, O; Fujii, S; Koudji, EG; Gao, MX; Gendreau-Berthiaume, B; Gomez-Pamies, DF; Greve, M; Tanya Handa, I; Heiniger, C; Holmstrup, M; Homet, P; Ivask, M; Janion-Scheepers, C; Jochum, M; Joimel, S; Jorge, BCS; Jucevica, E; Ferlian, O; de Oliveira, LCI; Klauberg, O; Baretta, D; Krab, EJ; Kuu, A; de Lima, ECA; Lin, DM; Lindo, Z; Liu, A; Lu, JZ; Luciañez, MJ; Marx, MT; McCary, MA; Minor, MA; Nakamori, T; Negri, I; Ochoa-Hueso, R; Palacios-Vargas, JG; Pollierer, MM; Querner, P; Raschmanová, N; Rashid, MI; Raymond-Léonard, LJ; Rousseau, L; Saifutdinov, RA; Salmon, S; Sayer, EJ; Scheunemann, N; Scholz, C; Seeber, J; Shveenkova, YB; Stebaeva, SK; Sterzynska, M; Sun, X; Susanti, WI; Taskaeva, AA; Thakur, MP; Tsiafouli, MA; Turnbull, MS; Twala, MN; Uvarov, AV; Venier, LA; Widenfalk, LA; Winck, BR; Winkler, D; Wu, DH; Xie, ZJ; Yin, R; Zeppelini, D; Crowther, TW; Eisenhauer, N; Scheu, S</t>
  </si>
  <si>
    <t>Potapov, Anton M.; Guerra, Carlos A.; van den Hoogen, Johan; Babenko, Anatoly; Bellini, Bruno C.; Berg, Matty P.; Chown, Steven L.; Deharveng, Louis; Kovac, Lubomir; Kuznetsova, Natalia A.; Ponge, Jean-Francois; Potapov, Mikhail B.; Russell, David J.; Alexandre, Douglas; Alatalo, Juha M.; Arbea, Javier I.; Bandyopadhyaya, Ipsa; Bernava, Veronica; Bokhorst, Stef; Bolger, Thomas; Castano-Meneses, Gabriela; Chauvat, Matthieu; Chen, Ting-Wen; Chomel, Mathilde; Classen, Aimee T.; Cortet, Jerome; Cuchta, Peter; Manuela de la Pedrosa, Ana; Ferreira, Susana S. D.; Fiera, Cristina; Filser, Juliane; Franken, Oscar; Fujii, Saori; Koudji, Essivi Gagnon; Gao, Meixiang; Gendreau-Berthiaume, Benoit; Gomez-Pamies, Diego F.; Greve, Michelle; Tanya Handa, I.; Heiniger, Charlene; Holmstrup, Martin; Homet, Pablo; Ivask, Mari; Janion-Scheepers, Charlene; Jochum, Malte; Joimel, Sophie; Jorge, Bruna Claudia S.; Jucevica, Edite; Ferlian, Olga; Iunes de Oliveira Filho, Luis Carlos; Klauberg-Filho, Osmar; Baretta, Dilmar; Krab, Eveline J.; Kuu, Annely; de Lima, Estevam C. A.; Lin, Dunmei; Lindo, Zoe; Liu, Amy; Lu, Jing-Zhong; Lucianez, Maria Jose; Marx, Michael T.; McCary, Matthew A.; Minor, Maria A.; Nakamori, Taizo; Negri, Ilaria; Ochoa-Hueso, Raul; Palacios-Vargas, Jose G.; Pollierer, Melanie M.; Querner, Pascal; Raschmanova, Natalia; Rashid, Muhammad Imtiaz; Raymond-Leonard, Laura J.; Rousseau, Laurent; Saifutdinov, Ruslan A.; Salmon, Sandrine; Sayer, Emma J.; Scheunemann, Nicole; Scholz, Cornelia; Seeber, Julia; Shveenkova, Yulia B.; Stebaeva, Sophya K.; Sterzynska, Maria; Sun, Xin; Susanti, Winda I.; Taskaeva, Anastasia A.; Thakur, Madhav P.; Tsiafouli, Maria A.; Turnbull, Matthew S.; Twala, Mthokozisi N.; Uvarov, Alexei V.; Venier, Lisa A.; Widenfalk, Lina A.; Winck, Bruna R.; Winkler, Daniel; Wu, Donghui; Xie, Zhijing; Yin, Rui; Zeppelini, Douglas; Crowther, Thomas W.; Eisenhauer, Nico; Scheu, Stefan</t>
  </si>
  <si>
    <t>Globally invariant metabolism but density-diversity mismatch in springtails</t>
  </si>
  <si>
    <t>SOIL BIODIVERSITY; COMMUNITY COMPOSITION; BODY-SIZE; COLLEMBOLA; DECOMPOSITION; CHALLENGES; PATTERNS</t>
  </si>
  <si>
    <t>Soil life supports the functioning and biodiversity of terrestrial ecosystems. Springtails (Collembola) are among the most abundant soil arthropods regulating soil fertility and flow of energy through above- and belowground food webs. However, the global distribution of springtail diversity and density, and how these relate to energy fluxes remains unknown. Here, using a global dataset representing 2470 sites, we estimate the total soil springtail biomass at 27.5 megatons carbon, which is threefold higher than wild terrestrial vertebrates, and record peak densities up to 2 million individuals per square meter in the tundra. Despite a 20-fold biomass difference between the tundra and the tropics, springtail energy use (community metabolism) remains similar across the latitudinal gradient, owing to the changes in temperature with latitude. Neither springtail density nor community metabolism is predicted by local species richness, which is high in the tropics, but comparably high in some temperate forests and even tundra. Changes in springtail activity may emerge from latitudinal gradients in temperature, predation and resource limitation in soil communities. Contrasting relationships of biomass, diversity and activity of springtail communities with temperature suggest that climate warming will alter fundamental soil biodiversity metrics in different directions, potentially restructuring terrestrial food webs and affecting soil functioning.</t>
  </si>
  <si>
    <t>[Potapov, Anton M.; Chen, Ting-Wen; Lu, Jing-Zhong; Pollierer, Melanie M.; Scheunemann, Nicole; Susanti, Winda I.; Scheu, Stefan] Univ Gottingen, Johann Friedrich Blumenbach Inst Zool &amp; Anthropol, Gottingen, Germany; [Potapov, Anton M.; Babenko, Anatoly; Saifutdinov, Ruslan A.; Stebaeva, Sophya K.; Uvarov, Alexei V.] Russian Acad Sci, AN Severtsov Inst Ecol &amp; Evolut, Moscow, Russia; [Potapov, Anton M.; Guerra, Carlos A.; Jochum, Malte; Ferlian, Olga; Eisenhauer, Nico] German Ctr Integrat Biodivers Res iDiv, Leipzig, Germany; [Potapov, Anton M.; Guerra, Carlos A.; Jochum, Malte; Ferlian, Olga; Eisenhauer, Nico] Univ Leipzig, Inst Biol, Leipzig, Germany; [van den Hoogen, Johan; Crowther, Thomas W.] Swiss Fed Inst Technol, Inst Integrat Biol, Dept Environm Syst Sci, Zurich, Switzerland; [Bellini, Bruno C.] Univ Fed Rio Grande do Norte, Dept Bot &amp; Zool, Natal, RN, Brazil; [Berg, Matty P.; Bokhorst, Stef; Ferreira, Susana S. D.; Franken, Oscar] Vrije Univ Amsterdam, Dept Ecol Sci, Amsterdam, Netherlands; [Berg, Matty P.; Franken, Oscar] Univ Groningen, Groningen Inst Evolutionary Life Sci, Community &amp; Conservat Ecol Grp, Amsterdam, Netherlands; [Chown, Steven L.; Liu, Amy] Monash Univ, Sch Biol Sci, Securing Antarct Environm Future, Melbourne, Vic, Australia; [Deharveng, Louis] Museum Natl Hist Nat, ISYEB, Paris, France; [Kovac, Lubomir; Raschmanova, Natalia] Pavol Jozef Safarik Univ Kosice, Fac Sci, Inst Biol &amp; Ecol, Dept Zool, Kosice, Slovakia; [Kuznetsova, Natalia A.; Potapov, Mikhail B.] Moscow Pedag State Univ, Inst Biol &amp; Chem, Moscow, Russia; [Ponge, Jean-Francois] Museum Natl Hist Nat, Dept Adaptat Vivant, Brunoy, France; [Russell, David J.] Senckenberg Soc Nat Res, Dept Soil Zool, Gorlitz, Germany; [Alexandre, Douglas] Santa Catarina State Univ Univ UDUESC Lages, Ctr Agr &amp; Vet Sci, Dept Soil Sci, Lages, SC, Brazil; [Alatalo, Juha M.] Qatar Univ, Environm Sci Ctr, Doha, Qatar; [Arbea, Javier I.] CEPA Camargo, Dept Sci, Astillero, Spain; [Bandyopadhyaya, Ipsa] Visva Bharati Univ, Bengal, India; [Bernava, Veronica] Adm Parques Nacl, San Antonio, Argentina; [Bolger, Thomas] Univ Coll Dublin, Sch Biol &amp; Environm Sci, Dublin, Ireland; [Bolger, Thomas] Univ Coll Dublin, Earth Inst, Dublin, Ireland; [Castano-Meneses, Gabriela] Univ Nacl Autonoma Mexico, Fac Ciencias, Unidad Multidisciplinaria Docencia &amp; Invest, Campus Juriquilla, Queretaro, Mexico; [Chauvat, Matthieu] Normandie Univ UNIROUEN, INRAE, ECODIV, Rouen, France; [Chen, Ting-Wen; Cuchta, Peter] Czech Acad Sci, Inst Soil Biol, Biol Ctr, Ceske Budejovice, Czech Republic; [Chomel, Mathilde] Res Inst Organ Agr, FiBL France, Eurre, France; [Classen, Aimee T.] Univ Michigan, Dept Ecol &amp; Evolutionary Biol, Ann Arbor, MI 48109 USA; [Cortet, Jerome] Univ Paul Valery Montpellier 3, Ctr Ecol Fonct &amp; Evolut, Montpellier 3, France; [Manuela de la Pedrosa, Ana; Lucianez, Maria Jose] Univ Autonoma Madrid, Dept Biol Zool, Madrid, Spain; [Fiera, Cristina] Romanian Acad, Inst Biol Bucharest, Bucharest, Romania; [Filser, Juliane] Univ Bremen, Gen &amp; Theoret Ecol, UFT, FB 02, Bremen, Germany; [Franken, Oscar] Royal Netherlands Inst Sea Res, Dept Coastal Syst, Thorntje, Netherlands; [Fujii, Saori] Forestry &amp; Forest Prod Res Inst, Dept Forest Entomol, Tsukuba, Ibaraki, Japan; [Koudji, Essivi Gagnon; Tanya Handa, I.; Raymond-Leonard, Laura J.; Rousseau, Laurent] Univ Quebec Montreal, Dept Sci Biol, Quebec City, PQ, Canada; [Gao, Meixiang] Ningbo Univ, Dept Geog &amp; Spatial Informat Tech, Ningbo, Peoples R China; [Gendreau-Berthiaume, Benoit] Univ Quebec Outaouais, Dept Sci Nat, Quebec City, PQ, Canada; [Gomez-Pamies, Diego F.] Univ Nacl Misiones, Consejo Nacl Invest Cient &amp; Tecn, Inst Biol Subtrop, Puerto Iguazu, Argentina; [Greve, Michelle; Twala, Mthokozisi N.] Univ Pretoria, Dept Plant &amp; Soil Sci, Pretoria, South Africa; [Heiniger, Charlene] HES SO Univ Appl Sci &amp; Arts Western Switzerland, Geneva, Switzerland; [Holmstrup, Martin] Aarhus Univ, Dept Ecosci, Sect Terr Ecol, Aarhus, Denmark; [Homet, Pablo] CSIC, Inst Recursos Nat &amp; Agrobiol Sevilla IRNAS, Seville, Spain; [Ivask, Mari] Tallinn Univ Technol, Tartu Coll, Tartu, Estonia; [Janion-Scheepers, Charlene] Univ Cape Town, Dept Biol Sci, Rondebosch, South Africa; [Janion-Scheepers, Charlene] Iziko Museums South Africa, Dept Entomol, Cape Town, South Africa; [Joimel, Sophie] Univ Paris Saclay, AgroParisTech, INRAE, UMR EcoSys, Thiverval Grignon, France; [Jorge, Bruna Claudia S.; Winck, Bruna R.] Univ Fed Rio Grande do Sul, Dept Ecol, Quantitat Ecol Lab, Porto Alegre, RS, Brazil; [Jucevica, Edite] Univ Latvia, Inst Biol, Riga, Latvia; [Iunes de Oliveira Filho, Luis Carlos; Klauberg-Filho, Osmar] Santa Catarina State Univ UDESC Lages, Ctr Agr &amp; Vet Sci, Dept Soil Sci, Lages, SC, Brazil; [Baretta, Dilmar] Santa Catarina State Univ UDESC Oeste, Dept Anim Sci, Chapeco, SC, Brazil; [Krab, Eveline J.] Swedish Univ Agr Sci, Dept Soil &amp; Environm, Uppsala, Sweden; [Krab, Eveline J.] Umea Univ, Dept Ecol &amp; Environm Sci, Climate Impacts Res Ctr, Abisko, Sweden; [Kuu, Annely] Estonian Univ Life Sci, Inst Agr &amp; Environm Sci, Soil Sci, Tartu, Estonia; [de Lima, Estevam C. A.] Univ Fed Rio de Janeiro, Museu Nacl, Dept Entomol, Rio De Janeiro, Brazil; [Lin, Dunmei] Chongqing Univ, Minist Educ, Key Lab Three Gorges Reservoir Reg Ecoenvironm, Chongqing, Peoples R China; [Lindo, Zoe] Univ Western Ontario, Dept Biol, London, ON N6A 5B7, Canada; [Marx, Michael T.] Johannes Gutenberg Univ Mainz, Inst Zool, Mainz, Germany; [McCary, Matthew A.] Rice Univ, Dept BioSci, Houston, TX USA; [Minor, Maria A.] Massey Univ, Sch Agr &amp; Environm, Wildlife &amp; Ecol Grp, Palmerston North, New Zealand; [Nakamori, Taizo] Yokohama Natl Univ, Grad Sch Environm &amp; Informat Sci, Yokohama, Kanagawa, Japan; [Negri, Ilaria] Univ Cattolica Sacro Cuore, Dept Sustainable Crop Prod DI PRO VES, Piacenza, Italy; [Ochoa-Hueso, Raul] Univ Cadiz, IVAGRO, Dept Biol, Puerto Real, Spain; [Ochoa-Hueso, Raul] Netherlands Inst Ecol NIOO KNAW, Dept Terr Ecol, NL-6700 AB Wageningen, Netherlands; [Palacios-Vargas, Jose G.] Univ Nacl Autonoma Mexico, Fac Ciencias, Dept Ecol &amp; Recursos Nat, Lab Ecol &amp; Sistemat Microartropodos, Mexico City, DF, Mexico; [Querner, Pascal] Nat Hist Museum Vienna, Zool 1, Vienna, Austria; [Querner, Pascal; Scholz, Cornelia] Univ Nat Resources &amp; Life Sci, Dept Integrated Biol &amp; Biodivers Res, Vienna, Austria; [Rashid, Muhammad Imtiaz] King Abdulaziz Univ, Ctr Excellence Environm Studies, Jeddah, Saudi Arabia; [Salmon, Sandrine] Museum Natl Hist Nat, MECADEV AVIV Dept, UMR 7179, Brunoy, France; [Sayer, Emma J.] Univ Lancaster, Lancaster Environm Ctr, Lancaster, England; [Sayer, Emma J.] Smithsonian Trop Res Inst, Ancon, Panama, Panama; [Scheunemann, Nicole] Senckenberg Museum Nat Hist Gorlitz, Dept Soil Zool, Gorlitz, Germany; [Seeber, Julia] Eurac Res, Inst Alpine Environm, Bolzano, Italy; [Seeber, Julia] Univ Innsbruck, Dept Ecol, Innsbruck, Austria; [Shveenkova, Yulia B.] State Nat Reserve Privolzhskaya Lesostep, Penza, Russia; [Sterzynska, Maria] Polish Acad Sci, Museum &amp; Inst Zool, Dept Systemat Zoogeog &amp; Ecol Invertebrate, Warsaw, Poland; [Sun, Xin] Chinese Acad Sci, Inst Urban Environm, Key Lab Urban Environm &amp; Hlth, Xiamen, Peoples R China; [Taskaeva, Anastasia A.] Russian Acad Sci, Ural Branch, Komi Sci Ctr, Inst Biol, Syktyvkar, Russia; [Thakur, Madhav P.] Univ Bern, Inst Ecol &amp; Evolut, Bern, Switzerland; [Tsiafouli, Maria A.] Aristotle Univ Thessaloniki, Sch Biol, Dept Ecol, Thessaloniki, Greece; [Venier, Lisa A.] Nat Resources Canada, Canadian Forest Serv, Sault Ste Marie, ON, Canada; [Widenfalk, Lina A.] Swedish Univ Agr Sci, Dept Ecol, Uppsala, Sweden; [Widenfalk, Lina A.] Greensway AB, Uppsala, Sweden; [Winkler, Daniel] Univ Sopron, Inst Wildlife Management &amp; Wildlife Biol, Sopron, Hungary; [Wu, Donghui; Xie, Zhijing] Chinese Acad Sci, Northeast Inst Geog &amp; Agroecol, Key Lab Wetland Ecol &amp; Environm, Changchun 130102, Peoples R China; [Wu, Donghui] Northeast Normal Univ, Minist Educ, Key Lab Vegetat Ecol, Changchun 130024, Peoples R China; [Wu, Donghui] Northeast Normal Univ, Jilin Prov Key Lab Anim Resource Conservat &amp; Util, Changchun 130117, Peoples R China; [Yin, Rui] Helmholtz Ctr Environm Res, Community Dept, Halle, Germany; [Zeppelini, Douglas] Paraiba State Univ, Dept Biol, Campina Grande, Paraiba, Brazil; [Scheu, Stefan] Univ Gottingen, Ctr Biodivers &amp; Sustainable Land Use, Gottingen, Germany</t>
  </si>
  <si>
    <t>University of Gottingen; Russian Academy of Sciences; Saratov Scientific Center of the Russian Academy of Sciences; Severtsov Institute of Ecology &amp; Evolution; Leipzig University; Swiss Federal Institutes of Technology Domain; ETH Zurich; Universidade Federal do Rio Grande do Norte; Vrije Universiteit Amsterdam; University of Groningen; Melbourne Genomics Health Alliance; Monash University; Sorbonne Universite; Museum National d'Histoire Naturelle (MNHN); University of Pavol Jozef Safarik Kosice; Museum National d'Histoire Naturelle (MNHN); Qatar University; Visva Bharati University; University College Dublin; University College Dublin; Universidad Nacional Autonoma de Mexico; INRAE; Universite de Rouen Normandie; Czech Academy of Sciences; Biology Centre of the Czech Academy of Sciences; University of Michigan System; University of Michigan; Universite PSL; Ecole Pratique des Hautes Etudes (EPHE); Institut Agro; Montpellier SupAgro; CIRAD; Centre National de la Recherche Scientifique (CNRS); Institut de Recherche pour le Developpement (IRD); Universite Paul-Valery; Universite de Montpellier; Autonomous University of Madrid; Romanian Academy of Sciences; Institute of Biology Bucharest; University of Bremen; Utrecht University; Royal Netherlands Institute for Sea Research (NIOZ); Forestry &amp; Forest Products Research Institute - Japan; University of Quebec; Ningbo University; University of Quebec; University Quebec Outaouais; Consejo Nacional de Investigaciones Cientificas y Tecnicas (CONICET); University of Pretoria; University of Applied Sciences &amp; Arts Western Switzerland; Aarhus University; Consejo Superior de Investigaciones Cientificas (CSIC); CSIC - Instituto de Recursos Naturales y Agrobiologia de Sevilla (IRNAS); Tallinn University of Technology; University of Cape Town; AgroParisTech; Universite Paris Cite; INRAE; Universite Paris Saclay; Universidade Federal do Rio Grande do Sul; University of Latvia; Swedish University of Agricultural Sciences; Umea University; Estonian University of Life Sciences; Universidade Federal do Rio de Janeiro; Chongqing University; Western University (University of Western Ontario); Johannes Gutenberg University of Mainz; Rice University; Massey University; Yokohama National University; Catholic University of the Sacred Heart; Universidad de Cadiz; Royal Netherlands Academy of Arts &amp; Sciences; Netherlands Institute of Ecology (NIOO-KNAW); Universidad Nacional Autonoma de Mexico; BOKU University; King Abdulaziz University; Museum National d'Histoire Naturelle (MNHN); Centre National de la Recherche Scientifique (CNRS); CNRS - Institute of Ecology &amp; Environment (INEE); Lancaster University; Smithsonian Institution; Smithsonian Tropical Research Institute; Senckenberg Gesellschaft fur Naturforschung (SGN); European Academy of Bozen-Bolzano; University of Innsbruck; Polish Academy of Sciences; Museum &amp; Institute of Zoology of the Polish Academy of Sciences; Chinese Academy of Sciences; Institute of Urban Environment, CAS; Russian Academy of Sciences; Institute of Biology, Komi Scientific Centre, Ural Branch RAS; Komi Science Centre of the Ural Branch of the Russian Academy of Sciences; University of Bern; Aristotle University of Thessaloniki; Natural Resources Canada; Canadian Forest Service; Swedish University of Agricultural Sciences; University of West Hungary; Chinese Academy of Sciences; Northeast Institute of Geography &amp; Agroecology, CAS; Northeast Normal University - China; Northeast Normal University - China; Helmholtz Association; Helmholtz Center for Environmental Research (UFZ); Universidade Estadual da Paraiba; University of Gottingen</t>
  </si>
  <si>
    <t>Potapov, AM (corresponding author), Univ Gottingen, Johann Friedrich Blumenbach Inst Zool &amp; Anthropol, Gottingen, Germany.;Potapov, AM (corresponding author), Russian Acad Sci, AN Severtsov Inst Ecol &amp; Evolut, Moscow, Russia.;Potapov, AM (corresponding author), German Ctr Integrat Biodivers Res iDiv, Leipzig, Germany.;Potapov, AM (corresponding author), Univ Leipzig, Inst Biol, Leipzig, Germany.</t>
  </si>
  <si>
    <t>anton.potapov@biologie.uni-goettingen.de</t>
  </si>
  <si>
    <t>Homet, Pablo/IWU-6838-2023; Raschmanová, Natália/S-3217-2016; Bokhorst, Stef/D-1858-2009; Ponge, Jean-François/D-5089-2009; Nakamori, Taizo/D-1504-2010; Rashid, Muhammad Imtiaz/J-2745-2015; Čuchta, Peter/G-1547-2014; Seeber, Julia/R-3422-2017; yin, rui/JOJ-5633-2023; Potapov, Anton/M-2370-2016; Bellini, Bruno/N-5093-2016; Chauvat, Matthieu/J-6113-2019; Rashid, Muhammad/JHS-8861-2023; Saifutdinov, Ruslan/M-6743-2017; Sayer, Emma/B-2514-2010; Lu, Jing-Zhong/ABB-6437-2021; Gomez Pamies, Diego Fernando/JEZ-4861-2023; Chen, Ting-Wen/U-9425-2019; Saifutdinov, Ruslan/IVV-0546-2023; Eisenhauer, Nico/I-5932-2012; Kováč, Ľubomír/J-5954-2015; Oliveira Filho, Luis Carlos Iuñes/AAG-9552-2019; Classen, Aimee/C-4035-2008; WINCK, BRUNA/U-7023-2017; Holmstrup, Martin/I-7463-2013; Alatalo, Juha/C-1269-2018; Chown, Steven/H-3347-2011</t>
  </si>
  <si>
    <t>Homet, Pablo/0000-0002-4285-6953; Raschmanová, Natália/0000-0002-9476-1753; Ponge, Jean-François/0000-0001-6504-5267; Rashid, Muhammad Imtiaz/0000-0002-5178-4445; Seeber, Julia/0000-0003-0189-7377; Potapov, Anton/0000-0002-4456-1710; Chauvat, Matthieu/0000-0002-4831-5904; Rashid, Muhammad/0009-0005-9454-3819; Saifutdinov, Ruslan/0000-0002-8878-3630; Sayer, Emma/0000-0002-3322-4487; Lu, Jing-Zhong/0000-0002-4051-8993; Chen, Ting-Wen/0000-0001-9449-3034; Saifutdinov, Ruslan/0000-0002-8878-3630; Eisenhauer, Nico/0000-0002-0371-6720; Kováč, Ľubomír/0000-0001-8194-2128; Oliveira Filho, Luis Carlos Iuñes/0000-0002-9010-481X; Marx, Michael Thomas/0009-0007-3535-3251; Franken, Oscar/0000-0001-8361-3117; Lucianez Sanchez, Maria Jose/0000-0001-5679-0951; McCary, Matthew/0000-0002-7846-7159; Bokhorst, Stef/0000-0003-0184-1162; Jochum, Malte/0000-0002-8728-1145; Classen, Aimee/0000-0002-6741-3470; WINCK, BRUNA/0000-0002-7996-9855; da Silva Jorge, Bruna Claudia/0000-0002-0662-9171; Berg, Matty P./0000-0001-8442-8503; Kuu, Annely/0000-0002-0335-6243; Cortet, Jerome/0000-0002-7410-8626; Alexandre, Douglas/0000-0001-6093-9990; Bellini, Bruno/0000-0001-7881-9436; Holmstrup, Martin/0000-0001-8395-6582; Bolger, THomas/0000-0001-8437-0735; Janion-Scheepers, Charlene/0000-0001-5942-7912; Thakur, Madhav/0000-0001-9426-1313; Alatalo, Juha/0000-0001-5084-850X; Chown, Steven/0000-0001-6069-5105; LIU, WING PUI AMY/0000-0002-8787-4960</t>
  </si>
  <si>
    <t>Russian Science Foundation [19-74-00154]; Deutsche Forschungsgemeinschaft [493345801, 192626868-SFB 990]; Gottingen University; ARC SRIEAS Grant [SR200100005]; Slovak Scientific Grant Agency [VEGA 1/0438/22, RFBR 19-516-60002]; Carl Tryggers Stiftelse for Vetenskaplig Forskning and Qatar Petroleum [BIO 27, PICTO 2084 (2012)-ANPCyT, DAAD-19-10, MSM200962001, PN-III-P1-1.1-TE-2019-0358]; NWO [821.01.015]; National Natural Sciences Foundation of China [BIO 27, 41471037, 41871042]; MAGyP; FONCyT [PICT 2084]; NRF South African National Antarctic Programme [110734]; Natural Resources Canada (NRCan), EcoEnergy Innovation Initiative under the Office of Energy Research and Development; Natural Sciences and Engineering Research Council of Canada (NSERC); Independent Research Fund Denmark grant [DFF-4002-00384]; Estonian Science Foundation [G9145]; SA-France; SA (NRF)/Russia (RFBR) Joint Science and Technology Research Collaboration project [19-516-60002, 118904]; C.J., European Research Council (ERC); European Union [677232, AAAA-A17-122040600025-2]; iDiv, German Research Foundation [DFG-FZT 118, 202548816]; French National Agency of Research (ANR) (JASSUR research project) [ANR-12-VBDU-0011]; Ministere de l'Agriculture et de la Peche; Ministere de l'Education Nationale de la Recherche et de la Technologie (ACTA programme); Ministere de l'Amenagement du Territoire et de l'Environnement (Pnetox programme); EU [ECOGEN QLK5-CT-2002-01666]; Agence de l'Environnement et de la Maitrise de l'Energie; ANDRA; GISFI; GRR SERBIODIV (Region Normandie, France) [ESF9258]; Fundamental Research Funds for the Central Universities [2018CDXYCH0014]; DFG [316045089]; Massey University; DFG SCHE [376/38-2]; Austria Academy of Science [Heritage_2020-043]; Slovak Scientific Grant Agency: VEGA [1/0441/03, 1/3267/06]; Higher Education Commission of Pakistan; RSF [21-74-00126]; Austrian Federal Government; Brazilian Council for Scientific and Technological Development-CNPq [152717/2016-1, 309030/2018-8, 305426/2018-4]; National Natural Science Foundation of China [31970434, 31772491]; Research and Innovation Support Foundation of Santa Catarina (FAPESC) [6.309/2011-6/FAPESC]; CNPq [563251/2010-7/CNPq, 305939/2018-1]; Latvian Council of Science [90.108, 93.140, 96.0110, 01.0344]; FPI-MICINN grant in the project INTERCAPA [CGL2014-56739-R]; Ministry of Innovation and Technology of Hungary [TKP2021-NKTA-43]</t>
  </si>
  <si>
    <t>Russian Science Foundation(Russian Science Foundation (RSF)); Deutsche Forschungsgemeinschaft(German Research Foundation (DFG)); Gottingen University; ARC SRIEAS Grant(Australian Research Council); Slovak Scientific Grant Agency(Vedecka grantova agentura MSVVaS SR a SAV (VEGA)); Carl Tryggers Stiftelse for Vetenskaplig Forskning and Qatar Petroleum; NWO(Netherlands Organization for Scientific Research (NWO)); National Natural Sciences Foundation of China(National Natural Science Foundation of China (NSFC)); MAGyP; FONCyT(FONCyT); NRF South African National Antarctic Programme; Natural Resources Canada (NRCan), EcoEnergy Innovation Initiative under the Office of Energy Research and Development(Natural Resources Canada); Natural Sciences and Engineering Research Council of Canada (NSERC)(Natural Sciences and Engineering Research Council of Canada (NSERC)); Independent Research Fund Denmark grant(Det Frie Forskningsrad (DFF)); Estonian Science Foundation; SA-France; SA (NRF)/Russia (RFBR) Joint Science and Technology Research Collaboration project; C.J., European Research Council (ERC)(European Research Council (ERC)); European Union(European Union (EU)); iDiv, German Research Foundation; French National Agency of Research (ANR) (JASSUR research project)(Agence Nationale de la Recherche (ANR)); Ministere de l'Agriculture et de la Peche; Ministere de l'Education Nationale de la Recherche et de la Technologie (ACTA programme); Ministere de l'Amenagement du Territoire et de l'Environnement (Pnetox programme); EU(European Union (EU)); Agence de l'Environnement et de la Maitrise de l'Energie; ANDRA; GISFI; GRR SERBIODIV (Region Normandie, France); Fundamental Research Funds for the Central Universities(Fundamental Research Funds for the Central Universities); DFG(German Research Foundation (DFG)); Massey University; DFG SCHE(German Research Foundation (DFG)); Austria Academy of Science; Slovak Scientific Grant Agency: VEGA(Vedecka grantova agentura MSVVaS SR a SAV (VEGA)); Higher Education Commission of Pakistan(Higher Education Commission of Pakistan); RSF(Russian Science Foundation (RSF)); Austrian Federal Government; Brazilian Council for Scientific and Technological Development-CNPq(Conselho Nacional de Desenvolvimento Cientifico e Tecnologico (CNPQ)); National Natural Science Foundation of China(National Natural Science Foundation of China (NSFC)); Research and Innovation Support Foundation of Santa Catarina (FAPESC)(Fundacao de Amparo a Pesquisa e Inovacao do Estado de Santa Catarina (FAPESC)); CNPq(Conselho Nacional de Desenvolvimento Cientifico e Tecnologico (CNPQ)); Latvian Council of Science(Latvian Ministry of Education and Science); FPI-MICINN grant in the project INTERCAPA; Ministry of Innovation and Technology of Hungary</t>
  </si>
  <si>
    <t>The article is an outcome of the #GlobalCollembola community initiative that is voluntarily supported by researchers around the world. Data collection and analysis was supported by the Russian Science Foundation (19-74-00154 to A.P.) and by Deutsche Forschungsgemeinschaft (493345801 to A.P. and 192626868-SFB 990 to S.S.). We acknowledge support by the Open Access Publication Funds of the Gottingen University. The following funding bodies provided support for individual contributors: ARC SRIEAS Grant SR200100005 Securing Antarctica's Environmental Future to S.L.C., Slovak Scientific Grant Agency VEGA 1/0438/22 to L.K., RFBR 19-516-60002 to N.A.K., Carl Tryggers Stiftelse for Vetenskaplig Forskning and Qatar Petroleum to J.M.A., BIO 27 (2013-2014)-MAGyP and PICTO 2084 (2012)-ANPCyT to V.B., DAAD-19-10 and MSM200962001 to T.C., grant TE, PN-III-P1-1.1-TE-2019-0358 to C.F., NWO grant 821.01.015 to O.F., National Natural Sciences Foundation of China No 41471037 and 41871042 to M.G., BIO 27 (2013-2014), MAGyP; PICT 2084 (2012), FONCyT to D.F.G., NRF South African National Antarctic Programme grant 110734 to M.G., Natural Resources Canada (NRCan), EcoEnergy Innovation Initiative under the Office of Energy Research and Development, and the Natural Sciences and Engineering Research Council of Canada (NSERC) to I.T.H., L.A.V. and L.R., Independent Research Fund Denmark grant no. DFF-4002-00384 to M.H., Estonian Science Foundation G9145 to M.I., SA-France bilateral grant to C.J., SA (NRF)/Russia (RFBR) Joint Science and Technology Research Collaboration project no. 19-516-60002 (FRBR) and no. 118904 (NRF) to M.P. and C.J., European Research Council (ERC), European Union's Horizon 2020 research and innovation programme (grant agreement no. 677232; to N.E.); iDiv, German Research Foundation (DFG-FZT 118, 202548816) to M.J. and N.E., French National Agency of Research (ANR) (JASSUR research project; ANR-12-VBDU-0011), Ministere de l'Agriculture et de la Peche and Ministere de l'Education Nationale de la Recherche et de la Technologie (ACTA programme), Ministere de l'Amenagement du Territoire et de l'Environnement (Pnetox programme), EU-funded project, ECOGEN QLK5-CT-2002-01666 (www.ecogen.dk), Agence de l'Environnement et de la Maitrise de l'Energie (BIOINDICATEUR 2, BIOTECHNOSOL), ANDRA and GISFI (www.gisfi.fr) to S.J., GRR SERBIODIV (Region Normandie, France) to MCha, ESF9258, B02 to A.K., Fundamental Research Funds for the Central Universities (grant no. 2018CDXYCH0014) to D.L., DFG 316045089 to J.L., Massey University Research Fund grant to M.A.M., DFG SCHE 376/38-2 to M.M.P., grant from the Austria Academy of Science: Heritage_2020-043_Modeling-Museum to P. Q., Slovak Scientific Grant Agency: VEGA Nos. 0441/03 and 1/3267/06 to N.R., Higher Education Commission of Pakistan to M.I.R., RSF 21-74-00126 to R.A.S., Austrian Federal Government and European Union (Rural Development 2014-2020) to J.S., AAAA-A17-122040600025-2 to A.A.T., Brazilian Council for Scientific and Technological Development-CNPq (grant no. 152717/2016-1) to B.R.W., 309030/2018-8 to D.Z. and 305426/2018-4 to B.C.B., National Natural Science Foundation of China (31970434, 31772491) to N.N.G., Research and Innovation Support Foundation of Santa Catarina (FAPESC) (6.309/2011-6/FAPESC) and the CNPq (563251/2010-7/CNPq) to L.C.I.O.F., O.K.-F., the Latvian Council of Science Grants no. 90.108, 93.140, 96.0110, 01.0344 to E.J., CNPq for the Research Productivity Grant (305939/2018-1) to D.B., FPI-MICINN grant in the project INTERCAPA (CGL2014-56739-R) to P.; H, the Natural Sciences and Engineering Research Council of Canada (NSERC) to Z.L., Ministry of Innovation and Technology of Hungary TKP2021-NKTA-43 to D.W. Authors are grateful to Penelope Greenslade for providing the literature on Australian Collembola communities. Authors are grateful to Frans Janssens for providing the global checklist of Collembola.</t>
  </si>
  <si>
    <t>FEB 7</t>
  </si>
  <si>
    <t>10.1038/s41467-023-36216-6</t>
  </si>
  <si>
    <t>N3DM2</t>
  </si>
  <si>
    <t>Green Accepted, Green Published, Green Submitted, gold</t>
  </si>
  <si>
    <t>WOS:001035860000001</t>
  </si>
  <si>
    <t>Grüss, A; Moore, BR; Pinkerton, MH; Devine, JA</t>
  </si>
  <si>
    <t>Gruss, Arnaud; Moore, Bradley R.; Pinkerton, Matthew H.; Devine, Jennifer A.</t>
  </si>
  <si>
    <t>Microstructure and high-temperature mechanical properties of Inconel 718 superalloy weldment affected by fast-frequency pulsed TIG welding</t>
  </si>
  <si>
    <t>FISHERIES RESEARCH</t>
  </si>
  <si>
    <t>Bycatch species groups; Antarctic toothfish fishery; Ross Sea region; Spatio-temporal models; VAST modelling platform</t>
  </si>
  <si>
    <t>TOOTHFISH DISSOSTICHUS-MAWSONI; SPECIES DISTRIBUTION MODELS; MARINE PROTECTED AREAS; ROSS SEA; SPATIAL OVERLAP; ECOSYSTEM; FISHERIES; ABUNDANCE; CATCH; FISH</t>
  </si>
  <si>
    <t>An economically-important Antarctic toothfish (Dissostichus mawsoni) longline fishery operates in the Ross Sea region (RSR), in the Southern Ocean. Management of this fishery according to Article II of the Convention on the Conservation of Antarctic Marine Living Resources aims to minimise the risk of depletion of the species that are caught as bycatch. We employed spatio-temporal models fitted to catch rate data reported by fishing vessels between 2003 and 2020 to understand the spatio-temporal abundance patterns of the major species groups caught as bycatch in the RSR Antarctic toothfish fishery. The study region consisted of the areas of the RSR where fishing has occurred since the inception of the longline fishery. The study species groups included macrourids (Macrouridae), skates (Rajiformes), icefish (Channichthyidae), eel cods (Muraenolepididae) and morid cods (Moridae). The Akaike information criterion-selected models included the effect of bottom depth and, often, also the effect of surface chlorophyll-a concentration. We found that bottom depth explained only a very small proportion of the variance in the data, while surface chlorophyll-a concentration explained very little of the variance. The predicted long-term trends of three species groups were clear: the relative abundance of macrourids has decreased, while those of skates and icefish have increased. We resampled from the predictive distributions to identify the abundance hotspots of each of the species groups, defined as the areas where long-term log-relative abundance (i.e., mean log-relative abundance over the study period) was at or greater than the average long-term log-relative abundance over the entire study region. From these abundance hotspots for the individual species groups, we developed two alternative composite hotspot indices. Both composite hotspot indices were highest on the Ross Sea continental shelf slope, between 160 degrees E and 175 degrees W. Our results can be used to guide the setting of bycatch limits and inform fishing vessels about bycatch species abundance hotspots in the RSR. We also recommend that future modelling studies seek to disentangle the direct and indirect impacts of the RSR Antarctic toothfish fishery on the bycatch species which are also prey of Antarctic toothfish.</t>
  </si>
  <si>
    <t>[Gruss, Arnaud; Pinkerton, Matthew H.] NIWA Natl Inst Water &amp; Atmospher Res Ltd, 301 Evans Bay Parade, Wellington 6021, New Zealand; [Moore, Bradley R.; Devine, Jennifer A.] NIWA Natl Inst Water &amp; Atmospher Res Ltd, 217 Akersten St, Nelson 7010, New Zealand</t>
  </si>
  <si>
    <t>Grüss, A (corresponding author), NIWA Natl Inst Water &amp; Atmospher Res Ltd, 301 Evans Bay Parade, Wellington 6021, New Zealand.</t>
  </si>
  <si>
    <t>Arnaud.Gruss@niwa.co.nz; Bradley.Moore@niwa.co.nz; Matt.Pinkerton@niwa.co.nz; jennifer.devine@niwa.co.nz</t>
  </si>
  <si>
    <t>New Zealand Ministry of Business, Innovation and Employment through the Endeavour Fund Ross Sea Research and Monitoring Programme (Ross-RAMP) [C01x1710]; New Zealand Ministry for Primary Industries [ANT2019/01]</t>
  </si>
  <si>
    <t>New Zealand Ministry of Business, Innovation and Employment through the Endeavour Fund Ross Sea Research and Monitoring Programme (Ross-RAMP); New Zealand Ministry for Primary Industries</t>
  </si>
  <si>
    <t>This work was supported in part by the New Zealand Ministry of Business, Innovation and Employment through the Endeavour Fund Ross Sea Research and Monitoring Programme (Ross-RAMP; MBIE contract C01x1710) and the New Zealand Ministry for Primary Industries under project ANT2019/01. The funders had no role in study design, data collection and analysis, decision to publish, or preparation of the manuscript.</t>
  </si>
  <si>
    <t>0165-7836</t>
  </si>
  <si>
    <t>1872-6763</t>
  </si>
  <si>
    <t>FISH RES</t>
  </si>
  <si>
    <t>Fish Res.</t>
  </si>
  <si>
    <t>10.1016/j.fishres.2023.106647</t>
  </si>
  <si>
    <t>C7VU3</t>
  </si>
  <si>
    <t>WOS:000963958800001</t>
  </si>
  <si>
    <t>Kaur, K; Krogdahl, A; Kortner, TM</t>
  </si>
  <si>
    <t>Kaur, Kiranpreet; Krogdahl, Ashild; Kortner, Trond M.</t>
  </si>
  <si>
    <t>Phosphatidylcholine in Krill Meal and Krill Oil as a Source of Choline for Prevention of Intestinal Steatosis in Atlantic Salmon</t>
  </si>
  <si>
    <t>AQUACULTURE RESEARCH</t>
  </si>
  <si>
    <t>RAINBOW-TROUT; SUPPLEMENTATION; PHOSPHOLIPIDS; PERFORMANCE; DIETS; SALAR</t>
  </si>
  <si>
    <t>Intestinal steatosis, called lipid malabsorption syndrome (LMS) in severe cases, is a common condition in farmed Atlantic salmon, associated with choline deficiency causing low lipid transport in enterocytes, excessive lipid accumulation, and increased mucosal weight. A previous dose-response study supplying a plant-based diet with choline chloride indicated that 3.4 g/kg choline prevents LMS in Atlantic salmon. However, no similar documentation exists using phosphatidylcholine (PC) as a choline source. The present study therefore aimed to determine the ability of PC from krill meal (KM) and krill oil (KO) towards reducing steatosis in Atlantic salmon. Two diets with suboptimal PC levels (1.5 and 2.6 g/kg) were tested against two control diets, a choline-deficient diet with no supplementation (0.6 g/kg), and a high choline (4.0 g/kg choline chloride) diet. After 8 weeks of freshwater feeding, growth was significantly higher in KM and KO groups, at both PC levels, in comparison to the choline-deficient group. However, growth was significantly higher only in the KM and KO diets with 2.6 g/kg of PC when compared to the positive control. This indicated that suboptimal levels of PC from KM and KO satisfied choline needs for growth. A clear dose-dependent effect on the decreasing pyloric intestine (PI) somatic index was observed for KM and KO diets, with no significant difference between KM and KO diets (2.6 g/kg choline) and high choline reference diet. Accordingly, PC from both KM and KO significantly reduced lipid accumulation in the PI and liver when added to a choline-deficient diet. However, histological and lipid analyses also indicated that the optimal dietary choline requirement for full elimination of lipid accumulation in PI is higher than 2.6 g/kg with KM and KO as supplementary sources.</t>
  </si>
  <si>
    <t>[Kaur, Kiranpreet] Aker BioMarine Antarctic AS, Oslo, Norway; [Krogdahl, Ashild; Kortner, Trond M.] Norwegian Univ Life Sci, Fac Vet Med, As, Norway</t>
  </si>
  <si>
    <t>Norwegian University of Life Sciences</t>
  </si>
  <si>
    <t>Kaur, K (corresponding author), Aker BioMarine Antarctic AS, Oslo, Norway.</t>
  </si>
  <si>
    <t>kiranpreet.kaur@akerbiomarine.com; ashild.krogdahl@nmbu.no; trond.kortner@nmbu.no</t>
  </si>
  <si>
    <t>Kortner, Trond M/J-8878-2012</t>
  </si>
  <si>
    <t>Kaur, Kiran/0000-0002-5645-6264</t>
  </si>
  <si>
    <t>1355-557X</t>
  </si>
  <si>
    <t>1365-2109</t>
  </si>
  <si>
    <t>AQUAC RES</t>
  </si>
  <si>
    <t>Aquac. Res.</t>
  </si>
  <si>
    <t>10.1155/2023/4001633</t>
  </si>
  <si>
    <t>9C4ED</t>
  </si>
  <si>
    <t>WOS:000935371700001</t>
  </si>
  <si>
    <t>Nehme, C; Todisco, D; Breitenbach, SFM; Couchoud, I; Marchegiano, M; Peral, M; Vonhof, H; Hellstrom, J; Tjallingii, R; Claeys, P; Borrero, L; Martin, F</t>
  </si>
  <si>
    <t>Nehme, C.; Todisco, D.; Breitenbach, S. F. M.; Couchoud, I.; Marchegiano, M.; Peral, M.; Vonhof, H.; Hellstrom, J.; Tjallingii, R.; Claeys, P.; Borrero, L.; Martin, F.</t>
  </si>
  <si>
    <t>Holocene hydroclimate variability along the Southern Patagonian margin (Chile) reconstructed from Cueva Chica speleothems</t>
  </si>
  <si>
    <t>Patagonia; Holocene; Speleothems; Stable isotopes; Southern westerly winds</t>
  </si>
  <si>
    <t>EL-NINO/SOUTHERN-OSCILLATION; NORTHWESTERN PATAGONIA; ULTIMA ESPERANZA; PALEOCLIMATE RECONSTRUCTION; ISOTOPE GEOCHEMISTRY; HUNTER-GATHERERS; OXYGEN ISOTOPES; DRIP-WATER; CLIMATE; CAVE</t>
  </si>
  <si>
    <t>Patagonia is ideally situated to reconstruct past migrations of the southern westerly winds (SWWs) due to its southerly maritime location. The SWWs are an important driver of Southern Ocean upwelling and their strength and latitudinal position changed during the Holocene, leading thus to different responses of the vegetation to past climate changes along the Chilean continental margin. A new speleothem record from Cueva Chica (51 degrees S) is investigated to reconstruct past climatic changes throughout the Holocene in conjunction with other marine and paleoenvironmental records of the region and better constrain the regional paleoclimatic evolutions of SWWs. Samples comprising both a flowstone core and a stalagmite were radiometrically dated (U-Th &amp; 14C) to construct age-depth models for the highly-resolved proxy profiles (delta 13C, delta 18O, chemical composition). The Cueva Chica record provides a highly-resolved isotopic and elemental curves for the last 12 ka, albeit with a hiatus from 5.8 to 4 ka BP. The multi-proxy analysis suggests three climatic regimes throughout the Holocene in Southern Patagonia: i) an early Holocene wet period (with the exception of two dry excursions at 10.5 ka and 8.5 ka BP), ii) a mid-Holocene dry period and iii), a return to generally wet conditions over the late Holocene. The global drivers for these tri-phased climatic regimes are likely related to oceanic and South polar feedbacks. The early Holocene was the warmest period and might be attributable to changes in global ocean circulation which involved a rise in air T degrees and a strength in SWW from 50 degrees S, and therefore higher precipitations over landmass. After 9 ka BP, an intensified deglaciation dynamic along the Antarctic Peninsula is concordant with increasing summer insolation in the Southern hemisphere, leading to a poleward shift of the SWWs in response to global warming and thus to a reduction in moisture supply from the Pacific onto the Patagonian shore. After 5 ka BP, a gradual SST decline is consistent with an equatorward shift of the SWWs in response to a cooling Southern hemisphere. The SWW storm tracks extended to lower latitudes, inducing a return to wetter conditions with highly variable moisture patterns along the Patagonian landmass. Clumped isotope (Delta 47) analyses at lower resolution reflect the degree of kinetic isotope fractionation at the time of carbonate deposition, especially during the dry interval around 8.5-5.5 ka BP. Reduced kinetic isotope fractionation is observed since at least 2.6 ka BP, a period marked by (slightly) wetter conditions.</t>
  </si>
  <si>
    <t>[Nehme, C.; Todisco, D.] Univ Rouen Normandy, IDEES UMR 6266CNRS, Rouen, France; [Breitenbach, S. F. M.] Northumbria Univ, Dept Geog &amp; Environm Sci, Newcastle Upon Tyne NE1 8ST, England; [Marchegiano, M.; Peral, M.; Claeys, P.] Vrije Univ Brussel, Fac Sci, Analyt Environm &amp; Geochem, Brussels, Belgium; [Couchoud, I.] Univ Savoie, Environm Dynam &amp; Terr Montagne, UMR 5204 CNRS, Bourget Du Lac, France; [Vonhof, H.] Max Planck Inst Chem, Hahn Meitner Weg 1, Mainz, Germany; [Hellstrom, J.] Univ Melbourne, Sch Earth Sci, Melbourne, Australia; [Tjallingii, R.] GFZ, German Res Ctr Geosci, D-14473 Potsdam, Germany; [Borrero, L.] Univ Buenos Aires, Dept Invest Prehistor &amp; Arqueol CONICET, Buenos Aires, Argentina; [Martin, F.] Univ Magallanes, Ctr Estudios Hombre Austral, Inst Patagonia, Punta Arenas, Chile</t>
  </si>
  <si>
    <t>Universite de Rouen Normandie; Northumbria University; Vrije Universiteit Brussel; Universite Savoie Mont Blanc; Max Planck Society; University of Melbourne; Helmholtz Association; Helmholtz-Center Potsdam GFZ German Research Center for Geosciences; University of Buenos Aires; Universidad de Magallanes</t>
  </si>
  <si>
    <t>Nehme, C (corresponding author), Univ Rouen Normandy, IDEES UMR 6266CNRS, Rouen, France.</t>
  </si>
  <si>
    <t>carole.nehme@univ-rouen.fr</t>
  </si>
  <si>
    <t>(VUB), VRIJE UNIVERSITEIT BRUSSEL/B-4895-2008; Couchoud, Isabelle/KFA-9264-2024; Hellstrom, John C/B-1770-2008; Nehme, Carole/D-2891-2016</t>
  </si>
  <si>
    <t>(VUB), VRIJE UNIVERSITEIT BRUSSEL/0000-0002-4585-7687; marchegiano, marta/0000-0001-8230-0223; Nehme, Carole/0000-0003-0004-0910; Peral, Marion/0000-0002-6027-5482; Hellstrom, John/0000-0001-9427-3525; Breitenbach, Sebastian/0000-0001-9615-2065; Martin, Fabiana/0009-0008-5591-6063</t>
  </si>
  <si>
    <t>Fondo Nacional de Desarrollo Cientifico y Tecnologico, Chile (FONDECYT) [1180272]; Centre National pour la Recherche Scientifique, France (CNRS); Foundation Flanders, Belgium (FWO); VUB</t>
  </si>
  <si>
    <t>Fondo Nacional de Desarrollo Cientifico y Tecnologico, Chile (FONDECYT)(Comision Nacional de Investigacion Cientifica y Tecnologica (CONICYT)CONICYT FONDECYT); Centre National pour la Recherche Scientifique, France (CNRS); Foundation Flanders, Belgium (FWO); VUB</t>
  </si>
  <si>
    <t>We thank the Corporacion Nacional Forestal Chile (CONAF) authorities and the rangers of the Park Monumento Natural Cueva del Milodon for their permission to sample in the Cueva Chica. Jorge Canales Helmer and Mario Margoni are thanked for the permission they gave to work in their properties. Both Proyecto Fondo Nacional de Desarrollo Cientifico y Tecnologico, Chile (FONDECYT; PI: F. Martin) funding project no1180272 and the Centre National pour la Recherche Scientifique, France (CNRS) funding project PICS-GEOCEBE; PI: D. Todisco): Geoarchaeology of caves from Cerro Benitez, Ultima Esperanza, Chilean Patagonia (2017-2019) supported field investigations, sample shipment and laboratory analysis. PC thanks Research Foundation Flanders, Belgium (FWO) Hercules funding for IRMS acquisition, and VUB Strategic Research funding.</t>
  </si>
  <si>
    <t>10.1016/j.gloplacha.2023.104050</t>
  </si>
  <si>
    <t>8W9CE</t>
  </si>
  <si>
    <t>WOS:000931620700001</t>
  </si>
  <si>
    <t>Détrée, C; Navarro, JM; Garrido, I; Bruning, P; Leclerc, JC</t>
  </si>
  <si>
    <t>Detree, Camille; Navarro, Jorge M.; Garrido, Ignacio; Bruning, Paulina; Leclerc, Jean-Charles</t>
  </si>
  <si>
    <t>Evaluation of Sub-Antarctic and Antarctic sea urchins' thermal reaction norm through righting behavior and comparison with in situ measurements</t>
  </si>
  <si>
    <t>Thermal reaction norm; Echinoids; High latitude; Physiological tolerance; In situ experiments</t>
  </si>
  <si>
    <t>TEMPERATURE-DEPENDENT BIOGEOGRAPHY; CLIMATE-CHANGE; TOLERANCE; IMPACTS; SIZE</t>
  </si>
  <si>
    <t>Sea urchin's survival may depend on their capacity to recover proper orientation rapidly and effectively after inversion, enabling escape from predator and preventing desiccation. This righting behavior has been used as a repeatable and reliable indicator to assess echinoderms performance across environmental conditions, including thermal sensitivity and thermal stress. The current study aims at evaluating and comparing the thermal reaction norm for righting behavior (time for righting (TFR) and capacity to self-right) of three common sea urchins from high latitude, the Patagonian sea urchins Loxechinus albus and Pseudechinus magellanicus, and the Antarctic sea urchin Sterechinus neumayeri. In addition, to infer the ecological implications of our experiments, we compared laboratory-based and in situ TFR of these three species. We observed that populations of the Patagonian sea urchins L. albus and P. magellanicus presented similar trend of righting behavior, overly accelerating with increasing temperature (from 0 to 22 degrees C). Little variations and high inter-individual variability were observed below 6 degrees C in the Antarctic sea urchin TFR, and righting success strongly decreased between 7 and 11 degrees C. For the three species, TFR was lower in in situ experiments compared to the laboratory. Overall, our results suggest that the populations of Patagonian sea urchin exhibit a wide thermal tolerance and, based on S. neumayeri's TFR, aligning with the narrow thermal tolerance of Antarctic benthos. Finally, the differences between laboratory and in situ experiments highlights the importance of considering the complexity of marine environments for future predictions.</t>
  </si>
  <si>
    <t>[Detree, Camille; Navarro, Jorge M.; Garrido, Ignacio; Bruning, Paulina] Ctr FONDAP Invest Dinam Ecosistemas Marinos Altas, Valdivia, Chile; [Detree, Camille; Navarro, Jorge M.] Univ Austral Chile, Fac Ciencias, Inst Ciencias Marinas &amp; Limnol, Valdivia, Chile; [Garrido, Ignacio; Bruning, Paulina] Univ Austral Chile, Fac Ciencias, LCRAC, Inst Ciencias Marinas &amp; Limnol, Valdivia, Chile; [Garrido, Ignacio; Bruning, Paulina] Laval Univ, Dept Biol, Quebec City, PQ, Canada; [Garrido, Ignacio; Bruning, Paulina] Laval Univ, Quebec Ocean Inst, Quebec City, PQ, Canada; [Leclerc, Jean-Charles] Sorbonne Univ, CNRS, UMR 7144, AD2M,Stn Biol Roscoff, Pl Georges Teissier, F-29680 Roscoff, France</t>
  </si>
  <si>
    <t>Universidad Austral de Chile; Universidad Austral de Chile; Laval University; Laval University; Sorbonne Universite; Centre National de la Recherche Scientifique (CNRS); CNRS - Institute of Ecology &amp; Environment (INEE)</t>
  </si>
  <si>
    <t>Détrée, C (corresponding author), Univ Caen Normandie, Lab Biol Organismes &amp; Ecosyst Aquat BOREA, MNHN, SU,UA,CNRS,IRD,Esplanade Paix, F-14032 Caen, France.</t>
  </si>
  <si>
    <t>Leclerc, Jean-Charles/T-1400-2018</t>
  </si>
  <si>
    <t>Leclerc, Jean-Charles/0000-0003-3663-3785; Detree, Camille/0000-0001-5518-2380</t>
  </si>
  <si>
    <t>Center FONDAP-IDEAL [15150003]; ANID-Chile</t>
  </si>
  <si>
    <t>Center FONDAP-IDEAL; ANID-Chile</t>
  </si>
  <si>
    <t>Funding was provided by Center FONDAP-IDEAL #15150003 awarded by ANID-Chile.</t>
  </si>
  <si>
    <t>10.1016/j.jtherbio.2023.103496</t>
  </si>
  <si>
    <t>8X4JR</t>
  </si>
  <si>
    <t>WOS:000931981100001</t>
  </si>
  <si>
    <t>Woods, BL; van de Putte, AP; Hindell, MA; Raymond, B; Saunders, RA; Walters, A; Trebilco, R</t>
  </si>
  <si>
    <t>Woods, Briannyn L.; van de Putte, Anton P.; Hindell, Mark A.; Raymond, Ben; Saunders, Ryan A.; Walters, Andrea; Trebilco, Rowan</t>
  </si>
  <si>
    <t>Species distribution models describe spatial variability in mesopelagic fish abundance in the Southern Ocean</t>
  </si>
  <si>
    <t>ecosystem modelling; micronekton; Myctophidae; diel vertical migration (DVM); food web; open-ocean; Polar Front; trawl net</t>
  </si>
  <si>
    <t>POLAR FRONTAL ZONE; FOOD-CHAIN LENGTH; SCOTIA SEA; FEEDING ECOLOGY; MYCTOPHID FISH; ELECTRONA-ANTARCTICA; MACQUARIE ISLAND; CLIMATE-CHANGE; NEW-ZEALAND; DIET</t>
  </si>
  <si>
    <t>IntroductionMesopelagic fishes play a central role in the transfer of energy through open-ocean food webs, particularly in the Southern Ocean where they are both important predators of zooplankton and a key prey group for many higher predators. However, they are notoriously difficult to sample, which has limited our understanding of the bio-physical predictors of their abundance and spatiotemporal variability. Species distribution models can be used to help understand species' ecological requirements by relating records of their presence or abundance to environmental data. MethodsHere, we used data from Myctobase - a new circumpolar database of mesopelagic fishes - to model patterns in abundance of eight key myctophid species (family Myctophidae) and the genus Bathylagus in the Southern Ocean south of 45 degrees S. We developed species-specific boosted regression tree models to obtain circumpolar predictions of abundance. Average daytime and night-time summer predictions for the period 1997 to 2011 at 0 to 200m depths were generated for each species. ResultsDepth and solar position were important predictors and species were stratified in their depth distribution. For all species, except for G. nicholsi, there was an interaction between depth of capture and solar position, reflecting diel vertical migration. Other important variables included sea surface temperature, dissolved oxygen at 200 m, chlorophyll a, and sea surface height, indicating an association with water mass properties. Circumpolar patterns of abundance varied between species with some displaying affinities for oceanic regions at Antarctic latitudes (e.g., E. antarctica and Bathylagus spp.) or sub-Antarctic latitudes (e.g., K. anderssoni and P. tenisoni); and affinities for shelf regions (e.g., P. boliniand G. nicholsi). DiscussionOur findings suggest that the abundance of mesopelagic fish is influenced by diel vertical migration and meso- and sub-mesoscale oceanographic features, with the Polar Front being a major delimiting feature. Our study showed contrasting patterns in community composition with higher species diversity north of the Polar Front that might be indicative of latitudinal variability in food web structure. Our spatial analysis is an important step toward resolving what determines important habitat for mesopelagic fishes, providing foundational information for understanding shifting food web dynamics into the future.</t>
  </si>
  <si>
    <t>[Woods, Briannyn L.; Hindell, Mark A.; Raymond, Ben; Walters, Andrea] Univ Tasmania, Inst Marine &amp; Antart Studies, Hobart, Tas, Australia; [van de Putte, Anton P.] OD Nat, Royal Belgian Inst Nat Sci, Brussels, Belgium; [van de Putte, Anton P.] Univ Libre Bruxelles, Marine Biol Lab, Brussels, Belgium; [Raymond, Ben] Integrated Digital East Antarct Program, Australian Antarctic Div, Kingston, Tas, Australia; [Saunders, Ryan A.] NERC, British Antarctic Survey, Cambridge, Cambridgeshire, England; [Trebilco, Rowan] CSIRO, Oceans &amp; Atmosphere, Battery Point, Tas, Australia; [Trebilco, Rowan] Univ Tasmania, Ctr Marine Socioecol, Hobart, Tas, Australia</t>
  </si>
  <si>
    <t>University of Tasmania; Royal Belgian Institute of Natural Sciences; Universite Libre de Bruxelles; Australian Antarctic Division; UK Research &amp; Innovation (UKRI); Natural Environment Research Council (NERC); NERC British Antarctic Survey; Commonwealth Scientific &amp; Industrial Research Organisation (CSIRO); University of Tasmania</t>
  </si>
  <si>
    <t>Woods, BL (corresponding author), Univ Tasmania, Inst Marine &amp; Antart Studies, Hobart, Tas, Australia.</t>
  </si>
  <si>
    <t>bree.woods@utas.edu.au</t>
  </si>
  <si>
    <t>Trebilco, Rowan/I-5311-2012; Hindell, Mark A/K-1131-2013</t>
  </si>
  <si>
    <t>Trebilco, Rowan/0000-0001-9712-8016; Van de Putte, Anton/0000-0003-1336-5554; Walters, Andrea/0000-0002-7166-5689</t>
  </si>
  <si>
    <t>Belgian Science Policy Office (BELSPO) [FR/36/AN1/AntaBIS]; Australian Research Council; Institute for Marine and Antarctic Studies; Bottom of the Earth Society; MESOPP project</t>
  </si>
  <si>
    <t>Belgian Science Policy Office (BELSPO)(Belgian Federal Science Policy Office); Australian Research Council(Australian Research Council); Institute for Marine and Antarctic Studies; Bottom of the Earth Society; MESOPP project</t>
  </si>
  <si>
    <t>We thank the following organizations for providing financial support: The Belgian Science Policy Office (BELSPO, contract no FR/36/AN1/AntaBIS) in the Framework of EU-Lifewatch, The Australian Research Council's Special Research Initiative for Antarctic Gateway Partnership, The Institute for Marine and Antarctic Studies, The Bottom of the Earth Society and the MESOPP project.</t>
  </si>
  <si>
    <t>10.3389/fmars.2022.981434</t>
  </si>
  <si>
    <t>9D0GX</t>
  </si>
  <si>
    <t>WOS:000935785800001</t>
  </si>
  <si>
    <t>Zhao, RX; Symonds, JE; Walker, SP; Steiner, K; Carter, CG; Bowman, JP; Nowak, BF</t>
  </si>
  <si>
    <t>Zhao, Ruixiang; Symonds, Jane E.; Walker, Seumas P.; Steiner, Konstanze; Carter, Chris G.; Bowman, John P.; Nowak, Barbara F.</t>
  </si>
  <si>
    <t>Relationship between gut microbiota and Chinook salmon (Oncorhynchus tshawytscha) health and growth performance in freshwater recirculating aquaculture systems</t>
  </si>
  <si>
    <t>Chinook salmon; gut microbiota; swim bladder; recirculating aquaculture system; growth performance</t>
  </si>
  <si>
    <t>INTESTINAL MICROBIOTA; SALAR L.; AEROMONAS-HYDROPHILA; GASTRIC DILATION; AIR SACCULITIS; FISH; DISEASE; FRAMEWORK; BACTERIA; MYKISS</t>
  </si>
  <si>
    <t>Gut microbiota play important roles in fish health and growth performance and the microbiome in fish has been shown to be a biomarker for stress. In this study, we surveyed the change of Chinook salmon (Oncorhynchus tshawytscha) gut and water microbiota in freshwater recirculating aquaculture systems (RAS) for 7 months and evaluated how gut microbial communities were influenced by fish health and growth performance. The gut microbial diversity significantly increased in parallel with the growth of the fish. The dominant gut microbiota shifted from a predominance of Firmicutes to Proteobacteria, while Proteobacteria constantly dominated the water microbiota. Photobacterium sp. was persistently the major gut microbial community member during the whole experiment and was identified as the core gut microbiota for freshwater farmed Chinook salmon. No significant variation in gut microbial diversity and composition was observed among fish with different growth performance. At the end of the trial, 36 out of 78 fish had fluid in their swim bladders. These fish had gut microbiomes containing elevated proportions of Enterococcus, Stenotrophomonas, Aeromonas, and Raoultella. Our study supports the growing body of knowledge about the beneficial microbiota associated with modern salmon aquaculture systems and provides additional information on possible links between dysbiosis and gut microbiota for Chinook salmon.</t>
  </si>
  <si>
    <t>[Zhao, Ruixiang; Carter, Chris G.; Nowak, Barbara F.] Univ Tasmania, Inst Marine &amp; Antarctic Studies, Newnham, Tas, Australia; [Symonds, Jane E.; Walker, Seumas P.; Steiner, Konstanze] Cawthron Inst, Nelson, New Zealand; [Symonds, Jane E.; Carter, Chris G.] Univ Tasmania, Inst Marine &amp; Antarctic Studies, Hobart, Tas, Australia; [Bowman, John P.] Tasmanian Inst Agr, Ctr Food Safety &amp; Innovat, Hobart, Tas, Australia</t>
  </si>
  <si>
    <t>University of Tasmania; Cawthron Institute; University of Tasmania; University of Tasmania</t>
  </si>
  <si>
    <t>Zhao, RX; Nowak, BF (corresponding author), Univ Tasmania, Inst Marine &amp; Antarctic Studies, Newnham, Tas, Australia.</t>
  </si>
  <si>
    <t>ruixiang.zhao@utas.edu.au; b.nowak@utas.edu.au</t>
  </si>
  <si>
    <t>Nowak, Barbara/J-7261-2014; Carter, Chris Guy/A-3438-2008</t>
  </si>
  <si>
    <t>Carter, Chris Guy/0000-0001-5210-1282</t>
  </si>
  <si>
    <t>10.3389/fmicb.2023.1065823</t>
  </si>
  <si>
    <t>9A6CP</t>
  </si>
  <si>
    <t>WOS:000934144400001</t>
  </si>
  <si>
    <t>Osinska, M; Wójcik-Dlugoborska, KA; Bialik, RJ</t>
  </si>
  <si>
    <t>Osinska, Maria; Wojcik-Dlugoborska, Kornelia A.; Bialik, Robert J.</t>
  </si>
  <si>
    <t>Annual hydrographic variability in Antarctic coastal waters infused withglacial inflow</t>
  </si>
  <si>
    <t>ICE; DYNAMICS; FJORD</t>
  </si>
  <si>
    <t>During the 38 months between December 2018 and January 2022, multiparameter hydrographic measurements were taken at 31 sites within Admiralty Bay, King George Island, Antarctica. These records consisted of water column measurements (down to 100 m) of temperature, conductivity, turbidity, and pH as well as the dissolved oxygen, dissolved organic matter, chlorophyll-a and phycoerythrin contents. The sites were chosen due to their variable distances from glacial fronts and open ocean waters. Fifteen sites were localized within smaller glacial coves, with waters highly impacted by glacial infusions; seven sites were located in the open waters of the main body of Admiralty Bay; and nine sites were located in the intermediate conditions of the Ezcurra Inlet. The final dataset consists of measurements carried out over 142 separate days, with an average of 3.74 measurements per month. However, data were not collected regularly throughout the year and were collected less frequently during winter, although data were gathered for all but 2 winter months. On average, each site was investigated 98.2 times. Due to calibration issues, absolute values of optically measured properties occasionally show unrealistic negative values, but the relative distributions of these values remain valid. Variabilities in the measured properties each season and throughout the whole duration of the project reveal regular oscillations as well as possible long-term trends. The described dataset is freely available at PANGAEA: (Osinska et al., 2022).</t>
  </si>
  <si>
    <t>[Osinska, Maria] Univ Gdansk, Inst Oceanog, Pilsudskiego 46, PL-81378 Gdynia, Poland; [Wojcik-Dlugoborska, Kornelia A.; Bialik, Robert J.] Polish Acad Sci, Inst Biochem &amp; Biophys, Pawinskiego 5a, PL-02106 Warsaw, Poland</t>
  </si>
  <si>
    <t>Fahrenheit Universities; University of Gdansk; Polish Academy of Sciences; Institute of Biochemistry &amp; Biophysics - Polish Academy of Sciences</t>
  </si>
  <si>
    <t>Bialik, RJ (corresponding author), Polish Acad Sci, Inst Biochem &amp; Biophys, Pawinskiego 5a, PL-02106 Warsaw, Poland.</t>
  </si>
  <si>
    <t>Wójcik-Długoborska, Kornelia/JGE-0708-2023</t>
  </si>
  <si>
    <t>Osinska, Maria/0000-0003-0882-3573</t>
  </si>
  <si>
    <t>National Science Centre, Poland [UMO-2017/25/B/ST10/02092]</t>
  </si>
  <si>
    <t>National Science Centre, Poland(National Science Centre, Poland)</t>
  </si>
  <si>
    <t>This work was supported by the National Science Centre, Poland (grant no. UMO-2017/25/B/ST10/02092; Quantitative assessment of sediment transport from glaciers of South Shetland Islands on the basis of selected remote sensing methods).</t>
  </si>
  <si>
    <t>10.5194/essd-15-607-2023</t>
  </si>
  <si>
    <t>8S2BO</t>
  </si>
  <si>
    <t>WOS:000928389700001</t>
  </si>
  <si>
    <t>Huang, XX; Steel, R; Larter, RD</t>
  </si>
  <si>
    <t>Huang, Xiaoxia; Steel, Ronald; Larter, Robert D.</t>
  </si>
  <si>
    <t>Late Eocene signals of oncoming Icehouse conditions and changing ocean circulation, Antarctica (vol 600, 117885, 2022)</t>
  </si>
  <si>
    <t>[Huang, Xiaoxia] Chinese Acad Sci, Inst Deep Sea Sci &amp; Engn, Sanya 572000, Peoples R China; [Steel, Ronald] Univ Texas Austin, Jackson Sch Geosci, Austin, TX USA; [Larter, Robert D.] British Antarctic Survey, High Cross,Madingley Rd, Cambridge CB3 0ET, England</t>
  </si>
  <si>
    <t>Chinese Academy of Sciences; Institute of Deep-Sea Science &amp; Engineering, CAS; University of Texas System; University of Texas Austin; UK Research &amp; Innovation (UKRI); Natural Environment Research Council (NERC); NERC British Antarctic Survey</t>
  </si>
  <si>
    <t>Huang, XX (corresponding author), Chinese Acad Sci, Inst Deep Sea Sci &amp; Engn, Sanya 572000, Peoples R China.</t>
  </si>
  <si>
    <t>huangxx@idsse.ac.cn</t>
  </si>
  <si>
    <t>National Natural Science Foundation of China [41976223]</t>
  </si>
  <si>
    <t>The authors regret that the foundation number originally published was incorrect. The correct foundation number is 41976223, funded by National Natural Science Foundation of China. The authors would like to apologise for any inconvenience caused. The National Natural Science Foundation of China (41976223).</t>
  </si>
  <si>
    <t>10.1016/j.epsl.2023.118005</t>
  </si>
  <si>
    <t>8Z5PP</t>
  </si>
  <si>
    <t>WOS:000933430400001</t>
  </si>
  <si>
    <t>Sukri, SAM; Andu, Y; Sarijan, S; Khalid, HNM; Kari, ZA; Harun, HC; Rusli, ND; Mat, K; Khalif, RIAR; Wei, LS; Rahman, MM; Hakim, AH; Lokman, NHN; Hamid, NKA; Khoo, MI; Van Doan, H</t>
  </si>
  <si>
    <t>Sukri, Suniza Anis Mohamad; Andu, Yusrina; Sarijan, Shazani; Khalid, Hazreen-Nita Mohd; Kari, Zulhisyam Abdul; Harun, Hasnita Che; Rusli, Nor Dini; Mat, Khairiyah; Khalif, Raja Ili Airina Raja; Wei, Lee Seong; Rahman, Mohammad Mijanur; Hakim, Ali Hanafiah; Lokman, N. H. Norazmi; Hamid, Noor Khalidah Abdul; Khoo, Martina Irwan; Van Doan, Hien</t>
  </si>
  <si>
    <t>Pineapple waste in animal feed: A review of nutritional potential, impact and prospects</t>
  </si>
  <si>
    <t>ANNALS OF ANIMAL SCIENCE</t>
  </si>
  <si>
    <t>pineapple waste; animal feed; animal nutrition; animal health; environment</t>
  </si>
  <si>
    <t>GROWTH-PERFORMANCE; SOYBEAN-MEAL; INTESTINAL MORPHOLOGY; INCREASING LEVELS; PROCESSING WASTE; ROUGHAGE SOURCE; BY-PRODUCTS; PROTEIN; DIETS; BROMELAIN</t>
  </si>
  <si>
    <t>Pineapple is a commodity and economic fruit with a high market potential worldwide. Almost 60 % of the fresh pineapple, such as peels, pulp, crowns and leaves, are agricultural waste. It is noteworthy that the waste has a high concentration of crude fibre, proteins, ascorbic acid, sugars and moisture content. The pineapple waste utilisation in animal feed has recently drawn the attention of many investigators to enhance growth performance and concomitantly reduce environmental pollution. Its inclusion in animal feed varies according to the livestock, such as feed block, pelleted or directly used as a roughage source for ruminants. The pineapple waste is also fermented to enrich the nutrient content of poultry feed. To date, the inclusion of pineapple waste in animal feed is optimistic only not for livestock but also for farmed fish. Indeed, it is an ideal strategy to improve the feed supply to the farm. This paper aims to overview the source, nutritional composition, and application of pineapple waste in animal feed. The recent findings on its effect on animal growth performance, nutrition and disease control are discussed comprehensively and summarised. The review also covers its benefits, potential impacts on sustainable farming and future perspectives.</t>
  </si>
  <si>
    <t>[Sukri, Suniza Anis Mohamad; Khalid, Hazreen-Nita Mohd; Kari, Zulhisyam Abdul; Harun, Hasnita Che; Rusli, Nor Dini; Mat, Khairiyah; Khalif, Raja Ili Airina Raja; Wei, Lee Seong; Rahman, Mohammad Mijanur] Univ Malaysia Kelantan, Fac Agro Based Ind, Dept Agr Sci, Jeli 17600, Kelantan, Malaysia; [Sukri, Suniza Anis Mohamad; Khalid, Hazreen-Nita Mohd; Kari, Zulhisyam Abdul; Khalif, Raja Ili Airina Raja; Wei, Lee Seong] Univ Malaysia Kelantan, Fac Agro Based Ind, Adv Livestock &amp; Aquaculture Res Grp, Jeli Campus, Jeli 17600, Kelantan, Malaysia; [Andu, Yusrina] Univ Teknol MARA Negeri Sembilan, Fac Comp &amp; Math Sci, Kuala Pilah Campus, Kuala Pilah 72000, Negeri Sembilan, Malaysia; [Sarijan, Shazani] Univ Teknol Malaysia, Fac Engn, Dept Environm &amp; Water Engn, Johor Baharu 81310, Johor, Malaysia; [Harun, Hasnita Che; Rusli, Nor Dini; Mat, Khairiyah; Rahman, Mohammad Mijanur] Univ Malaysia Kelantan, Inst Food Secur &amp; Sustainable Agr, Jeli Campus, Jeli 17600, Kelantan, Malaysia; [Hakim, Ali Hanafiah] Univ Putra Malaysia, Fac Agr &amp; Forestry Sci, Dept Anim Sci &amp; Fisheries, Bintulu Sarawak Campus, Nyabau Rd, Bintulu 97008, Sarawak, Malaysia; [Lokman, N. H. Norazmi] Univ Malaysia Terengganu, Fac Fisheries &amp; Food Sci, Kuala Terengganu, Terengganu, Malaysia; [Lokman, N. H. Norazmi] Univ Tasmania, Inst Marine &amp; Antarctic Studies, Fisheries &amp; Aquaculture Ctr, Taroona, Tas, Australia; [Hamid, Noor Khalidah Abdul] Univ Sains Malaysia, Sch Biol Sci, Minden 11800, Pulau Pinang, Malaysia; [Khoo, Martina Irwan] Univ Sains Malaysia, Sch Med Sci, Kubang Kerian 16150, Kelantan, Malaysia; [Van Doan, Hien] Chiang Mai Univ, Fac Agr, Dept Anim &amp; Aquat Sci, Chiang Mai 50200, Thailand; [Van Doan, Hien] Chiang Mai Univ, Sci &amp; Technol Res Inst, 239 Huay Keaw Rd, Chiang Mai 50200, Thailand</t>
  </si>
  <si>
    <t>Universiti Malaysia Kelantan; Universiti Malaysia Kelantan; Universiti Teknologi Malaysia; Universiti Malaysia Kelantan; Universiti Putra Malaysia; Universiti Malaysia Terengganu; University of Tasmania; Universiti Sains Malaysia; Universiti Sains Malaysia; Chiang Mai University; Chiang Mai University</t>
  </si>
  <si>
    <t>Sukri, SAM (corresponding author), Univ Malaysia Kelantan, Fac Agro Based Ind, Dept Agr Sci, Jeli 17600, Kelantan, Malaysia.;Sukri, SAM (corresponding author), Univ Malaysia Kelantan, Fac Agro Based Ind, Adv Livestock &amp; Aquaculture Res Grp, Jeli Campus, Jeli 17600, Kelantan, Malaysia.;Van Doan, H (corresponding author), Chiang Mai Univ, Fac Agr, Dept Anim &amp; Aquat Sci, Chiang Mai 50200, Thailand.;Van Doan, H (corresponding author), Chiang Mai Univ, Sci &amp; Technol Res Inst, 239 Huay Keaw Rd, Chiang Mai 50200, Thailand.</t>
  </si>
  <si>
    <t>suniza@umk.edu.my; hien.d@cmu.ac.th</t>
  </si>
  <si>
    <t>Norazmi, Lokman Nor Hakim/AAD-2229-2020; Rahman, Mohammad Mijanur/E-1652-2013; Abdul Kari, Zulhisyam/ITT-1080-2023; Van Doan, Hien/N-9579-2019</t>
  </si>
  <si>
    <t>Norazmi, Lokman Nor Hakim/0000-0002-1927-6846; Rahman, Mohammad Mijanur/0000-0002-6244-7129; Abdul Kari, Zulhisyam/0000-0002-3160-7839;</t>
  </si>
  <si>
    <t>Universiti Malaysia Kelantan [R/FUND/A0700/00302A/003/2020/00737]; Chiang Mai University</t>
  </si>
  <si>
    <t>Universiti Malaysia Kelantan; Chiang Mai University</t>
  </si>
  <si>
    <t>This project was funded by Universiti Malaysia Kelantan, under the grant UMKFUND (R/FUND/A0700/00302A/003/2020/00737) and partially supported by Chiang Mai University.</t>
  </si>
  <si>
    <t>1642-3402</t>
  </si>
  <si>
    <t>2300-8733</t>
  </si>
  <si>
    <t>ANN ANIM SCI</t>
  </si>
  <si>
    <t>Ann. Anim. Sci.</t>
  </si>
  <si>
    <t>10.2478/aoas-2022-0080</t>
  </si>
  <si>
    <t>F4AJ2</t>
  </si>
  <si>
    <t>WOS:000927780800001</t>
  </si>
  <si>
    <t>Hall, BL; Koch, PL; Baroni, C; Salvatore, MC; Hoelzel, AR; de Bruyn, M; Welch, AJ</t>
  </si>
  <si>
    <t>Hall, Brenda L.; Koch, Paul L.; Baroni, Carlo; Salvatore, Maria Cristina; Hoelzel, A. Rus; de Bruyn, Mark; Welch, Andreanna J.</t>
  </si>
  <si>
    <t>Widespread southern elephant seal occupation of the Victoria land coast implies a warmer-than-present Ross Sea in the mid-to-late Holocene</t>
  </si>
  <si>
    <t>Mirounga leonina; Southern elephant seals; Ross sea; Ocean temperatures; Sea ice; West antarctic ice sheet</t>
  </si>
  <si>
    <t>GROUNDING-LINE RETREAT; TERRA-NOVA BAY; WILSON PIEDMONT GLACIER; MIROUNGA-LEONINA; SCOTT COAST; ICE-SHEET; RAISED BEACHES; CLIMATE; OCEAN; ANTARCTICA</t>
  </si>
  <si>
    <t>Prediction of future ice-sheet behavior in Antarctica and its contribution to sea-level rise depends on accurate understanding of ice-sheet response to a warm climate. Examination of how the ice sheet reacted to past warm episodes affords a means of assessing its tolerances to climate change. The West Antarctic Ice Sheet (WAIS), in particular, is thought to be highly susceptible to variations in ocean temperature at its grounding lines. Yet, detailed records of past ocean temperatures close to the conti-nent are rare. Here, we present a record of past relative ocean-temperature and sea-ice change derived from the presence and then eventual abandonment of southern elephant seal (Mirounga leonina) occupation sites along the Victoria Land Coast (VLC) of the western Ross Embayment. Our results suggest greatly reduced landfast and likely pack ice, as well as potentially the incursion of relatively warm modified Circum-Polar Deep Water from-7100 to 500 yr BP, with the greatest reduction in ice/warmest water temperatures at-5200 and-2300-1800 yr BP. These changes in ocean conditions would have had a strong influence on VLC marine-terminating glaciers through variations in buttressing sea ice and melt rates on the underside of floating ice. Independent data suggest that these glaciers had restricted extent in the mid-Holocene, consistent with our inference of warm ocean temperatures and low sea ice. The glaciers subsequently expanded within the last millennium, coincident with the disappearance of southern elephant seals from the coast and the inferred return to icy conditions. Our relative sea-ice and ocean-temperature reconstruction also is consistent with the hypothesized retreat of the WAIS inland of its present position in the mid to late Holocene, although the distance between our sites and the current WAIS grounding lines is large (600-1000 km), and thus any linkage is speculative at present. Finally, limited pre-Holocene southern elephant seal data support the existence of warm ocean temperatures immediately prior to and perhaps even during build-up to the Last Glacial Maximum (LGM) ice position. If this could be confirmed, it would suggest that factors other than ocean temperatures, such as lowered sea level, might have been critical in causing ice-sheet advance in the Ross Embayment at the LGM.(c) 2023 Elsevier Ltd. All rights reserved.</t>
  </si>
  <si>
    <t>[Hall, Brenda L.] Univ Maine, Sch Earth &amp; Climate Sci, Orono, ME 04469 USA; [Hall, Brenda L.] Univ Maine, Climate Change Inst, Orono, ME 04469 USA; [Koch, Paul L.] Univ Calif Santa Cruz, Dept Earth &amp; Planetary Sci, Santa Cruz, CA USA; [Baroni, Carlo; Salvatore, Maria Cristina] Univ Pisa, Dept Earth Sci, Via S Maria 53, I-56126 Pisa, Italy; [Baroni, Carlo; Salvatore, Maria Cristina] IGG CNR, Inst Geosci &amp; Earth Resources, Via G Moruzzi 1, I-56124 Pisa, Italy; [Hoelzel, A. Rus; Welch, Andreanna J.] Univ Durham, Dept Biosci, Durham, England; [de Bruyn, Mark] Griffith Univ, Australian Res Ctr Human Evolut, Sch Environm &amp; Sci, Gold Coast, Qld 4111, Australia</t>
  </si>
  <si>
    <t>University of Maine System; University of Maine Orono; University of Maine System; University of Maine Orono; University of California System; University of California Santa Cruz; University of Pisa; Consiglio Nazionale delle Ricerche (CNR); Istituto di Geoscienze e Georisorse (IGG-CNR); Durham University; Griffith University; Griffith University - Gold Coast Campus</t>
  </si>
  <si>
    <t>Hall, BL (corresponding author), Univ Maine, Sch Earth &amp; Climate Sci, Orono, ME 04469 USA.;Hall, BL (corresponding author), Univ Maine, Climate Change Inst, Orono, ME 04469 USA.</t>
  </si>
  <si>
    <t>brendah@maine.edu</t>
  </si>
  <si>
    <t>Baroni, Carlo/D-8184-2012; Salvatore, Maria Cristina/AAS-4000-2020; de Bruyn, Mark/C-5568-2008</t>
  </si>
  <si>
    <t>Baroni, Carlo/0000-0001-5905-4650; Salvatore, Maria Cristina/0000-0002-1590-7284; Welch, Andreanna/0000-0002-5947-4695; de Bruyn, Mark/0000-0003-1528-9604; Koch, Paul/0000-0001-5248-1529</t>
  </si>
  <si>
    <t>Office of Polar Programs of the National Science Foundation [0439979, 0807292, 1141849, 1646867]; Italian National Antarctic Research Program [PNRA-2002/4.10, 2004/4.2]; Salvatore [PNRA 19-00107]; Directorate For Geosciences; Office of Polar Programs (OPP) [0439979] Funding Source: National Science Foundation; Office of Polar Programs (OPP); Directorate For Geosciences [1141849] Funding Source: National Science Foundation</t>
  </si>
  <si>
    <t>Office of Polar Programs of the National Science Foundation; Italian National Antarctic Research Program; Salvatore; Directorate For Geosciences; Office of Polar Programs (OPP)(National Science Foundation (NSF)NSF - Directorate for Geosciences (GEO)); Office of Polar Programs (OPP); Directorate For Geosciences(National Science Foundation (NSF)NSF - Directorate for Geosciences (GEO))</t>
  </si>
  <si>
    <t>George Denton and Robert Nichols found the first southern elephant seal skeleton at Marble Point in the 1950s. Numerous students have served as field assistants over the years on this project, including Scott Braddock, Brenda Chase, Alice Doughty, Nate Gardner, Pete Marcotte, Audrey Morley, Audra Norvaisa, Bret Overturf, Alex Roy, and Colby Smith (all from the University of Maine) and Emily Brault, Rachel Brown, Seth Newsome, and Jonathan Nye (all from the University of California, Santa Cruz) . We are grateful for excellent logistical support from Petroleum Helicopters Incorporated, Helicopters New Zealand, and Raytheon Polar Services. This work was funded by the Office of Polar Programs of the National Science Foundation under grants 0439979, 0807292, 1141849, and 1646867 to Hall and Koch, as well as by the Italian National Antarctic Research Program funding to Baroni (PNRA-2002/4.10; 2004/4.2) and Salvatore (PNRA 19-00107) . We thank the editor and three anonymous reviewers for their constructive comments.</t>
  </si>
  <si>
    <t>10.1016/j.quascirev.2023.107991</t>
  </si>
  <si>
    <t>9C4UU</t>
  </si>
  <si>
    <t>WOS:000935415000001</t>
  </si>
  <si>
    <t>Rosier, SHR; Bull, CYS; Woo, WL; Gudmundsson, GH</t>
  </si>
  <si>
    <t>Rosier, Sebastian H. R.; Bull, Christopher Y. S.; Woo, Wai L.; Gudmundsson, G. Hilmar</t>
  </si>
  <si>
    <t>Predicting ocean-induced ice-shelf melt rates using deep learning</t>
  </si>
  <si>
    <t>MODEL; SHEET; GLACIER; CLIMATE; RETREAT; BENEATH; DRIVEN</t>
  </si>
  <si>
    <t>Through their role in buttressing upstream ice flow, Antarctic ice shelves play an important part in regulating future sea-level change. Reduction in ice-shelf buttressing caused by increased ocean-induced melt along their undersides is now understood to be one of the key drivers of ice loss from the Antarctic ice sheet. However, despite the importance of this forcing mechanism, most ice-sheet simulations currently rely on simple melt parameterisations of this ocean-driven process since a fully coupled ice-ocean modelling framework is prohibitively computationally expensive. Here, we provide an alternative approach that is able to capture the greatly improved physical description of this process provided by large-scale ocean-circulation models over currently employed melt parameterisations but with trivial computational expense. This new method brings together deep learning and physical modelling to develop a deep neural network framework, MELTNET, that can emulate ocean model predictions of sub-ice-shelf melt rates. We train MELTNET on synthetic geometries, using the NEMO ocean model as a ground truth in lieu of observations to provide melt rates both for training and for evaluation of the performance of the trained network. We show that MELTNET can accurately predict melt rates for a wide range of complex synthetic geometries, with a normalised root mean squared error of 0.11 myr-1 compared to the ocean model. MELTNET calculates melt rates several orders of magnitude faster than the ocean model and outperforms more traditional parameterisations for &gt; 96 % of geometries tested. Furthermore, we find MELTNET's melt rate estimates show sensitivity to established physical relationships such as changes in thermal forcing and ice-shelf slope. This study demonstrates the potential for a deep learning framework to calculate melt rates with almost no computational expense, which could in the future be used in conjunction with an ice sheet model to provide predictions for large-scale ice sheet models.</t>
  </si>
  <si>
    <t>[Rosier, Sebastian H. R.; Bull, Christopher Y. S.; Gudmundsson, G. Hilmar] Northumbria Univ, Dept Geog &amp; Environm Sci, Newcastle Upon Tyne, England; [Rosier, Sebastian H. R.] WSL Inst Snow &amp; Avalanche Res SLF, Davos, Switzerland; [Woo, Wai L.] Northumbria Univ, Dept Comp &amp; Informat Sci, Newcastle Upon Tyne, England</t>
  </si>
  <si>
    <t>Northumbria University; Swiss Federal Institutes of Technology Domain; Swiss Federal Institute for Forest, Snow &amp; Landscape Research; Northumbria University</t>
  </si>
  <si>
    <t>Rosier, SHR (corresponding author), Northumbria Univ, Dept Geog &amp; Environm Sci, Newcastle Upon Tyne, England.;Rosier, SHR (corresponding author), WSL Inst Snow &amp; Avalanche Res SLF, Davos, Switzerland.</t>
  </si>
  <si>
    <t>sebastian.rosier@northumbria.ac.uk</t>
  </si>
  <si>
    <t>Gudmundsson, Gudmundur Hilmar/AAU-5987-2020; Woo, Wai Lok/T-3662-2018</t>
  </si>
  <si>
    <t>Gudmundsson, Gudmundur Hilmar/0000-0003-4236-5369; Woo, Wai Lok/0000-0002-8698-7605; Bull, Christopher/0000-0001-8362-3446</t>
  </si>
  <si>
    <t>National Science Foundation (NSF) [1739031]; Natural Environment Research Council (NERC) [NE/S006745/1, NE/S006796/1]; European Union [820575]; NERC [NE/S006796/1, NE/S006745/1] Funding Source: UKRI; H2020 Societal Challenges Programme [820575] Funding Source: H2020 Societal Challenges Programme</t>
  </si>
  <si>
    <t>National Science Foundation (NSF)(National Science Foundation (NSF)); Natural Environment Research Council (NERC)(UK Research &amp; Innovation (UKRI)Natural Environment Research Council (NERC)); European Union(European Union (EU)); NERC(UK Research &amp; Innovation (UKRI)Natural Environment Research Council (NERC)); H2020 Societal Challenges Programme(Horizon 2020European Union (EU)H2020 Societal Challenges Programme)</t>
  </si>
  <si>
    <t>Sebastian H. R. Rosier is supported by thePROPHET project, a component of the International ThwaitesGlacier Collaboration (ITGC). This research has been supportedby the National Science Foundation (NSF; grant no. 1739031)and the Natural Environment Research Council (NERC; grantnos. NE/S006745/1 and NE/S006796/1). Christopher Y. S. Bull issupported by the European Union's Horizon 2020 research and in-novation programme (TiPACCs (grant no. 820575))</t>
  </si>
  <si>
    <t>10.5194/tc-17-499-2023</t>
  </si>
  <si>
    <t>8R8PB</t>
  </si>
  <si>
    <t>Green Submitted, Green Accepted, gold</t>
  </si>
  <si>
    <t>WOS:000928149400001</t>
  </si>
  <si>
    <t>Song, SY; Yeh, SW; Kim, H; Holbrook, NJ</t>
  </si>
  <si>
    <t>Song, Se-Yong; Yeh, Sang-Wook; Kim, Hyerim; Holbrook, Neil J. J.</t>
  </si>
  <si>
    <t>Arctic warming contributes to increase in Northeast Pacific marine heatwave days over the past decades</t>
  </si>
  <si>
    <t>LONG-TERM; VARIABILITY; CLIMATE; AMPLIFICATION; IMPACTS; SEA; AUSTRALIA; SUMMER; FLUXES</t>
  </si>
  <si>
    <t>The increase in marine heat wave days in the Northeast Pacific ocean over the past few decades is linked to Arctic warming and sea ice decline, according to analyses of satellite-derived and reanalysis data along with idealized coupled climate model experiments. The frequency and duration of marine heatwaves have been increasing with ocean warming due to climate change. In particular, the Northeast Pacific has experienced intense and extensive marine heatwaves since the late 1990s - characteristically called the Blob. Here, an investigation of satellite-derived and reanalysis data supported by idealized coupled model experiments show that Arctic warming plays an important role in the increase in Northeast Pacific marine heatwave days during boreal summers. Strong Arctic warming has acted to change the atmospheric circulation pattern over the Northeast Pacific and reduce the low-level cloud fraction from late spring to early summer. We show that the enhancement of solar radiative heat fluxes and reduced latent heat loss over a relatively large area has favored an increase in sea surface temperatures and marine heatwave days. An idealized model experiment performed here, designed to isolate the impact of Arctic warming, supports this hypothesis. The projected changes of Arctic climate on the occurrence of marine heatwaves should be considered in climate change adaptation and mitigation plans.</t>
  </si>
  <si>
    <t>[Song, Se-Yong; Yeh, Sang-Wook] Hanyang Univ, Dept Marine Sci &amp; Convergence Technol, Ansan, South Korea; [Holbrook, Neil J. J.] Univ Tasmania, Inst Marine &amp; Antarctic Studies, Hobart, Tas, Australia; [Kim, Hyerim] Korea Univ, Inst Cyber Secur &amp; Privacy, Seoul, South Korea; [Holbrook, Neil J. J.] Univ Tasmania, ARC Ctr Excellence Climate Extremes, Hobart, Tas, Australia</t>
  </si>
  <si>
    <t>Hanyang University; University of Tasmania; Korea University; University of Tasmania</t>
  </si>
  <si>
    <t>Yeh, SW (corresponding author), Hanyang Univ, Dept Marine Sci &amp; Convergence Technol, Ansan, South Korea.</t>
  </si>
  <si>
    <t>swyeh@hanyang.ac.kr</t>
  </si>
  <si>
    <t>Yeh, Sang-Wook/G-3007-2014; Holbrook, Neil/M-7544-2013</t>
  </si>
  <si>
    <t>Holbrook, Neil/0000-0002-3523-6254</t>
  </si>
  <si>
    <t>project Investigation and prediction system development of marine heatwave around the Korean Peninsula originated from the subarctic and western Pacific from the Ministry of Oceans and Fisheries, Korea [20190344]; ARC Centre of Excellence for Climate Extremes [CE170100023]</t>
  </si>
  <si>
    <t>project Investigation and prediction system development of marine heatwave around the Korean Peninsula originated from the subarctic and western Pacific from the Ministry of Oceans and Fisheries, Korea; ARC Centre of Excellence for Climate Extremes</t>
  </si>
  <si>
    <t>The authors acknowledge the valuable comments from three anonymous reviewers that significantly improved this manuscript. This work was funded by the project Investigation and prediction system development of marine heatwave around the Korean Peninsula originated from the subarctic and western Pacific (20190344) from the Ministry of Oceans and Fisheries, Korea. NJH acknowledges funding from the ARC Centre of Excellence for Climate Extremes (CE170100023).</t>
  </si>
  <si>
    <t>10.1038/s43247-023-00683-y</t>
  </si>
  <si>
    <t>8T0FY</t>
  </si>
  <si>
    <t>WOS:000928947000001</t>
  </si>
  <si>
    <t>Sotnik, G; Spinova, Y; Sotnik, T; Polotska, O; Kysil, O; Krakovska, S; Diachuk, O; Bezvershenko, Y; Berezko, O; Beldavs, V; Andrusevych, A</t>
  </si>
  <si>
    <t>Sotnik, Garry; Spinova, Yuliia; Sotnik, Tetiana; Polotska, Olga; Kysil, Oksana; Krakovska, Svitlana; Diachuk, Oleksandr; Bezvershenko, Yulia; Berezko, Oleksandr; Beldavs, Vidvuds; Andrusevych, Andriy</t>
  </si>
  <si>
    <t>How to help Ukrainian scientists overcome Russia's invasion and advance sustainability</t>
  </si>
  <si>
    <t>COPRODUCTION</t>
  </si>
  <si>
    <t>[Sotnik, Garry] Stanford Univ, Doerr Sch Sustainabil, Stanford, CA 94305 USA; [Spinova, Yuliia] Natl Univ Kyiv, Mohyla Acad, Dept Environm Studies, UA-04070 Kiev, Ukraine; [Sotnik, Tetiana] Zaporizhzhia Reg Inst Postgrad Educ, Dept Philosophy &amp; Social &amp; Humanitarian Discipline, UA-69035 Zaporizhzhia, Ukraine; [Polotska, Olga] Natl Res Fdn Ukraine, Directorate Fdn, UA-01001 Kiev, Ukraine; [Kysil, Oksana] Covenant Mayors East, UA-79005 Lvov, Ukraine; [Krakovska, Svitlana] Natl Acad Sci Ukraine, Ukrainian Hydrometeorol Inst, State Emergency Serv Ukraine, UA-03028 Kiev, Ukraine; [Krakovska, Svitlana] Natl Antarctic Sci Ctr, Minist Educ &amp; Sci Ukraine, UA-01601 Kiev, Ukraine; [Diachuk, Oleksandr] Natl Acad Sci Ukraine, Inst Econ &amp; Forecasting, UA-01011 Kiev, Ukraine; [Bezvershenko, Yulia] Stanford Univ, Ctr Democracy Dev &amp; Rule Law, Stanford, CA 94305 USA; [Berezko, Oleksandr] Lviv Polytech Natl Univ, Inst Humanities &amp; Social Sci, UA-79000 Lvov, Ukraine; [Beldavs, Vidvuds] Riga Photon Ctr, LV-1050 Riga, Latvia; [Andrusevych, Andriy] Ukrainian Catholic Univ, Law Sch, UA-79011 Lvov, Ukraine</t>
  </si>
  <si>
    <t>Stanford University; Ministry of Education &amp; Science of Ukraine; National University of Kyiv Mohyla Academy; National Academy of Sciences Ukraine; Ukrainian Hydrometeorological Institute of the State Emergency Service of Ukraine &amp; National Academy of Sciences of Ukraine; Ministry of Education &amp; Science of Ukraine; State Institution National Antarctic Scientific Center; National Academy of Sciences Ukraine; Institute of Economics &amp; Forecasting, National Academy of Sciences Ukraine; Stanford University; Ministry of Education &amp; Science of Ukraine; Lviv Polytechnic National University; Ukrainian Catholic University</t>
  </si>
  <si>
    <t>Sotnik, G (corresponding author), Stanford Univ, Doerr Sch Sustainabil, Stanford, CA 94305 USA.</t>
  </si>
  <si>
    <t>gsotnik@stanford.edu</t>
  </si>
  <si>
    <t>Berezko, Oleksandr/Q-9989-2017; Spinova, Yuliia/J-3388-2017</t>
  </si>
  <si>
    <t>Berezko, Oleksandr/0000-0002-0664-4339; Poloc'ka (Cornovol-Tkacenko), Ol'ga Oleksandrivna/0000-0001-9789-3850; Spinova, Yuliia/0000-0002-3051-8893; Sotnik, Garry/0000-0002-2422-1110</t>
  </si>
  <si>
    <t>e2219792120</t>
  </si>
  <si>
    <t>10.1073/pnas.2219792120</t>
  </si>
  <si>
    <t>IU7R8</t>
  </si>
  <si>
    <t>WOS:001168921400012</t>
  </si>
  <si>
    <t>Vudamala, K; Chakraborty, P; Chatragadda, R; Tiwari, AK; Qureshi, A</t>
  </si>
  <si>
    <t>Vudamala, Krushna; Chakraborty, Paromita; Chatragadda, Ramesh; Tiwari, Anoop Kumar; Qureshi, Asif</t>
  </si>
  <si>
    <t>Distribution of organochlorine pesticides in surface and deep waters of the Southern Indian Ocean and coastal Antarctic waters</t>
  </si>
  <si>
    <t>Pristine; Organochlorinepesticides; Persistent organic pollutants; Distribution</t>
  </si>
  <si>
    <t>PERSISTENT ORGANIC POLLUTANTS; AIR-SOIL EXCHANGE; POLYCHLORINATED-BIPHENYLS; NORTH-ATLANTIC; TRANSPORT; HEXACHLOROCYCLOHEXANES; ATMOSPHERE; SEAWATER; FATE; PCBS</t>
  </si>
  <si>
    <t>Antarctica is a remote and pristine region. Yet it plays a vital role in biogeochemical cycles of global anthro-pogenic contaminants, such as persistent organic pollution (POPs). This work reports the distribution of legacy and new POPs in surface and depth profiles/deeper water of the Southern Indian Ocean (SIO) and the coast of Antarctica (COA). Samples were collected during the 10th Indian Southern Ocean expedition (SOE-10) in the year 2017. Concentrations of EHCH (hexachlorocyclohexane), EDDT (dichlorodiphenyltrichloroethane), and EENDO (endosulfan) in surface seawater from the SIO region ranged between not detected (ND) to 1.21 pg/Liter (pg L-1) (average. +/- s.d.: 0.35 +/- 0.42 pg L-1), ND to 1.83 pg L-1 (0.69 +/- 84 pg L-1), and ND -to 2.06 pg L-1 (0.56 +/- 0., 88 pg L-1), respectively. The concentrations of EHCH, EDDT, and EENDO in COA ranged from ND to 0.98 pg L-1 (0.25 +/- 0.27 pg L-1), ND to 3.61 pg L-1(0.50 +/- 1.08 pg L-1), and ND to 2.09 pg L-1 (0.45 +/- 0.84 pg L-1), respectively. Concentrations of isomers of endosulfan, and largely of HCHs, suggested an aged source. Some concentration ratios of alpha-to gamma-HCH were close to 1, indicating a contribution from ongoing sources. Results indicate the important role of ocean currents in mediating the transport and detection of OCPs. As such, OCPs dynamics in deeper oceans may play an important role in OCPs cycling in the marine environment.</t>
  </si>
  <si>
    <t>[Vudamala, Krushna] CSIR Natl Inst Oceanog, Integrat Oceanog Div, Panaji 403004, Goa, India; [Vudamala, Krushna; Qureshi, Asif] Indian Inst Technol Hyderabad, Dept Civil Engn, Kandi 502285, TS, India; [Chakraborty, Paromita] SRM Inst Sci &amp; Technol, Ctr Res Environm Sustainabil Advocacy &amp; Climate Ch, Environm Sci &amp; Technol Res Grp, Kattankulathur 603203, Tamil Nadu, India; [Chatragadda, Ramesh] CSIR Natl Inst Oceanog, Biol Oceanog Div, Panaji 403004, Goa, India; [Tiwari, Anoop Kumar] Natl Ctr Polar &amp; Ocean Res Headland Sada, Environm Impact Assessment Grp, Vasco Da Gama 403802, Goa, India; [Qureshi, Asif] Indian Inst Technol Hyderabad, Dept Climate Change, Kandi 502285, TS, India</t>
  </si>
  <si>
    <t>Council of Scientific &amp; Industrial Research (CSIR) - India; CSIR - National Institute of Oceanography (NIO); Indian Institute of Technology System (IIT System); Indian Institute of Technology (IIT) - Hyderabad; SRM Institute of Science &amp; Technology Chennai; Council of Scientific &amp; Industrial Research (CSIR) - India; CSIR - National Institute of Oceanography (NIO); Ministry of Earth Sciences (MoES) - India; National Centre for Polar and Ocean Research (NCPOR); Indian Institute of Technology System (IIT System); Indian Institute of Technology (IIT) - Hyderabad</t>
  </si>
  <si>
    <t>Vudamala, K (corresponding author), CSIR Natl Inst Oceanog, Integrat Oceanog Div, Panaji 403004, Goa, India.</t>
  </si>
  <si>
    <t>krushna@nio.org</t>
  </si>
  <si>
    <t>TIWARI, ANOOP KUMAR/AAY-8915-2021</t>
  </si>
  <si>
    <t>Qureshi, Asif/0000-0003-3329-0166</t>
  </si>
  <si>
    <t>SRM Excellence grant 2016-2017; SERB-NPDF fellowship [SERB: PDF/2017/002509]; DST-Inspire grant [IFA-13 EAS-10]</t>
  </si>
  <si>
    <t>SRM Excellence grant 2016-2017; SERB-NPDF fellowship; DST-Inspire grant</t>
  </si>
  <si>
    <t>The authors are thankful to NCPOR, Goa, for expedition logistics and support. The authors would like to thank the Environmental Science and Technology Lab members, SRMIST, for their help in the lab work. Experimental analysis was supported by the SRM Excellence grant 2016-2017 given to PC. This work was supported by the SERB-NPDF fellow-ship (SERB: PDF/2017/002509) to KV, and the DST-Inspire grant (IFA-13 EAS-10) to AQ. This is CSIR-NIO?s contribution reference number:7021.</t>
  </si>
  <si>
    <t>10.1016/j.envpol.2023.121206</t>
  </si>
  <si>
    <t>9C1IJ</t>
  </si>
  <si>
    <t>WOS:000935179200001</t>
  </si>
  <si>
    <t>Giri, Y; Betts, PG; Radhakrishna, M; McLean, MA; Biswal, TK; Armit, RJ</t>
  </si>
  <si>
    <t>Giri, Y.; Betts, P. G.; Radhakrishna, M.; McLean, M. A.; Biswal, T. K.; Armit, R. J.</t>
  </si>
  <si>
    <t>A geophysically constrained crustal element map of East Antarctica between Enderby Land and Princess Elizabeth Land</t>
  </si>
  <si>
    <t>AUSTRALIAN JOURNAL OF EARTH SCIENCES</t>
  </si>
  <si>
    <t>East Antarctica; Enderby Land; aeromagnetic interpretation; Prince Charles Mountains; India-Antarctica correlations</t>
  </si>
  <si>
    <t>ZIRCON U-PB; WESTERN GAWLER CRATON; CHARLES MOUNTAINS; VESTFOLD HILLS; RAYNER COMPLEX; RAUER GROUP; GHATS BELT; OYGARDEN ISLANDS; SINGHBHUM CRATON; OCEANIC PLATEAU</t>
  </si>
  <si>
    <t>East Antarctica along with Greater India played a vital role in the accretion and breakup of the Indo-Antarctic landmasses during the supercontinents Nuna, Rodinia and Gondwana. Without geophysical potential field methods, interpreting the architecture of the ice-covered geological provinces of Antarctica is impossible. We present here a crustal element map of East Antarctica between Enderby Land and Princess Elizabeth Land (Indo-Antarctica tectonic element) using aerogeophysical data interpretation. The data reveal distinct anastomosing geophysical provinces that correlate with sparse geological data. Our crustal element map shows the Oygarden Province and the Northern and Southern Rayner provinces are arcuate belts that wrap around the Archean Napier Province. These provinces represent the remnants of an accretionary tectonic margin, which evolved between ca 1300 Ma and 900 Ma. The arcuate geometry of these Meso- to Neoproterozoic provinces formed during the collision with the Napier Province, which represents a microcontinent. This collision triggered widespread extension and ultra-high temperature metamorphism in the Northern and Southern Rayner provinces. The southernmost provinces include the Fisher Province, Lambert Province and a transition zone. The provinces are truncated by a suture zone with the Archean Ruker Province, following north-dipping subduction during the Meso- to Neoproterozoic. Our interpretation provides a template upon which to correlate geological provinces with the terranes on the conjugate eastern Indian margin.</t>
  </si>
  <si>
    <t>[Giri, Y.] Indian Inst Technol, IITB Monash Res Acad, Mumbai, India; [Giri, Y.; Betts, P. G.; Armit, R. J.] Monash Univ, Sch Earth Atmosphere &amp; Environm, Melbourne, Australia; [Giri, Y.; Radhakrishna, M.; Biswal, T. K.] Indian Inst Technol, Dept Earth Sci, Mumbai, India; [McLean, M. A.] Univ Melbourne, Sch Geog Earth &amp; Atmospher Sci, Melbourne, Australia; [Betts, P. G.] Monash Univ, Sch Earth Atmosphere &amp; Environm, Melbourne, Vic 3800, Australia</t>
  </si>
  <si>
    <t>Indian Institute of Technology System (IIT System); Indian Institute of Technology (IIT) - Bombay; Monash University; Indian Institute of Technology System (IIT System); Indian Institute of Technology (IIT) - Bombay; University of Melbourne; Melbourne Genomics Health Alliance; Monash University</t>
  </si>
  <si>
    <t>Betts, PG (corresponding author), Monash Univ, Sch Earth Atmosphere &amp; Environm, Melbourne, Vic 3800, Australia.</t>
  </si>
  <si>
    <t>peter.betts@monash.edu</t>
  </si>
  <si>
    <t>Munukutla, Radhakrishna/KHC-9250-2024; Betts, Peter G/A-3656-2008; Armit, Robin/C-4795-2017</t>
  </si>
  <si>
    <t>Armit, Robin/0000-0002-2843-8624; Betts, Peter/0000-0002-2088-7433</t>
  </si>
  <si>
    <t>0812-0099</t>
  </si>
  <si>
    <t>1440-0952</t>
  </si>
  <si>
    <t>AUST J EARTH SCI</t>
  </si>
  <si>
    <t>Aust. J. Earth Sci.</t>
  </si>
  <si>
    <t>10.1080/08120099.2023.2169957</t>
  </si>
  <si>
    <t>9X2DH</t>
  </si>
  <si>
    <t>WOS:000929080200001</t>
  </si>
  <si>
    <t>Nopnakorn, P; Zhang, YM; Yang, L; Peng, F</t>
  </si>
  <si>
    <t>Nopnakorn, Potjanicha; Zhang, Yumin; Yang, Lin; Peng, Fang</t>
  </si>
  <si>
    <t>Antarctic Ardley Island terrace - An ideal place to study the marine to terrestrial succession of microbial communities</t>
  </si>
  <si>
    <t>Ardley Island terrace; soil-borne microbial community; maritime Antarctica; amplicon sequencing; marine to terrestrial succession</t>
  </si>
  <si>
    <t>RNA GENE DATABASE; DIVERSITY; BACTERIA; FUNGI; SOILS; ABUNDANCE; DYNAMICS; YEASTS; IMPACT; SILVA</t>
  </si>
  <si>
    <t>The study of chronosequences is an effective tool to study the effects of environmental changes or disturbances on microbial community structures, diversity, and the functional properties of ecosystems. Here, we conduct a chronosequence study on the Ardley Island coastal terrace of the Fildes Peninsula, Maritime Antarctica. The results revealed that prokaryotic microorganism communities changed orderly among the six successional stages. Some marine microbial groups could still be found in near-coastal soils of the late stage (lowest stratum). Animal pathogenic bacteria and stress-resistant microorganisms occurred at the greatest level with the longest succession period. The main driving factors for the succession of bacteria, archaea, and fungi along Ardley Island terrace were found through Adonis analysis (PERMANOVA). During analysis, soil elements Mg, Si, and Na were related to the bacterial and archaeal community structure discrepancies, while Al, Ti, K, and Cl were related to the fungal community structure discrepancies. On the other hand, other environmental factors also play an important role in the succession of microbial communities, which could be different among each microorganism. The succession of bacterial communities is greatly affected by pH and water content; archaeal communities are greatly affected by NH4+; fungal communities are affected by nutrients such as NO3-. In the analysis of the characteristic microorganisms along terrace, the succession of microorganisms was found to be influenced by complex and comprehensive factors. For instance, environmental instability, relationship with plants and ecological niches, and environmental tolerance. The results found that budding reproduction and/or with filamentous appendages bacteria were enriched in the late stage, which might be connected to its tolerance to rapid changes and barren environments. In addition, the decline in ammonia oxidation capacity of Thaumarchaeota archaeade with succession and the evolution of the fungi-plant relationship throughout classes were revealed. Overall, this research improves the understanding of the effect of the marine-to-terrestrial transition of the Ardley Island terrace on microbial communities. These findings will lay the foundation for more in-depth research regarding microbial adaptations and evolutionary mechanisms throughout the marine-terrestrial transition in the future.</t>
  </si>
  <si>
    <t>[Nopnakorn, Potjanicha; Zhang, Yumin; Yang, Lin; Peng, Fang] Wuhan Univ, Coll Life Sci, China Ctr Type Culture Collect CCTCC, Wuhan, Peoples R China</t>
  </si>
  <si>
    <t>CHEN, AN/KFT-3370-2024; Zhang, Han/JMR-0670-2023; li, Shang/KHU-3233-2024</t>
  </si>
  <si>
    <t>National Key R&amp;D Program of China [2022YFC2807500]; R and D Infrastructure and Facility Development Programme of the Ministry of Science and Technology of the People's Republic of China [NIMR-2020-8]; National Natural Science Foundation of China [42076230]; Chinese Polar Scientific Strategy Research Fund [IC201706]</t>
  </si>
  <si>
    <t>National Key R&amp;D Program of China; R and D Infrastructure and Facility Development Programme of the Ministry of Science and Technology of the People's Republic of China; National Natural Science Foundation of China(National Natural Science Foundation of China (NSFC)); Chinese Polar Scientific Strategy Research Fund</t>
  </si>
  <si>
    <t>This work was supported by the National Key R&amp;D Program of China (2022YFC2807500) the R and D Infrastructure and Facility Development Programme of the Ministry of Science and Technology of the People's Republic of China (Grant number NIMR-2020-8), the National Natural Science Foundation of China (Grant number 42076230), and the Chinese Polar Scientific Strategy Research Fund (IC201706).</t>
  </si>
  <si>
    <t>FEB 6</t>
  </si>
  <si>
    <t>10.3389/fmicb.2023.942428</t>
  </si>
  <si>
    <t>9D3RU</t>
  </si>
  <si>
    <t>WOS:000936018600001</t>
  </si>
  <si>
    <t>Hock, R; Maussion, F; Marzeion, B; Nowicki, S</t>
  </si>
  <si>
    <t>Hock, Regine; Maussion, Fabien; Marzeion, Ben; Nowicki, Sophie</t>
  </si>
  <si>
    <t>What is the global glacier ice volume outside the ice sheets?</t>
  </si>
  <si>
    <t>Glacier mapping; glacier mass balance; glacier volume; ice-sheet mass balance</t>
  </si>
  <si>
    <t>SURFACE MASS-BALANCE; SPATIAL SENSITIVITIES; ENVIRONMENTAL-CHANGE; BRIEF-COMMUNICATION; COMPLETE INVENTORY; MODEL; CAPS; GREENLAND; MOUNTAIN; INSIGHTS</t>
  </si>
  <si>
    <t>A recent study (Millan and others, 2022a, Nature Geoscience 15(2), 124-129) claims that ice volume contained in all glaciers outside the ice sheets and its potential contribution to sea level is 20% less than previously estimated. However, the apparent decrease is largely due to differences in choice of domain, as the study excludes 80% of the glacier area in the Antarctic periphery that was included in previous global glacier volume estimates. The issue highlights the difficulty in separating glaciers from the ice-sheet proper, especially in Antarctica, and the need for both the glacier and ice-sheet communities to develop standards and protocols to avoid double-counting in global ice volume and mass-change assessments and projections. Process-based inversion models have replaced earlier scaling methods, but large uncertainties in global glacier volume estimation remain due to the ill-posed nature of the inversion problem and poorly constrained parameters emphasizing the need for more direct ice thickness observations.</t>
  </si>
  <si>
    <t>[Hock, Regine] Univ Oslo, Dept Geosci, Oslo, Norway; [Hock, Regine] Univ Alaska, Geophys Inst, Fairbanks, AK 99775 USA; [Maussion, Fabien] Univ Innsbruck, Dept Atmospher &amp; Cryospher Sci ACINN, Innsbruck, Austria; [Marzeion, Ben] Univ Bremen, Inst Geog, Bremen, Germany; [Marzeion, Ben] Univ Bremen, MARUM Ctr Marine Environm Sci, Bremen, Germany; [Nowicki, Sophie] Univ Buffalo, Dept Geol, Buffalo, NY USA</t>
  </si>
  <si>
    <t>University of Oslo; University of Alaska System; University of Alaska Fairbanks; University of Innsbruck; University of Bremen; University of Bremen; State University of New York (SUNY) System; State University of New York (SUNY) Buffalo</t>
  </si>
  <si>
    <t>Hock, R (corresponding author), Univ Oslo, Dept Geosci, Oslo, Norway.;Hock, R (corresponding author), Univ Alaska, Geophys Inst, Fairbanks, AK 99775 USA.</t>
  </si>
  <si>
    <t>regineho@uio.no</t>
  </si>
  <si>
    <t>Maussion, Fabien/B-9814-2013; Marzeion, Ben/G-6514-2013; Hock, Regine/C-6179-2013</t>
  </si>
  <si>
    <t>Maussion, Fabien/0000-0002-3211-506X;</t>
  </si>
  <si>
    <t>NASA [80NSSC20K1296, 80NSSC17K0566]; Research Council of Norway (RCN); Austrian Science Fund FWF [324131]; [P30256]</t>
  </si>
  <si>
    <t>NASA(National Aeronautics &amp; Space Administration (NASA)); Research Council of Norway (RCN)(Research Council of Norway); Austrian Science Fund FWF(Austrian Science Fund (FWF));</t>
  </si>
  <si>
    <t>R.H. was supported by NASA grant 80NSSC20K1296 and 80NSSC17K0566, and grant No. 324131 from the Research Council of Norway (RCN). F.M. was supported by the Austrian Science Fund FWF grant P30256. We thank Tad Pfeffer, David Bahr and an anonymous reviewer for valuable comments on the manuscript, and chief editor Hester Jiskoot for handling this paper. We also thank R. Millan for providing additional information for Table 1 and Figure 2 not available in their publication. Eric Petersen checked the language.</t>
  </si>
  <si>
    <t>PII S0022143023000011</t>
  </si>
  <si>
    <t>10.1017/jog.2023.1</t>
  </si>
  <si>
    <t>H5AN0</t>
  </si>
  <si>
    <t>WOS:000926315100001</t>
  </si>
  <si>
    <t>Headland, RK</t>
  </si>
  <si>
    <t>Headland, Robert Keith</t>
  </si>
  <si>
    <t>Portugal in Antarctic History</t>
  </si>
  <si>
    <t>Antarctic; Portugal; Peri-Antarctic Islands; Sealing; Whaling; Antarctic Treaty; Scientific Committee on Antarctic Research</t>
  </si>
  <si>
    <t>Approximately five centuries of the involvement of Portugal in Antarctic regions is described. Discoveries, the sealing and whaling industries, and modern developments are discussed.</t>
  </si>
  <si>
    <t>[Headland, Robert Keith] Scott Polar Res Inst, Cambridge, England</t>
  </si>
  <si>
    <t>University of Cambridge</t>
  </si>
  <si>
    <t>Headland, RK (corresponding author), Scott Polar Res Inst, Cambridge, England.</t>
  </si>
  <si>
    <t>rkh10@cam.ac.uk</t>
  </si>
  <si>
    <t>e11</t>
  </si>
  <si>
    <t>10.1017/S0032247422000353</t>
  </si>
  <si>
    <t>8M8UC</t>
  </si>
  <si>
    <t>WOS:000924732500001</t>
  </si>
  <si>
    <t>Schultz, H; Battley, PF; Bury, SJ; Chang, KV; Ismar-Rebitz, SMH; Gaskett, AC; Dennis, TE; Hohnhold, RJ; Taylor, GA; Scofield, RP; Rayner, MJ; Tennyson, AJD; Hemmings, AD; Millar, CD</t>
  </si>
  <si>
    <t>Schultz, Hendrik; Battley, Phil F. F.; Bury, Sarah J. J.; Chang, Kevin; Ismar-Rebitz, Stefanie M. H.; Gaskett, Anne C. C.; Dennis, Todd E. E.; Hohnhold, Rebecca J. J.; Taylor, Graeme A. A.; Paul Scofield, R.; Rayner, Matt J. J.; Tennyson, Alan J. D.; Hemmings, Alan D. D.; Millar, Craig D. D.</t>
  </si>
  <si>
    <t>Non-breeding behaviour in the Brown Skua (Stercorarius antarcticus lonnbergi): insights from modelling moulting patterns and stable isotope analyses</t>
  </si>
  <si>
    <t>EMU-AUSTRAL ORNITHOLOGY</t>
  </si>
  <si>
    <t>Diet; delta C-13 and delta N-15; migration; seabird; Stercorariidae</t>
  </si>
  <si>
    <t>CHATHAM ISLANDS; MIGRATION STRATEGIES; TROPHIC POSITION; GREAT SKUAS; DELTA-C-13; DELTA-N-15; FEATHERS; MARINE; RESIDENT; SEABIRDS</t>
  </si>
  <si>
    <t>Long-term changes in the life history and behaviour of seabirds during the non-breeding season can reflect shifts in environmental conditions. However, long-term marine studies are scarce, particularly on southern hemisphere seabirds. Here, we used moult scores from 86 Brown Skuas (Stercorarius antarcticus lonnbergi), a large predatory seabird breeding on the Chatham Islands, Aotearoa/New Zealand to model both the timing and duration of primary feather moult. In addition, we analysed stable isotope values (delta C-13 and delta N-15) from 62 modern (2014-16) and ten museum tail feathers. These data provide insights into the non-breeding behaviour of Brown Skua. Interestingly, our results show that the primary feather moult occurred prior to birds departing the colony, starting on average on 2 January +/- 5 days (SE). The average start of primary feather moult occurred five days prior to the end of breeding (7 January +/- 10 days (SD)) and 42 days before the birds departed the colony (13 February +/- 11 days (SD)). The average duration of primary feather moult was 189 +/- 14 days (SE). Importantly, low delta C-13 values in four females suggested that tail feather moult might also occur while skuas are at the colony. There was no difference in tail feather delta C-13 and delta N-15 values between any pairwise comparison of modern and museum years. However, values of delta N-15 from tail feathers sampled in 2014 were different from those sampled in 2015 and 2016. This large annual variation in delta N-15 values from tail feathers over such a short period makes long-term comparisons difficult to interpret, particularly between years with low sample sizes. While the stable isotope analyses of tail feathers are informative, we recommend future studies of skuas sample the primary coverts rather than tail feathers.</t>
  </si>
  <si>
    <t>[Schultz, Hendrik; Chang, Kevin; Ismar-Rebitz, Stefanie M. H.; Gaskett, Anne C. C.; Dennis, Todd E. E.; Hohnhold, Rebecca J. J.; Rayner, Matt J. J.; Millar, Craig D. D.] Univ Auckland, Sch Biol Sci, Auckland, New Zealand; [Schultz, Hendrik; Taylor, Graeme A. A.] Te Papa Atawhai, Dept Conservat, Wellington, New Zealand; [Battley, Phil F. F.] Massey Univ, Sch Agr &amp; Environm, Wildlife &amp; Ecol Grp, Palmerston North, New Zealand; [Bury, Sarah J. J.] Natl Inst Water &amp; Atmospher Res Ltd, Environm &amp; Ecol Stable Isotope Analyt Facil, Wellington, New Zealand; [Ismar-Rebitz, Stefanie M. H.] GEOMAR Helmholtz Ctr Ocean Res, Kiel, Germany; [Dennis, Todd E. E.] Fiji Natl Univ, Dept Biol, Suva, Fiji; [Paul Scofield, R.] Canterbury Museum, Christchurch, New Zealand; [Rayner, Matt J. J.] Auckland War Mem Museum, Auckland, New Zealand; [Tennyson, Alan J. D.] Museum New Zealand Te Papa Tongarewa, Nat Hist Dept, Wellington, New Zealand; [Hemmings, Alan D. D.] Univ Canterbury, Gateway Antarctica Ctr Antarctic Studies &amp; Res, Christchurch, New Zealand</t>
  </si>
  <si>
    <t>University of Auckland; Massey University; National Institute of Water &amp; Atmospheric Research (NIWA) - New Zealand; Helmholtz Association; GEOMAR Helmholtz Center for Ocean Research Kiel; Fiji National University (FNU); University of Canterbury</t>
  </si>
  <si>
    <t>Schultz, H (corresponding author), Univ Auckland, Sch Biol Sci, Auckland, New Zealand.</t>
  </si>
  <si>
    <t>hsch167@aucklanduni.ac.nz</t>
  </si>
  <si>
    <t>Bury, Sarah/JLN-0810-2023; Scofield, Richard/A-4271-2011</t>
  </si>
  <si>
    <t>Scofield, Richard/0000-0002-7510-6980; Schultz, Hendrik/0000-0001-8926-2100; Battley, Phil/0000-0002-8590-8098; Taylor, Graeme/0000-0001-9546-4980</t>
  </si>
  <si>
    <t>New Zealand International Doctoral Research Scholarship; University of Auckland; Birds New Zealand Research Fund; James Sharon Watson Conservation Trust</t>
  </si>
  <si>
    <t>This work was supported by a New Zealand International Doctoral Research Scholarship; The University of Auckland; the Birds New Zealand Research Fund and the James Sharon Watson Conservation Trust.</t>
  </si>
  <si>
    <t>TAYLOR &amp; FRANCIS AUSTRALIA</t>
  </si>
  <si>
    <t>MELBOURNE</t>
  </si>
  <si>
    <t>LEVEL 2, 11 QUEENS RD, MELBOURNE, VIC 3004, AUSTRALIA</t>
  </si>
  <si>
    <t>0158-4197</t>
  </si>
  <si>
    <t>1448-5540</t>
  </si>
  <si>
    <t>EMU</t>
  </si>
  <si>
    <t>Emu</t>
  </si>
  <si>
    <t>JAN 2</t>
  </si>
  <si>
    <t>10.1080/01584197.2022.2161914</t>
  </si>
  <si>
    <t>9E5UE</t>
  </si>
  <si>
    <t>WOS:000927003000001</t>
  </si>
  <si>
    <t>Nirmala, K; Rangasamy, G; Ramya, M; Shankar, VU; Rajesh, G</t>
  </si>
  <si>
    <t>Nirmala, K.; Rangasamy, Gayathri; Ramya, M.; Shankar, V. Uma; Rajesh, G.</t>
  </si>
  <si>
    <t>A critical review on recent research progress on microplastic pollutants in drinking water</t>
  </si>
  <si>
    <t>Microplastics; Drinking water; Bioaccumulation; Pollution; Fresh water source</t>
  </si>
  <si>
    <t>PLASTIC RESIN PELLETS; 3 GORGES RESERVOIR; SURFACE WATERS; MARINE-ENVIRONMENT; HUMAN HEALTH; PEARL RIVER; FOOD-CHAIN; POLLUTION; LAKE; PARTICLES</t>
  </si>
  <si>
    <t>Plastic pollution is an emerging issue in recent days. Persistent plastic particles reach the atmosphere, land and water by multiple pathways. Research has confirmed that the existence of plastic particles is found surprisingly everywhere, from the Artic to the Antarctic region. The probability of ingestion of plastic by all living forms is quite natural, as the whole planet's environment is polluted with microplastic particles. The bioaccumulation of microplastics is a threat and the consequences for living beings are yet to be explored. Microplastics present in different drinking water sources like rivers, lakes, treatment units etc. are studied by several researchers, covering various aspects. Research carried out by various scientists on the microplastics in different drinking water sources is highlighted in this review. In view of the previous research carried out on various aspects of microplastic particles, the necessity of a uniform protocol for qualitative and quantitative analysis of microplastic is ascertained. Microplastic pollution is an ongoing environmental concern, it must be addressed and research should be expanded.</t>
  </si>
  <si>
    <t>[Nirmala, K.; Ramya, M.; Shankar, V. Uma; Rajesh, G.] Sri Sivasubramaniya Nadar Coll Engn, Dept Chem Engn, Chennai 603110, India; [Nirmala, K.; Ramya, M.; Shankar, V. Uma; Rajesh, G.] Sri Sivasubramaniya Nadar Coll Engn, Ctr Excellence Water Res CEWAR, Chennai 603110, India; [Rangasamy, Gayathri] Lebanese Amer Univ, Sch Engn, Byblos, Lebanon; [Rangasamy, Gayathri] SIMATS, Saveetha Sch Engn, Inst Biotechnol, Dept Sustainable Engn, Chennai 602105, India</t>
  </si>
  <si>
    <t>SSN College of Engineering; SSN College of Engineering; Lebanese American University; Saveetha Institute of Medical &amp; Technical Science; Saveetha School of Engineering</t>
  </si>
  <si>
    <t>Rangasamy, G (corresponding author), Lebanese Amer Univ, Sch Engn, Byblos, Lebanon.;Rangasamy, G (corresponding author), SIMATS, Saveetha Sch Engn, Inst Biotechnol, Dept Sustainable Engn, Chennai 602105, India.</t>
  </si>
  <si>
    <t>granga1983@gmail.com</t>
  </si>
  <si>
    <t>V, Uma Shankar/JZT-9977-2024; Rangasamy, Gayathri/HGB-5201-2022</t>
  </si>
  <si>
    <t>V, Uma Shankar/0000-0003-1989-8263;</t>
  </si>
  <si>
    <t>10.1016/j.envres.2023.115312</t>
  </si>
  <si>
    <t>8W6SU</t>
  </si>
  <si>
    <t>WOS:000931460800001</t>
  </si>
  <si>
    <t>Syrota, YY; Kuzmin, YI; Lisitsyna, OI; Salganskiy, OO; Dykyy, IV; Korol, EM; du Preez, LH; Dmytrieva, IG; Kuzmina, TA</t>
  </si>
  <si>
    <t>Syrota, Yaroslav Y.; Kuzmin, Yuriy I.; Lisitsyna, Olga I.; Salganskiy, Oleksander O.; Dykyy, Ihor V.; Korol, Eleonora M.; du Preez, Louis H.; Dmytrieva, Ivanna G.; Kuzmina, Tetiana A.</t>
  </si>
  <si>
    <t>Infection patterns of helminth community in black rockcod Notothenia coriiceps in West Antarctica over a 6-year term</t>
  </si>
  <si>
    <t>PARASITOLOGY RESEARCH</t>
  </si>
  <si>
    <t>Antarctic black rockcod; Helminths; Component community; Infracommunity; Ukrainian Antarctic station</t>
  </si>
  <si>
    <t>SOUTH-SHETLAND ISLANDS; KING GEORGE ISLAND; CLIMATE-CHANGE; ADMIRALTY BAY; GOBIONOTOTHEN-GIBBERIFRONS; AKADEMIK VERNADSKY; ARGENTINE ISLANDS; TELEOST FISHES; LIFE-CYCLE; DIVERSITY</t>
  </si>
  <si>
    <t>Patterns of the rockcod Notothenia coriiceps infection with helminths were analysed to understand the dynamics of parasite communities in this Antarctic fish and to test their stability over time. The study was performed using helminth samples collected from 183 N. coriiceps in 2014-2015 and 2020-2021 in the vicinity of the Ukrainian Antarctic station (UAS) Akademik Vernadsky, Galindez Island, Argentine Islands, West Antarctica. Overall, 25 helminth taxonomical categories (nine trematodes, four cestodes, five nematodes, and seven acanthocephalans) were subjected to analysis. A direct comparison of the helminth population characteristics showed that nine species significantly changed their infection parameters during the 6 years between the samples. Seven of them (Pseudoterranova sp., Contracaecum sp., Ascarophis nototheniae, monolocular metacestodes, bilocular metacestodes, Metacanthocephalus rennicki, and Diphyllobothrium sp.) were found to have a significant impact on the differences between helminth infracommunities in 2014-2015 and 2020-2021. Most studied patterns of helminth component community appeared to show a stable tendency, and observed fluctuations were close to the steady trend. Slight but significant changes in the infection patterns observed in this study might have been caused by changes in the populations of intermediate, paratenic, and definitive hosts of helminths (marine invertebrates, mammals, and birds), which participate in helminth transmission in Antarctic ecosystems.</t>
  </si>
  <si>
    <t>[Syrota, Yaroslav Y.; Kuzmin, Yuriy I.; Lisitsyna, Olga I.; Dmytrieva, Ivanna G.; Kuzmina, Tetiana A.] NAS Ukraine, II Schmalhausen Inst Zool, 15 Bogdan Khmelnytskyi St, UA-01030 Kiev, Ukraine; [Syrota, Yaroslav Y.; Kuzmin, Yuriy I.; du Preez, Louis H.] North West Univ, Unit Environm Sci &amp; Management, African Amphibian Conservat Res Grp, Potchefstroom, South Africa; [Salganskiy, Oleksander O.] State Inst Natl Antarctic Sci Ctr, Taras Shevchenko Blvd 16, UA-02000 Kiev, Ukraine; [Dykyy, Ihor V.] Ivan Franko Natl Univ Lviv, 4 Grushevsky St, UA-79005 Lvov, Ukraine; [Korol, Eleonora M.] NAS Ukraine, Natl Museum Nat Hist, 15 Bogdan Khmelnytskyi St, UA-01030 Kiev, Ukraine; [du Preez, Louis H.] South African Inst Aquat Biodivers, Makhanda, South Africa</t>
  </si>
  <si>
    <t>National Academy of Sciences Ukraine; Schmalhausen Institute of Zoology of NASU; North West University - South Africa; Ministry of Education &amp; Science of Ukraine; State Institution National Antarctic Scientific Center; Ministry of Education &amp; Science of Ukraine; Ivan Franko National University Lviv; National Academy of Sciences Ukraine; National Museum of Natural History, NAS of Ukraine; National Research Foundation - South Africa; South African Institute for Aquatic Biodiversity</t>
  </si>
  <si>
    <t>Kuzmina, TA (corresponding author), NAS Ukraine, II Schmalhausen Inst Zool, 15 Bogdan Khmelnytskyi St, UA-01030 Kiev, Ukraine.</t>
  </si>
  <si>
    <t>taniak@izan.kiev.ua</t>
  </si>
  <si>
    <t>Syrota, Yararoslav/A-5743-2019; Kuzmin, Yuriy/H-1736-2015; Korol, Eleonora/O-4148-2016; Kuzmina, Tetiana/A-5457-2019</t>
  </si>
  <si>
    <t>Syrota, Yararoslav/0000-0002-8070-9823; Kuzmin, Yuriy/0000-0002-1723-1265; Lisitsyna, Olga/0000-0002-2975-3300; Korol, Eleonora/0000-0002-4061-5179; Dmytrieva, Ivanna/0000-0002-7907-4111; Dykyy, Ihor/0000-0003-3625-8567; Kuzmina, Tetiana/0000-0002-5054-4757; Du Preez, Louis Heyns/0000-0002-3332-6053</t>
  </si>
  <si>
    <t>National Research Foundation of Ukraine [2020.02/0074]; National Antarctic Scientific Center of the Ministry of Education and Science of Ukraine [H/03-2021]</t>
  </si>
  <si>
    <t>National Research Foundation of Ukraine; National Antarctic Scientific Center of the Ministry of Education and Science of Ukraine</t>
  </si>
  <si>
    <t>This study was partially supported by the National Research Foundation of Ukraine (Project Number 2020.02/0074) and the National Antarctic Scientific Center of the Ministry of Education and Science of Ukraine (Projects H/03-2021).</t>
  </si>
  <si>
    <t>0932-0113</t>
  </si>
  <si>
    <t>1432-1955</t>
  </si>
  <si>
    <t>PARASITOL RES</t>
  </si>
  <si>
    <t>Parasitol. Res.</t>
  </si>
  <si>
    <t>10.1007/s00436-023-07785-8</t>
  </si>
  <si>
    <t>Parasitology</t>
  </si>
  <si>
    <t>9M8AG</t>
  </si>
  <si>
    <t>WOS:000925341200001</t>
  </si>
  <si>
    <t>González-Herrero, S; Vasallo, F; Bech, J; Gorodetskaya, I; Elvira, B; Justel, A</t>
  </si>
  <si>
    <t>Gonzalez-Herrero, Sergi; Vasallo, Francisco; Bech, Joan; Gorodetskaya, Irina; Elvira, Benito; Justel, Ana</t>
  </si>
  <si>
    <t>Extreme precipitation records in Antarctica</t>
  </si>
  <si>
    <t>Antarctica; atmospheric rivers; extreme precipitation; scaling law; weather records</t>
  </si>
  <si>
    <t>SURFACE MASS-BALANCE; ICE-SHEET; RAINFALL; CLIMATE; REPRESENTATION; ACCUMULATION; EVENTS; MODELS</t>
  </si>
  <si>
    <t>Monitoring extreme precipitation records (EPRs), that is, the most extreme precipitation events, is a challenge in Antarctica due to the reduced number of stations available in the continent and the limitations of the instrumentation for measuring solid precipitation. Still, extreme precipitation events may contribute substantially to the variability of ice sheet snow accumulation and even may cause important ecological impacts. This article presents the Antarctic EPRs at different temporal scales, studying the relationship between precipitation amount and temporal duration through a power scaling law, ranging from 1 day to 2 years. This is achieved using precipitation datasets from the ERA5 reanalysis and the RACMO2 regional climate model. Moreover, we present a selection of EPRs case studies examining the synoptic mechanisms that produce such events in Antarctica. Despite ERA5 EPRs are usually lower than those found in RACMO2, they present similar scaling exponents. EPRs are found in Loubet and south Graham Coasts, in the central section of the Antarctic Peninsula, and in the north of Alexander Island, where orographic enhancement increases precipitation amounts. As expected, Antarctic EPRs are much lower than world-wide EPRs, ranging from 6 to 10% at short temporal scales (from 1 to 10 days) and from 10 to 20% at long temporal scales (from 90 days to 2 years) in ERA5. Regional variability of extreme precipitation scaling exponents show similar spatial patterns than previously calculated precipitation concentration. On the other hand, the lack of summer events in Antarctic EPRs evidences that stronger fluxes in winter play a key role on extreme precipitation during EPR events, which are mainly produced by long-range transport of moisture by atmospheric rivers impinging on Antarctic mountains.</t>
  </si>
  <si>
    <t>[Gonzalez-Herrero, Sergi; Bech, Joan] Univ Barcelona, Dept Appl Phys Meteorol, Barcelona, Spain; [Gonzalez-Herrero, Sergi; Vasallo, Francisco; Elvira, Benito] Spanish Meteorol Agcy AEMET, Antarctic Grp, Madrid, Spain; [Gonzalez-Herrero, Sergi] WSL Inst Snow &amp; Avalanche Res SLF, Davos, Switzerland; [Bech, Joan] Univ Barcelona, Water Res Inst, Barcelona, Spain; [Gorodetskaya, Irina] Univ Aveiro, Ctr Environm &amp; Marine Studies CESAM, Dept Phys, Aveiro, Portugal; [Gorodetskaya, Irina] Univ Porto, Interdisciplinary Ctr Marine &amp; Environm Res CIIMA, Matosinhos, Portugal; [Justel, Ana] Univ Autonoma Madrid, Dept Math, Madrid, Spain</t>
  </si>
  <si>
    <t>University of Barcelona; Agencia Estatal de Meteorologia (AEMET); Swiss Federal Institutes of Technology Domain; Swiss Federal Institute for Forest, Snow &amp; Landscape Research; University of Barcelona; Universidade de Aveiro; Universidade do Porto; Autonomous University of Madrid</t>
  </si>
  <si>
    <t>González-Herrero, S (corresponding author), WSL Inst Snow &amp; Avalanche Res SLF, Fluelastr 11, CH-7260 Davos, Switzerland.</t>
  </si>
  <si>
    <t>sergi.gonzalez@slf.ch</t>
  </si>
  <si>
    <t>Gonzalez-Herrero, Sergi/Y-7279-2018; Justel, Ana/A-3955-2010; Bech, Joan/A-8408-2008</t>
  </si>
  <si>
    <t>Gonzalez-Herrero, Sergi/0000-0002-2505-2435; Justel, Ana/0000-0003-3335-0579; Bech, Joan/0000-0003-3597-7439</t>
  </si>
  <si>
    <t>Agencia Estatal de Investigacion; European Regional Development Fund [CGL2015-65627-C3-1-R, CGL2015-65627-C3-2-R, RTI2018-098693-B-C32, PID2020-116520RB-I00]; Generalitat de Catalunya; Ministerio da Ciencia, Tecnologia e Inovacao; Fundacao para a Ciencia e a Tecnologia [CIRCNA/CAC/0273/2019, UIDP/04423/2020, UIDB/04423/2020, LA/P/0094/2020, UIDB/50017/2020, UIDP/50017/2020]</t>
  </si>
  <si>
    <t>Agencia Estatal de Investigacion; European Regional Development Fund(European Union (EU)); Generalitat de Catalunya(Generalitat de Catalunya); Ministerio da Ciencia, Tecnologia e Inovacao(Spanish Government); Fundacao para a Ciencia e a Tecnologia(Fundacao para a Ciencia e a Tecnologia (FCT))</t>
  </si>
  <si>
    <t>Agencia Estatal de Investigacion; European Regional Development Fund, Grant/Award Numbers: CGL2015-65627-C3-1-R, CGL2015-65627-C3-2-R, RTI2018-098693-B-C32, PID2020-116520RB-I00; Generalitat de Catalunya; Ministerio da Ciencia, Tecnologia e Inovacao; Fundacao para a Ciencia e a Tecnologia, Grant/Award Numbers: CIRCNA/CAC/0273/2019, UIDP/04423/2020, UIDB/04423/2020, LA/P/0094/2020, UIDB/50017/2020, UIDP/50017/2020</t>
  </si>
  <si>
    <t>10.1002/joc.8020</t>
  </si>
  <si>
    <t>H8TM7</t>
  </si>
  <si>
    <t>WOS:000932662700001</t>
  </si>
  <si>
    <t>Anderson, DW; Saal, AE; Lee, J; Mallick, S; Riley, TR; Keller, RA; Haase, KM</t>
  </si>
  <si>
    <t>Anderson, D. W.; Saal, A. E.; Lee, J. I.; Mallick, S.; Riley, T. R.; Keller, R. A.; Haase, K. M.</t>
  </si>
  <si>
    <t>Tracing mantle components and the effect of subduction processes beneath the northern Antarctic Peninsula</t>
  </si>
  <si>
    <t>Bransfield Strait; Phoenix Ridge; Subduction; Back-arc basin; Geochemistry</t>
  </si>
  <si>
    <t>SOUTH SHETLAND ISLANDS; BRANSFIELD STRAIT; PHOENIX RIDGE; BACK-ARC; TECTONIC EVOLUTION; SPREADING CENTER; ALKALIC BASALTS; INITIAL-STAGES; DRAKE PASSAGE; ELEMENT</t>
  </si>
  <si>
    <t>Understanding subduction processes is critical in assessing the long-term evolution of the upper mantle and continental crust. We present new geochemical data on glassy submarine lavas from the Bransfield Strait, the Phoenix and West Scotia ridges, and previously unpublished data of marine sediments from atop the Phoenix Plate. We combined new and published geochemical data from across the northern sec-tor of the Antarctic Peninsula to unravel both large-scale mantle composition and flow across the region. The geochemistry of Phoenix and West Scotia Ridge basalts supports the hypothesis that both ridges are underlain by Pacific MORB mantle, brought into the region through the eastward expansion of the Scotia Plate. Comparisons among lavas from the Phoenix/West Scotia ridges, the South Shetland Islands volcanic arc, and the Bransfield Strait/Prince Gustav Rift back-arc region reveal that the Pacific upper mantle flo-wed into the mantle wedge and was subsequently modified by subduction processes. The compositions of Bransfield Strait lavas range from strongly subduction-influenced near the strait's center to akin to Phoenix Ridge MORB toward the strait's edges. This suggests that the Phoenix MORB mantle has flowed around the slab edges into the mantle wedge, diluting the subduction signal and focusing the subduction-modified mantle towards the center of the strait. Monte Carlo simulations indicate that mixing of Phoenix MORB mantle with 0 to 3 % subduction component having a fluid/sediment ratio of-1 can explain the compositional range in the Bransfield Strait. Furthermore, our modeling suggests the presence of a more depleted Phoenix MORB mantle beneath the South Shetland Islands modified by the addition of-3 % sub-duction component with a fluid/sediment ratio ranging from-0.18 to 4. The increase in fluid/sediment ratios in the South Shetland Island lavas corresponds to a spatiotemporal progression of volcanism from the southwest (40-140 Ma) to the northeast (30-60 Ma). Finally, we have identified a set of lavas with unique trace element and isotope compositions typical of alkaline volcanism found across other parts of the Antarctic Peninsula. Surprisingly, we find occurrences of these lavas on both sides of the South Shetland Trench, suggesting the presence of a distinct enriched source in the upper mantle throughout the region.(c) 2022 Elsevier Ltd. All rights reserved.</t>
  </si>
  <si>
    <t>[Anderson, D. W.; Saal, A. E.; Mallick, S.] Brown Univ, Dept Earth Environm &amp; Planetary Sci, Providence, RI 02912 USA; [Lee, J. I.] Korea Polar Res Inst, 26 Songdomirae Ro, Incheon, South Korea; [Riley, T. R.] British Antarctic Survey, High Cross,Madingley Rd, Cambridge CB3 0ET, England; [Keller, R. A.] Oregon State Univ, Coll Ocean &amp; Atmospher Sci, Corvallis, OR 97331 USA; [Haase, K. M.] Univ Erlangen Nurnberg, Geozent Nordbayern, Schlossgarten 5, D-91054 Erlangen, Germany</t>
  </si>
  <si>
    <t>Brown University; Korea Polar Research Institute (KOPRI); UK Research &amp; Innovation (UKRI); Natural Environment Research Council (NERC); NERC British Antarctic Survey; Oregon State University; University of Erlangen Nuremberg</t>
  </si>
  <si>
    <t>Anderson, DW (corresponding author), Brown Univ, Dept Earth Environm &amp; Planetary Sci, Providence, RI 02912 USA.</t>
  </si>
  <si>
    <t>danny_anderson@brown.edu</t>
  </si>
  <si>
    <t>Riley, Teal/0000-0002-3333-5021; Anderson, Danny/0000-0002-9769-7929</t>
  </si>
  <si>
    <t>NSF OPP-ANT Earth Sciences [1643494]</t>
  </si>
  <si>
    <t>NSF OPP-ANT Earth Sciences</t>
  </si>
  <si>
    <t>We would like to thank Joe Boesenberg for his assistance with the electron microprobe analyses and Colleen Dalton for her help with estimating past relative motions of the Antarctic and Phoenix plates. Kurt Panter, Catherine Chauvel, and an anonymous reviewer are thanked for their helpful reviews, and Rosemary Hickey-Vargas is thanked for her editorial handling. This study was supported by NSF OPP-ANT Earth Sciences 1643494 to AES.</t>
  </si>
  <si>
    <t>10.1016/j.gca.2022.11.018</t>
  </si>
  <si>
    <t>C9LC7</t>
  </si>
  <si>
    <t>WOS:000965040300001</t>
  </si>
  <si>
    <t>Wang, W; Shen, YZ; Chen, QJ; Chen, TY</t>
  </si>
  <si>
    <t>Wang, Wei; Shen, Yunzhong; Chen, Qiujie; Chen, Tianyi</t>
  </si>
  <si>
    <t>One-degree resolution mascon solution over Antarctic derived from GRACE Level-2 data</t>
  </si>
  <si>
    <t>satellite gravity; time variable gravity; GRACE; Antarctica; inverse theory</t>
  </si>
  <si>
    <t>ISOSTATIC-ADJUSTMENT MODEL; SURFACE MASS-BALANCE; ICE-SHEET; LEAKAGE ERROR; GREENLAND; REGULARIZATION; ACCELERATION; CLIMATE</t>
  </si>
  <si>
    <t>The mass loss of the Antarctic Ice Sheet (AIS) is an important contributor to global sea-level rise in response to the warming ocean and atmospheric temperatures as well as the changes in current systems and precipitation patterns. In this study, a regional mascon method is developed to squeeze more mass change signals, in which the pseudo-observations of the geopotential are generated from the unfiltered GRACE Level-2 data whereas the regularization matrix is constructed with the prior information derived from filtered GRACE Level-2 data. A series of mascon solutions with 1 degrees x 1 degrees equal-area resolution over AIS is derived from the updated Tongji-Grace2018 model spanning April 2002 to December 2016. Compared to the filtering results from P4M6 decorrelation and 100 km Gaussian filtering, our mascon solutions can effectively suppress the strips, improve the spatial resolution over AIS, and get a stronger signal with an improvement of 116.86% in the Antarctic Peninsula Ice Sheet (APIS), and more coincide with the features of glaciers and ice streams, such as the most striking ice mass loss in Totten, Getz, Thwaites and Pine Island, and the ice mass gain in Kamb Ice Stream. During the period from 2002 to 2016, the mass change rates from our mascon solution are -103.6 +/- 5.6 Gt/ yr, 63.0 +/- 4.3 Gt/yr, -143.3 +/- 4.9 Gt/yr and -23.29 +/- 1.2 Gt/yr in AIS, East AIS, West AIS, and APIS, respectively. The mass change signals at the basin scale are with even more distinguishing features, with the highest mass gain rates of 18.03 +/- 1.88 Gt/yr and 14.55 +/- 0.60 Gt/yr at Basin 7 and Basin 18, and the highest mass loss rates of -58.57 +/- 2.48 Gt/yr and -44.12 +/- 2.27 Gt/yr at Basin 21 and Basin 22. Relative to the cumulated surface mass balance from the regional atmospheric climate model, the correlation coefficients of our mascon solutions are 0.91, 0.94, and 0.96 in East AIS, West AIS, and APIS.</t>
  </si>
  <si>
    <t>[Wang, Wei; Shen, Yunzhong; Chen, Qiujie] Tongji Univ, Coll Surveying &amp; Geoinformat, Shanghai, Peoples R China; [Chen, Tianyi] Shanghai Marine Monitoring &amp; Forecasting Ctr, Shanghai, Peoples R China</t>
  </si>
  <si>
    <t>Shen, YZ (corresponding author), Tongji Univ, Coll Surveying &amp; Geoinformat, Shanghai, Peoples R China.</t>
  </si>
  <si>
    <t>yzshen@tongji.edu.cn</t>
  </si>
  <si>
    <t>Natural Science Foundation of China [42274005, 41974002]</t>
  </si>
  <si>
    <t>Natural Science Foundation of China(National Natural Science Foundation of China (NSFC))</t>
  </si>
  <si>
    <t>This work is sponsored by the Natural Science Foundation of China (42274005 and 41974002).</t>
  </si>
  <si>
    <t>FEB 3</t>
  </si>
  <si>
    <t>10.3389/feart.2023.1129628</t>
  </si>
  <si>
    <t>9D0RA</t>
  </si>
  <si>
    <t>WOS:000935812400001</t>
  </si>
  <si>
    <t>Li, QX; Lei, YL; Li, HT; Li, TG</t>
  </si>
  <si>
    <t>Li, Qingxia; Lei, Yanli; Li, Haotian; Li, Tiegang</t>
  </si>
  <si>
    <t>Distinct responses of abundant and rare foraminifera to environmental variables in the Antarctic region revealed by DNA metabarcoding</t>
  </si>
  <si>
    <t>foraminifera; polar region; environmental change; paleoenvironmental reconstruction; biogeographical pattern</t>
  </si>
  <si>
    <t>DIVERSITY; PATTERNS; SVALBARD; FUTURE; OCEAN</t>
  </si>
  <si>
    <t>The Antarctic region plays a key role in regulating the Earth's climate and contains a unique record of environmental change. Foraminifera, a group of shell-bearing protists, are widely used as paleoenvironmental proxies. However, core-based reconstructions of Antarctic paleoenvironments are often hindered by the lack of foraminiferal fossil record. Foraminiferal ancient DNA provides new avenues for understanding environmental change, but the correlation between molecular ecological features of foraminifera and environmental conditions remains poorly understood. Here, we obtained surface sediment samples from the Southern Ocean at water depths ranging from 50 to 4399 m and measured eight environmental variables. We generated a DNA metabarcoding dataset of foraminifera and presented the first assessment of relationships between foraminiferal molecular diversity and environmental variables in the Antarctic region. The results showed that the alpha diversity of whole community and abundant subcommunity was positively correlated with water depth and negatively correlated with temperature, chlorophyll a and pheophytin a, while the alpha diversity of rare subcommunity had no linear correlation with the above environmental variables. Both rare and abundant foraminiferal subcommunities exhibited distance-decay relationships, but only the beta diversity of rare subcommunity showed a significant positive correlation with water depth. This study reveals contrasting biogeographical patterns of abundant and rare foraminifera and their different correlations with Antarctic environmental variables, holding promise to provide more proxies for reconstructing past environments using foraminiferal ancient DNA and more information for predicting the impact of future environmental changes on polar biodiversity.</t>
  </si>
  <si>
    <t>[Li, Qingxia; Lei, Yanli; Li, Haotian] Chinese Acad Sci, Inst Oceanol, Ctr Ocean Mega Sci, Lab Marine Organism Taxon &amp; Phylogeny, Qingdao, Peoples R China; [Li, Tiegang] Minist Nat Resources, Inst Oceanog 1, Key Lab Marine Sedimentol &amp; Environm Geol, Qingdao, Peoples R China; [Lei, Yanli] Southern Marine Sci &amp; Engn Guangdong Lab Zhuhai, Zhuhai, Peoples R China; [Lei, Yanli; Li, Tiegang] Pilot Natl Lab Marine Sci &amp; Technol Qingdao, Qingdao, Peoples R China; [Lei, Yanli] Univ Chinese Acad Sci, Beijing, Peoples R China</t>
  </si>
  <si>
    <t>Chinese Academy of Sciences; Institute of Oceanology, CAS; Ministry of Natural Resources of the People's Republic of China; First Institute of Oceanography, Ministry of Natural Resources; Southern Marine Science &amp; Engineering Guangdong Laboratory; Southern Marine Science &amp; Engineering Guangdong Laboratory (Zhuhai); Laoshan Laboratory; Chinese Academy of Sciences; University of Chinese Academy of Sciences, CAS</t>
  </si>
  <si>
    <t>Lei, YL (corresponding author), Chinese Acad Sci, Inst Oceanol, Ctr Ocean Mega Sci, Lab Marine Organism Taxon &amp; Phylogeny, Qingdao, Peoples R China.;Li, TG (corresponding author), Minist Nat Resources, Inst Oceanog 1, Key Lab Marine Sedimentol &amp; Environm Geol, Qingdao, Peoples R China.;Lei, YL (corresponding author), Southern Marine Sci &amp; Engn Guangdong Lab Zhuhai, Zhuhai, Peoples R China.;Lei, YL; Li, TG (corresponding author), Pilot Natl Lab Marine Sci &amp; Technol Qingdao, Qingdao, Peoples R China.;Lei, YL (corresponding author), Univ Chinese Acad Sci, Beijing, Peoples R China.</t>
  </si>
  <si>
    <t>leiyanli@qdio.ac.cn; tgli@fio.org.cn</t>
  </si>
  <si>
    <t>10.3389/fmars.2023.1089482</t>
  </si>
  <si>
    <t>9G8IC</t>
  </si>
  <si>
    <t>WOS:000938388700001</t>
  </si>
  <si>
    <t>Roman, L; Kastury, F; Petit, S; Aleman, R; Hardesty, BD; Wilcox, C</t>
  </si>
  <si>
    <t>Roman, Lauren; Kastury, Farzana; Petit, Sophie; Aleman, Rina; Hardesty, Britta Denise; Wilcox, Chris</t>
  </si>
  <si>
    <t>Nutrients and seabird biogeography: Feather elements differ among oceanic basins in the Southern Hemisphere, reflecting bird size, foraging range and nutrient availability in seawater</t>
  </si>
  <si>
    <t>GLOBAL ECOLOGY AND BIOGEOGRAPHY</t>
  </si>
  <si>
    <t>biogeography; foraging decision; marine predator; marine wildlife; migration; ocean basins; ocean nutrients; seabird range; trace element</t>
  </si>
  <si>
    <t>HEAVY-METAL CONCENTRATIONS; SHORT-TAILED SHEARWATER; PUFFINUS-TENUIROSTRIS; FEEDING ECOLOGY; TRACE-ELEMENTS; MERCURY; DIET; MIGRATION; PATTERNS; ISLAND</t>
  </si>
  <si>
    <t>Aim: Biodiversity hotspots in wide-ranging marine species typically overlap with regions of high productivity, which are often associated with nutrient-rich waters. Here we investigate how element concentrations in feathers vary among highly mobile sea-birds in global seabird biodiversity hotspots. Location: Southern Hemisphere. Time period: Contemporary. Major taxa studied: Fifteen species in the order Procellariiformes. Methods: We collected data on the concentration of 15 elements in feathers for 253 seabirds sampled across Australia and New Zealand and compared the fingerprint of micronutrient element profiles to feathers of related seabirds from global hotspots using principal component analysis (PCA), cluster analysis and permutational analysis of variance (PERMANOVA). Results: Breast feather concentrations of some elements, including aluminium, iron, cobalt, chromium, manganese, nickel, arsenic and cadmium, were tens-to-hundred-fold higher in smaller (&lt; 400 g) than larger species (&gt;= 400 g). We suggest these results reflect the dominance of pelagic crustaceans in the diet of smaller seabirds, blooms of which are influenced by input of limiting ocean nutrients. Cluster analysis revealed three broad groups of feather elements: large seabirds, and small seabirds in each of the South Pacific and South Atlantic Ocean basins. High concentrations of some elements in feathers match seawater availability and are detectable in lower-trophic feeding seabirds with local movements. Conversely, the element fingerprints of longer-distance, higher-trophic foragers, including albatrosses, do not match availability in seawater at the collection site. Main conclusions: The feather element concentrations of shorter- range foraging, lower-trophic feeding seabirds vary significantly among ocean basins, reflecting availability in seawater, while longer-range, higher-trophic species do not. We propose that geographically diverse availability of micronutrients, in addition to primary productivity, may play an underrecognized role in seabird biogeography and intrahemispheric migration, though more research is needed. This study has important implications, considering the role of element availability in supporting biodiversity hotspots for dispersive marine predators and for the designation of protected areas.</t>
  </si>
  <si>
    <t>[Roman, Lauren; Hardesty, Britta Denise; Wilcox, Chris] CSIRO Environm, Hobart, Tas, Australia; [Roman, Lauren] Univ Tasmania, Inst Marine, Antarctic Studies, Hobart, Tas, Australia; [Kastury, Farzana] Univ South Australia, Future Ind Inst, STEM, Mawson Lakes, SA, Australia; [Petit, Sophie; Aleman, Rina] Univ South Australia, UniSA STEM, Mawson Lakes, SA, Australia</t>
  </si>
  <si>
    <t>University of Tasmania; University of South Australia; University of South Australia</t>
  </si>
  <si>
    <t>Roman, L (corresponding author), CSIRO Environm, Hobart, Tas, Australia.;Roman, L (corresponding author), Univ Tasmania, Inst Marine, Antarctic Studies, Hobart, Tas, Australia.</t>
  </si>
  <si>
    <t>lauren.roman@csiro.au</t>
  </si>
  <si>
    <t>Kastury, Farzana/AAS-4944-2020; Hardesty, Britta Denise/A-3189-2011; Roman, Lauren/K-3804-2015; Petit, Sophie/D-1459-2010</t>
  </si>
  <si>
    <t>Kastury, Farzana/0000-0001-5593-0414; Roman, Lauren/0000-0003-3591-4905; Petit, Sophie/0000-0002-7984-5123</t>
  </si>
  <si>
    <t>BirdLife Australia; Australian Bird Environment Fund; Sea World Research and Rescue Foundation; Marine Vertebrates Grants</t>
  </si>
  <si>
    <t>BirdLife Australia, Grant/Award Number: Australian Bird Environment Fund; Sea World Research and Rescue Foundation, Grant/Award Number: Marine Vertebrates Grants</t>
  </si>
  <si>
    <t>1466-822X</t>
  </si>
  <si>
    <t>1466-8238</t>
  </si>
  <si>
    <t>GLOBAL ECOL BIOGEOGR</t>
  </si>
  <si>
    <t>Glob. Ecol. Biogeogr.</t>
  </si>
  <si>
    <t>10.1111/geb.13629</t>
  </si>
  <si>
    <t>9S3SJ</t>
  </si>
  <si>
    <t>WOS:000929845400001</t>
  </si>
  <si>
    <t>Balakrishna, K; Praveenkumarreddy, Y; Nishitha, D; Gopal, CM; Shenoy, JK; Bhat, K; Khare, N; Dhangar, K; Kumar, M</t>
  </si>
  <si>
    <t>Balakrishna, Keshava; Praveenkumarreddy, Yerabham; Nishitha, D'Souza; Gopal, Chikmagalur Mallappa; Shenoy, Jayakrishna Kanhangad; Bhat, Krishnamurthy; Khare, Neloy; Dhangar, Kiran; Kumar, Manish</t>
  </si>
  <si>
    <t>Occurrences of UV filters, endocrine disruptive chemicals, alkyl phenolic compounds, fragrances, and hormones in the wastewater and coastal waters of the Antarctica</t>
  </si>
  <si>
    <t>PPCPs; EDCs; Wastewater; Coastal water; Antarctica; Emerging contaminants</t>
  </si>
  <si>
    <t>PERSONAL CARE PRODUCTS; LIQUID-CHROMATOGRAPHY; AQUATIC ENVIRONMENT; SURFACE-WATER; FRESH-WATER; CAMPYLOBACTER-JEJUNI; STEROID-HORMONES; TREATMENT PLANTS; BISPHENOL-A; PHARMACEUTICALS</t>
  </si>
  <si>
    <t>We present a simplified status description of the prevalence and occurrences of organic micropollutants including endocrine disruptive chemicals (EDCs), therapeutic drugs, hormones, fragrances and ultraviolet (UV) filters in the wastewaters and the adjacent coastal oceans in the Northern and Southern Antarctica. Different treatment technologies adopted in the research stations and their efficacy in removing pharmaceuticals and personal care products (PPCPs) are reviewed. Till date, 56 PPCPs are reported in the wastewaters of Antarctic research stations, and 23 in the adjacent coastal waters and sea ice. The reported concentrations in the wastewaters are at the levels of mu g L-1 for UV filters, plasticizer Bisphenol A, metabolites, antibiotics, alkyl phenolic compounds, and stim-ulants. Concentrations in the coastal waters and sea ice are two orders of magnitude lower than the wastewaters because of dilution and degradation. It is apparent however, that the PPCP-laden effluents discharged from the research stations contaminate them. If left unchecked, pollution of the coastal waters and sea-ice can lead to toxic levels. Through this review, we have established widespread occurrence of PPCPs in the polar coastal oceans; this study will also provide the status quo for the researchers and policymakers to seriously consider the issue and initiate remedial action in the near future. The existing substantial gaps in understanding of the impact of PPCPs on the flora and fauna of Antarctica, and the ineffectiveness of the current treatment technologies adopted by the research stations are highly evident. Future-oriented polar research should focus on protecting the pristine ecosystem by utilizing climate-sensitive, cost-effective treatment technologies.</t>
  </si>
  <si>
    <t>[Balakrishna, Keshava; Praveenkumarreddy, Yerabham; Nishitha, D'Souza; Gopal, Chikmagalur Mallappa; Shenoy, Jayakrishna Kanhangad] Manipal Acad Higher Educ, Manipal Inst Technol, Dept Civil Engn, Manipal 576104, India; [Bhat, Krishnamurthy] Manipal Acad Higher Educ, Manipal Coll Pharmaceut Sci, Dept Pharmaceut Qual Assurance, Manipal 576104, India; [Khare, Neloy] Minist Earth Sci Prithvi Bhawan, Near India Habitat Ctr, Lodhi Rd, New Delhi 110003, India; [Dhangar, Kiran] Indian Inst Technol Gandhinagar, Discipline Earth Sci, Gandhinagar 382355, India; [Kumar, Manish] Univ Petr &amp; Energy Studies, Sustainabil Cluster, Dehra Dun 248007, Uttaranchal, India; [Kumar, Manish] Tecnol Monterrey, Escuela Ingn &amp; Ciencias, Campus Monterrey, Monterrey 64849, Nuevo Leon, Mexico; [Praveenkumarreddy, Yerabham] Aapaavani Environm Solut Pvt Ltd, Mangalore 575011, India</t>
  </si>
  <si>
    <t>Manipal Academy of Higher Education (MAHE); Manipal Academy of Higher Education (MAHE); Ministry of Earth Sciences (MoES) - India; Indian Institute of Technology System (IIT System); Indian Institute of Technology (IIT) - Gandhinagar; University of Petroleum &amp; Energy Studies (UPES); Tecnologico de Monterrey</t>
  </si>
  <si>
    <t>Balakrishna, K (corresponding author), Manipal Acad Higher Educ, Manipal Inst Technol, Dept Civil Engn, Manipal 576104, India.;Kumar, M (corresponding author), Univ Petr &amp; Energy Studies, Sustainabil Cluster, Dehra Dun 248007, Uttaranchal, India.</t>
  </si>
  <si>
    <t>k.balakrishna@manipal.edu; manish.env@gmail.com</t>
  </si>
  <si>
    <t>Shenoy, Jayakrishna/0000-0002-2445-1194; Bhat, Krishnamurthy/0000-0002-8604-472X; Balakrishna, Keshava/0000-0002-5399-0808; Nishitha, D'Souza/0000-0002-6990-701X; Praveen Kumar Reddy, Dr. Yerabham/0000-0002-0033-3003</t>
  </si>
  <si>
    <t>National Centre for Polar and Ocean Research-Ministry of Earth Sciences, Government of India [Ant/2017/BES-11]; Board of Research in Nuclear Sciences and Ministry of Earth Sciences, Government of India [35/14/17/2017-BRNS/35140, MoES/CCR/PALEO-10/2015]</t>
  </si>
  <si>
    <t>National Centre for Polar and Ocean Research-Ministry of Earth Sciences, Government of India; Board of Research in Nuclear Sciences and Ministry of Earth Sciences, Government of India</t>
  </si>
  <si>
    <t>The first author acknowledges the National Centre for Polar and Ocean Research-Ministry of Earth Sciences, Government of India for motivating this work through a travel grant to participate in the 37th Indian Scientific Expedition to Antarctica (Ant/2017/BES-11). The Board of Research in Nuclear Sciences and Ministry of Earth Sciences, Government of India supported this work by providing financial support to YP and DN (35/14/17/2017-BRNS/35140 and MoES/CCR/PALEO-10/2015). Four anonymous referees are thanked for their insightful comments which has greatly improvised the manuscript. Mr Lino is thanked for the neat illustrations.</t>
  </si>
  <si>
    <t>10.1016/j.envres.2023.115327</t>
  </si>
  <si>
    <t>8Y1ZL</t>
  </si>
  <si>
    <t>WOS:000932499900001</t>
  </si>
  <si>
    <t>Nardelli, SC; Gray, PC; Stammerjohn, SE; Schofield, O</t>
  </si>
  <si>
    <t>Nardelli, Schuyler C.; Gray, Patrick C.; Stammerjohn, Sharon E.; Schofield, Oscar</t>
  </si>
  <si>
    <t>Characterizing coastal phytoplankton seasonal succession patterns on the West Antarctic Peninsula</t>
  </si>
  <si>
    <t>ICE-ZONE WEST; NORTHERN MARGUERITE BAY; SEA-ICE; CLIMATE-CHANGE; INTERANNUAL VARIABILITY; COMMUNITY COMPOSITION; MIXED-LAYER; SUMMER; ASSEMBLAGES; WATERS</t>
  </si>
  <si>
    <t>In coastal West Antarctic Peninsula (WAP) waters, large phytoplankton blooms in late austral spring fuel a highly productive marine ecosystem. However, WAP atmospheric and oceanic temperatures are rising, winter sea ice extent and duration are decreasing, and summer phytoplankton biomass in the northern WAP has decreased and shifted toward smaller cells. To better understand these relationships, an Imaging FlowCytobot was used to characterize seasonal (spring to autumn) phytoplankton community composition and cell size during a low (2017-2018) and high (2018-2019) chlorophyll a year in relation to physical drivers (e.g., sea ice and meteoric water) at Palmer Station, Antarctica. A shorter sea ice season with early rapid retreat resulted in low phytoplankton biomass with a low proportion of diatoms (2017-2018), while a longer sea ice season with late protracted retreat resulted in the opposite (2018-2019). Despite these differences, phytoplankton seasonal succession was similar in both years: (1) a large-celled centric diatom bloom during spring sea ice retreat; (2) a peak summer phase comprised of mixotrophic cryptophytes with increases in light and postbloom organic matter; and (3) a late summer phase comprised of small (&lt; 20 mu m) diatoms and mixed flagellates with increases in wind-driven nutrient resuspension. In addition, cell diameter decreased from November to April with increases in meteoric water in both years. The tight coupling between sea ice, meltwater, and phytoplankton species composition suggests that continued warming in the WAP will affect phytoplankton seasonal dynamics, and subsequently seasonal food web dynamics.</t>
  </si>
  <si>
    <t>[Nardelli, Schuyler C.; Schofield, Oscar] Rutgers State Univ, Rutgers Univ Ctr Ocean Observing Leadership, New Brunswick, NJ 08854 USA; [Gray, Patrick C.] Duke Univ, Duke Univ Marine Lab, Beaufort, NC USA; [Stammerjohn, Sharon E.] Univ Colorado, Inst Arctic &amp; Alpine Res, Boulder, CO USA</t>
  </si>
  <si>
    <t>Rutgers University System; Rutgers University New Brunswick; Duke University; University of Colorado System; University of Colorado Boulder</t>
  </si>
  <si>
    <t>Nardelli, SC (corresponding author), Rutgers State Univ, Rutgers Univ Ctr Ocean Observing Leadership, New Brunswick, NJ 08854 USA.</t>
  </si>
  <si>
    <t>scn50@scarletmail.rutgers.edu</t>
  </si>
  <si>
    <t>; Schofield, Oscar/H-4169-2018</t>
  </si>
  <si>
    <t>STAMMERJOHN, SHARON/0000-0002-1697-8244; Nardelli, Schuyler/0000-0001-7926-9018; Schofield, Oscar/0000-0003-2359-4131; Gray, Patrick/0000-0002-8997-5255</t>
  </si>
  <si>
    <t>National Science Foundation Antarctic Organisms and Ecosystems Program as part of the PAL-LTER program [PLR-1440435]; NASA [19-IDS19-0085]; Rutgers Institute of Earth, Ocean, and Atmospheric Sciences graduate fellowship</t>
  </si>
  <si>
    <t>National Science Foundation Antarctic Organisms and Ecosystems Program as part of the PAL-LTER program; NASA(National Aeronautics &amp; Space Administration (NASA)); Rutgers Institute of Earth, Ocean, and Atmospheric Sciences graduate fellowship</t>
  </si>
  <si>
    <t>This work was supported by the National Science Foundation Antarctic Organisms and Ecosystems Program (PLR-1440435) as part of the PAL-LTER program, and by NASA (19-IDS19-0085). In addition, S.N. acknowledges support from the Rutgers Institute of Earth, Ocean, and Atmospheric Sciences graduate fellowship. HPLC data was provided by Nicole Waite, d18O data for meltwater calculations was provided by Michael Meredith, and nutrient data was provided by Naomi Manahan. Frank McQuarrie, Taylor Dodge, Marie Zahn, Anna Bashkirova, and Hailey Conrad helped with data collection in the field. Thank you to Alison Chase and Sasha Kramer for help with phytoplankton taxonomic identifications. This work would not have been possible without Palmer Station person-nel, particularly the marine technicians, lab manager, and instrument technicians from the 2017-2018 and 2018-2019 field seasons. Comments from three anonymous reviewers helped improve and clarify this manuscript.</t>
  </si>
  <si>
    <t>10.1002/lno.12314</t>
  </si>
  <si>
    <t>D8RF6</t>
  </si>
  <si>
    <t>WOS:000928771600001</t>
  </si>
  <si>
    <t>Opazo, JC; Vandewege, MW; Hoffmann, FG; Zavala, K; Meléndez, C; Luchsinger, C; Cavieres, VA; Vargas-Chacoff, L; Morera, FJ; Burgos, PV; Tapia-Rojas, C; Mardones, GA</t>
  </si>
  <si>
    <t>Opazo, Juan C.; Vandewege, Michael W.; Hoffmann, Federico G.; Zavala, Kattina; Melendez, Catalina; Luchsinger, Charlotte; Cavieres, Viviana A.; Vargas-Chacoff, Luis; Morera, Francisco J.; Burgos, Patricia, V; Tapia-Rojas, Cheril; Mardones, Gonzalo A.</t>
  </si>
  <si>
    <t>How Many Sirtuin Genes Are Out There? Evolution of Sirtuin Genes in Vertebrates With a Description of a New Family Member</t>
  </si>
  <si>
    <t>aging; deacetylase; gene family evolution; gene duplication; mitochondria; SIRT</t>
  </si>
  <si>
    <t>CALORIE RESTRICTION; EXPRESSION; PROTEIN; DEACETYLATION; MITOCHONDRIA; ROBUSTNESS; INSIGHTS; HOMOLOG; MAMMALS; ENZYMES</t>
  </si>
  <si>
    <t>Studying the evolutionary history of gene families is a challenging and exciting task with a wide range of implications. In addition to exploring fundamental questions about the origin and evolution of genes, disentangling their evolution is also critical to those who do functional/structural studies to allow a deeper and more precise interpretation of their results in an evolutionary context. The sirtuin gene family is a group of genes that are involved in a variety of biological functions mostly related to aging. Their duplicative history is an open question, as well as the definition of the repertoire of sirtuin genes among vertebrates. Our results show a well-resolved phylogeny that represents an improvement in our understanding of the duplicative history of the sirtuin gene family. We identified a new sirtuin gene family member (SIRT3.2) that was apparently lost in the last common ancestor of amniotes but retained in all other groups of jawed vertebrates. According to our experimental analyses, elephant shark SIRT3.2 protein is located in mitochondria, the overexpression of which leads to an increase in cellular levels of ATP. Moreover, in vitro analysis demonstrated that it has deacetylase activity being modulated in a similar way to mammalian SIRT3. Our results indicate that there are at least eight sirtuin paralogs among vertebrates and that all of them can be traced back to the last common ancestor of the group that existed between 676 and 615 millions of years ago.</t>
  </si>
  <si>
    <t>[Opazo, Juan C.; Vargas-Chacoff, Luis; Morera, Francisco J.; Mardones, Gonzalo A.] Univ Austral Chile, Integrat Biol Grp, Valdivia, Chile; [Opazo, Juan C.; Zavala, Kattina] Univ Austral Chile, Fac Ciencias, Inst Ciencias Ambientales &amp; Evolut, Valdivia, Chile; [Opazo, Juan C.] Millennium Nucleus Ion Channel Associated Dis MiNI, Valdivia, Chile; [Vandewege, Michael W.] North Carolina State Univ, Coll Vet Med, Raleigh, NC USA; [Hoffmann, Federico G.] Mississippi State Univ, Dept Biochem Mol Biol Entomol &amp; Plant Pathol, Starkville, MS USA; [Hoffmann, Federico G.] Mississippi State Univ, Inst Genom Biocomp &amp; Biotechnol, Starkville, MS USA; [Melendez, Catalina; Cavieres, Viviana A.; Burgos, Patricia, V; Tapia-Rojas, Cheril] Univ San Sebastian, Fac Med &amp; Ciencia, Ctr Biol Celular &amp; Biomed CEBICEM, Santiago, Chile; [Luchsinger, Charlotte; Mardones, Gonzalo A.] Univ Austral Chile, Sch Med, Dept Physiol, Valdivia, Chile; [Vargas-Chacoff, Luis] Univ Austral Chile, Inst Ciencias Marinas &amp; Limnol, Valdivia, Chile; [Vargas-Chacoff, Luis] Univ Austral Chile, Ctr Fondap Invest Altas Latitudes IDEAL, Valdivia, Chile; [Vargas-Chacoff, Luis] Univ Austral Chile, Millennium Inst Biodivers Antarctic &amp; Subantarct E, BASE, Valdivia, Chile; [Morera, Francisco J.] Univ Austral Chile, Fac Ciencias Vet, Appl Biochem Lab, Inst Farmacol &amp; Morfofisiol, Valdivia, Chile; [Burgos, Patricia, V; Tapia-Rojas, Cheril] Fdn Ciencia &amp; Vida, Ctr Ciencia &amp; Vida, Santiago, Chile; [Burgos, Patricia, V] Pontificia Univ Catol, Fac Ciencias Biol, Ctr Envejecimiento &amp; Regenerac CARE UC, Santiago, Chile; [Mardones, Gonzalo A.] Univ Austral Chile, Ctr Interdisciplinary Studies Nervous Syst CISNe, Valdivia, Chile</t>
  </si>
  <si>
    <t>Universidad Austral de Chile; Universidad Austral de Chile; North Carolina State University; Mississippi State University; Mississippi State University; Universidad San Sebastian; Universidad Austral de Chile; Universidad Austral de Chile; Universidad Austral de Chile; Universidad Austral de Chile; Universidad Austral de Chile; Universidad Austral de Chile</t>
  </si>
  <si>
    <t>Opazo, JC; Mardones, GA (corresponding author), Univ Austral Chile, Integrat Biol Grp, Valdivia, Chile.;Opazo, JC (corresponding author), Univ Austral Chile, Fac Ciencias, Inst Ciencias Ambientales &amp; Evolut, Valdivia, Chile.;Opazo, JC (corresponding author), Millennium Nucleus Ion Channel Associated Dis MiNI, Valdivia, Chile.;Mardones, GA (corresponding author), Univ Austral Chile, Sch Med, Dept Physiol, Valdivia, Chile.;Mardones, GA (corresponding author), Univ Austral Chile, Ctr Interdisciplinary Studies Nervous Syst CISNe, Valdivia, Chile.</t>
  </si>
  <si>
    <t>jopazo@gmail.com; gonzalo.mardones@uach.cl</t>
  </si>
  <si>
    <t>; Hoffmann, Federico/B-7134-2009</t>
  </si>
  <si>
    <t>Melendez Polanco, Catalina Andrea/0009-0004-7827-8851; Mardones, Gonzalo/0000-0001-9390-5893; Burgos Hitschfeld, Patricia V./0000-0003-4521-7978; Opazo, Juan C./0000-0001-7938-4083; Hoffmann, Federico/0000-0001-5056-4929</t>
  </si>
  <si>
    <t>Fondo Nacional de Desarrollo Cientifico y Tecnologico from Chile [FONDECYT 1210471, FONDECYT 1211481, FONDECYT 1180957]; Millennium Nucleus of the Millennium Scientific Initiative, National Agency of Research and Development (ANID) [NCN19_168]; Ministry of Science, Technology, Knowledge, and Innovation, Chile; National Science Foundation [EPS-0903787, DBI-1262901, DEB-1354147]; Financiamiento Basal [ANID/BASAL/ACE210009, ANID/BASAL/FB210008]; Fondap-Ideal Grant [15150003]; ANID-Millennium Science Initiative Program-Center ICM-ANID [ICN2021_002]; Vicerrectoria de Investigacion, Desarrollo y Creacion Artistica, Universidad Austral de Chile</t>
  </si>
  <si>
    <t>Fondo Nacional de Desarrollo Cientifico y Tecnologico from Chile; Millennium Nucleus of the Millennium Scientific Initiative, National Agency of Research and Development (ANID); Ministry of Science, Technology, Knowledge, and Innovation, Chile; National Science Foundation(National Science Foundation (NSF)); Financiamiento Basal(Comision Nacional de Investigacion Cientifica y Tecnologica (CONICYT)CONICYT PIA/BASAL); Fondap-Ideal Grant; ANID-Millennium Science Initiative Program-Center ICM-ANID; Vicerrectoria de Investigacion, Desarrollo y Creacion Artistica, Universidad Austral de Chile</t>
  </si>
  <si>
    <t>This work was supported by the Fondo Nacional de Desarrollo Cientifico y Tecnologico from Chile (FONDECYT 1210471) and The Millennium Nucleus of Ion Channel-Associated Diseases is a Millennium Nucleus of the Millennium Scientific Initiative, National Agency of Research and Development (ANID, NCN19_168), Ministry of Science, Technology, Knowledge, and Innovation, Chile to J.C.O., Fondo Nacional de Desarrollo Cientifico y Tecnologico from Chile (FONDECYT 1211481) to G.A.M., National Science Foundation (EPS-0903787, DBI-1262901, and DEB-1354147) to F.G.H., Financiamiento Basal No. ANID/BASAL/ACE210009 to P.V.B. and No. ANID/BASAL/FB210008 to P.V.B. and C.T.R., Fondap-Ideal Grant No. 15150003 and ANID-Millennium Science Initiative Program-Center ICM-ANID ICN2021_002 to L.V.C., Fondo Nacional de Desarrollo Cientifico y Tecnologico from Chile (FONDECYT 1180957) to F.J.M., Vicerrectoria de Investigacion, Desarrollo y Creacion Artistica, Universidad Austral de Chile to J.C.O., F.J.M., L.V.C., G.A.M. We thank Stefanie Teuber, John Quiroga, and Rafael Burgos, Instituto de Farmacologia y Morfofisiologia, Facultad de Ciencias Veterinarias, Universidad Austral de Chile, for providing assistance in the use of the Varioskan Flash microplate reader; Hianara Bustamante, Instituto de Microbiologia Clinica, Facultad de Medicina, Universidad Austral de Chile, for providing quercetin and resveratrol; Victor Castro, Departamento de Biologia, Facultad de Ciencias, Universidad de Chile, for providing NAD+ and nicotinamide; and Gonzalo Astroza, and Andre ' s Rivera-Dictter for technical assistance.</t>
  </si>
  <si>
    <t>msad014</t>
  </si>
  <si>
    <t>10.1093/molbev/msad014</t>
  </si>
  <si>
    <t>8N4BJ</t>
  </si>
  <si>
    <t>WOS:000925093900001</t>
  </si>
  <si>
    <t>Jiang, B; Xie, ZQ; Chen, A; Gu, WH; Wu, XD; Cao, Y; Yue, FE; Liu, HW; Yu, XW; Wang, LQ</t>
  </si>
  <si>
    <t>Jiang, Bei; Xie, Zhouqing; Chen, Afeng; Gu, Weihua; Wu, Xudong; Cao, Yue; Yue, Fange; Liu, Hongwei; Yu, Xiawei; Wang, Longquan</t>
  </si>
  <si>
    <t>Effects of atmospheric oxidation processes on the latitudinal distribution differences in MSA and nss-SO42-in the Northwest Pacific</t>
  </si>
  <si>
    <t>ATMOSPHERIC ENVIRONMENT</t>
  </si>
  <si>
    <t>Northwest Pacific; Methanesulfonic acid (MSA); Non-sea-salt sulfate (nss-SO42-); Sources; Atmospheric oxidation process</t>
  </si>
  <si>
    <t>SEA-SALT SULFATE; CLOUD CONDENSATION NUCLEI; METHANE SULFONIC-ACID; METHANESULFONIC-ACID; DIMETHYL-SULFIDE; OCEANIC PHYTOPLANKTON; CARBON ANALYSIS; SULFUR AEROSOL; DMS OXIDATION; ICE CORE</t>
  </si>
  <si>
    <t>Dimethyl sulfide (DMS) derived aerosols play an important role in the oceanic atmosphere. The methanesulfonic acid (MSA)/non-sea-salt sulfate (nss-SO42-) ratio is often used to determine the contribution of the DMS sulfate source. However, there is competition between the pathways of DMS to MSA and sulfate, and the importance of the differences in the reaction pathways for MSA/nss-SO42-remains unclear. Here, the MSA, nss-SO42-, and other environmental data from the Northwest Pacific Ocean in July and September were used to evaluate the impact of atmospheric oxidation processes on the ratio. In July, nss-SO42-was mostly contributed by anthropogenic sources, and in September, it was mostly produced mainly from DMS (biogenic sulfate [bio-SO42-]). Differences in sources explain most of the spatiotemporal distribution characterization of MSA and nss-SO42-. However, the atmospheric oxidation process was the main factor responsible for the difference in the spatial distribution of MSA and bio- SO42-in September. The air temperature, surface incoming shortwave flux, ozone and relative humidity affect atmospheric oxidation processes and thus the MSA/bio-SO42- ratio. Therefore, when nss-SO42-is mainly from the DMS source and the net primary production (NPP) is similar between sea areas, the MSA/nss-SO42-ratio needs to be used carefully to evaluate the sulfate contribution from the DMS source. In addition, it should be noted that the contribution of the DMS source aerosol to the Northwest Pacific is not negligible (up to 45%) with gentle wind and high NPP.</t>
  </si>
  <si>
    <t>[Jiang, Bei; Xie, Zhouqing; Chen, Afeng; Gu, Weihua; Wu, Xudong; Yue, Fange; Liu, Hongwei; Yu, Xiawei; Wang, Longquan] Univ Sci &amp; Technol China, Dept Environm Sci &amp; Engn, Anhui Key Lab Polar Environm &amp; Global Change, Hefei 230026, Anhui, Peoples R China; [Jiang, Bei] Univ Sci &amp; Technol China, Suzhou Inst Adv Study, Suzhou, Peoples R China; [Cao, Yue] Univ Sci &amp; Technol China, Sch Life Sci, Div Life Sci &amp; Med, Hefei 230026, Peoples R China</t>
  </si>
  <si>
    <t>Chinese Academy of Sciences; University of Science &amp; Technology of China, CAS; Chinese Academy of Sciences; University of Science &amp; Technology of China, CAS; Chinese Academy of Sciences; University of Science &amp; Technology of China, CAS</t>
  </si>
  <si>
    <t>Xie, ZQ (corresponding author), Univ Sci &amp; Technol China, Dept Environm Sci &amp; Engn, Anhui Key Lab Polar Environm &amp; Global Change, Hefei 230026, Anhui, Peoples R China.</t>
  </si>
  <si>
    <t>Gu, Weihua/ABG-5395-2021; wu, xudong/KGL-1857-2024; Jiang, Bei/JDC-9899-2023</t>
  </si>
  <si>
    <t>Jiang, Bei/0000-0001-5223-6742</t>
  </si>
  <si>
    <t>This study was funded by the National Natural Science Foundation of China (NSFC) (41941014) . The authors thank the Chinese Arctic and Antarctic Administration for supporting the field campaign. The MERRA-2 data used in this study were provided by the Global Modelling and Assimilation Office (GMAO) at the NASA Goddard Space Flight Center. The authors thank Zexun Wei for sampling during the CHINARE 2018 field campaign and Zheng Li, Juan Yu, Pengzhen He, and Shidong Fan for sampling during the CHINARE 2010 to CHINARE 2016 field campaigns.</t>
  </si>
  <si>
    <t>1352-2310</t>
  </si>
  <si>
    <t>1873-2844</t>
  </si>
  <si>
    <t>ATMOS ENVIRON</t>
  </si>
  <si>
    <t>Atmos. Environ.</t>
  </si>
  <si>
    <t>10.1016/j.atmosenv.2023.119618</t>
  </si>
  <si>
    <t>8V8BP</t>
  </si>
  <si>
    <t>WOS:000930852700001</t>
  </si>
  <si>
    <t>Décima, M; Stukel, MR; Nodder, SD; Gutiérrez-Rodríguez, A; Selph, KE; dos Santos, AL; Safi, K; Kelly, TB; Deans, F; Morales, SE; Baltar, F; Latasa, M; Gorbunov, MY; Pinkerton, M</t>
  </si>
  <si>
    <t>Decima, Moira; Stukel, Michael R.; Nodder, Scott D.; Gutierrez-Rodriguez, Andres; Selph, Karen E.; dos Santos, Adriana Lopes; Safi, Karl; Kelly, Thomas B.; Deans, Fenella; Morales, Sergio E.; Baltar, Federico; Latasa, Mikel; Gorbunov, Maxim Y.; Pinkerton, Matt</t>
  </si>
  <si>
    <t>Salp blooms drive strong increases in passive carbon export in the Southern Ocean</t>
  </si>
  <si>
    <t>SUBTROPICAL CONVERGENCE REGION; FILTER-FEEDING RATES; SUB-ANTARCTIC WATERS; NEW-ZEALAND; AUSTRAL SUMMER; EMILIANIA-HUXLEYI; GEPHYROCAPSA-OCEANICA; THALIA-DEMOCRATICA; EXTRACELLULAR DNA; FLUX ATTENUATION</t>
  </si>
  <si>
    <t>The Southern Ocean contributes substantially to the global biological carbon pump (BCP). Salps in the Southern Ocean, in particular Salpa thompsoni, are important grazers that produce large, fast-sinking fecal pellets. Here, we quantify the salp bloom impacts on microbial dynamics and the BCP, by contrasting locations differing in salp bloom presence/absence. Salp blooms coincide with phytoplankton dominated by diatoms or prymnesiophytes, depending on water mass characteristics. Their grazing is comparable to microzooplankton during their early bloom, resulting in a decrease of similar to 1/3 of primary production, and negative phytoplankton rates of change are associated with all salp locations. Particle export in salp waters is always higher, ranging 2- to 8- fold (average 5-fold), compared to non-salp locations, exporting up to 46% of primary production out of the euphotic zone. BCP efficiency increases from 5 to 28% in salp areas, which is among the highest recorded in the global ocean.</t>
  </si>
  <si>
    <t>[Decima, Moira; Nodder, Scott D.; Gutierrez-Rodriguez, Andres; Pinkerton, Matt] Natl Inst Water &amp; Atmospher Res NIWA, Wellington 6021, New Zealand; [Decima, Moira] Univ Calif San Diego, Scripps Inst Oceanog, San Diego, CA 92093 USA; [Stukel, Michael R.; Kelly, Thomas B.] Florida State Univ, Dept Earth Ocean &amp; Atmospher Sci, Tallahassee, FL 32304 USA; [Stukel, Michael R.] Florida State Univ, Ctr Ocean Atmospher Predict Studies, Tallahassee, FL 32310 USA; [Gutierrez-Rodriguez, Andres; Latasa, Mikel] Ctr Oceanog Gijon, Inst Espanol Oceanog, Ave Principe Asturias,70 Bis, Gijon 33212, Spain; [Selph, Karen E.] Univ Hawaii Manoa, Dept Oceanog, Honolulu, HI 96822 USA; [dos Santos, Adriana Lopes] Nanyang Technol Univ, Asian Sch Environm, 50 Nanyang Ave, Singapore 639798, Singapore; [Safi, Karl] Natl Inst Water &amp; Atmospher Res, POB 11-115, Hamilton, New Zealand; [Kelly, Thomas B.] Univ Alaska, Coll Fisheries &amp; Ocean Sci, Fairbanks, AK 99775 USA; [Deans, Fenella; Morales, Sergio E.] Univ Otago, Dept Microbiol &amp; Immunol, Dunedin, New Zealand; [Baltar, Federico] Univ Vienna, Dept Funct &amp; Evolutionary Ecol, A-1090 Vienna, Austria; [Gorbunov, Maxim Y.] Rutgers State Univ, Dept Marine &amp; Coastal Sci, Environm Biophys &amp; Mol Ecol Program, New Brunswick, NJ 08901 USA</t>
  </si>
  <si>
    <t>National Institute of Water &amp; Atmospheric Research (NIWA) - New Zealand; University of California System; University of California San Diego; Scripps Institution of Oceanography; State University System of Florida; Florida State University; State University System of Florida; Florida State University; Spanish Institute of Oceanography; University of Hawaii System; University of Hawaii Manoa; Nanyang Technological University; National Institute of Water &amp; Atmospheric Research (NIWA) - New Zealand; University of Alaska System; University of Alaska Fairbanks; University of Otago; University of Vienna; Rutgers University System; Rutgers University New Brunswick</t>
  </si>
  <si>
    <t>Décima, M (corresponding author), Natl Inst Water &amp; Atmospher Res NIWA, Wellington 6021, New Zealand.;Décima, M (corresponding author), Univ Calif San Diego, Scripps Inst Oceanog, San Diego, CA 92093 USA.</t>
  </si>
  <si>
    <t>mdecima@ucsd.edu</t>
  </si>
  <si>
    <t>Latasa, Mikel/D-2202-2011; Morales, Sergio/F-5252-2017; Gutierrez Rodriguez, Andres/JLM-2332-2023; Lopes dos Santos, Adriana/B-7252-2018; Baltar, Federico/C-3260-2012</t>
  </si>
  <si>
    <t>Latasa, Mikel/0000-0002-8202-0923; Morales, Sergio/0000-0002-5862-0726; Gutierrez Rodriguez, Andres/0000-0003-1274-3752; Deans, Fenella/0000-0002-8549-0250; Kelly, Thomas/0000-0001-6285-1925; Selph, Karen/0000-0001-7281-4706; Lopes dos Santos, Adriana/0000-0002-0736-4937; Safi, Karl/0000-0002-7785-1909; Baltar, Federico/0000-0001-8907-1494; Nodder, Scott/0000-0002-1963-8907</t>
  </si>
  <si>
    <t>Ministry for Business, Innovation and Employment (MBIE) of New Zealand; NIWA core program Coast and Oceans Food Webs (COES); Royal Society of New Zealand Marsden Fast-track; NSF [OCE-1756610]; NIWA core program Ocean Flows (COOF)</t>
  </si>
  <si>
    <t>Ministry for Business, Innovation and Employment (MBIE) of New Zealand(New Zealand Ministry of Business, Innovation and Employment (MBIE)); NIWA core program Coast and Oceans Food Webs (COES); Royal Society of New Zealand Marsden Fast-track; NSF(National Science Foundation (NSF)); NIWA core program Ocean Flows (COOF)</t>
  </si>
  <si>
    <t>We thank the captain/crew of the R/V Tangaroa and many scientists that assisted on the voyage: Alexia Saint-Macary, Christian Fender, Christopher Ray, David Demory, Florian Luskow, Lana Young, Matt Walkington, Miguel Mendez Sandin, Morgan Meyers, Natalie Yingling, Rob Stewart, Sadie Mills, Sarah Searson, and Siobhan O'Connor, and the NIWA Vessels Management team for support on land. Thanks to Sven Tobias-Hunefeldt for assistance with DADA2 pipeline analysis. We thank C. Law (NIWA) for comments on the MS. Thanks to Lujan Decima for the illustrations of salps and fecal pellets. This study was funded by the Ministry for Business, Innovation and Employment (MBIE) of New Zealand, NIWA core programs Coast and Oceans Food Webs (COES) and Ocean Flows (COOF), the Royal Society of New Zealand Marsden Fast-track award to M.D., and NSF award #OCE-1756610 to M.R.S. and K.E.S.</t>
  </si>
  <si>
    <t>FEB 2</t>
  </si>
  <si>
    <t>10.1038/s41467-022-35204-6</t>
  </si>
  <si>
    <t>T2NA4</t>
  </si>
  <si>
    <t>WOS:001076389000003</t>
  </si>
  <si>
    <t>Ratnarajah, L; Abu-Alhaija, R; Atkinson, A; Batten, S; Bax, NJ; Bernard, KS; Canonico, G; Cornils, A; Everett, JD; Grigoratou, M; Ishak, NHA; Johns, D; Lombard, F; Muxagata, E; Ostle, C; Pitois, S; Richardson, AJ; Schmidt, K; Stemmann, L; Swadling, KM; Yang, G; Yebra, L</t>
  </si>
  <si>
    <t>Ratnarajah, Lavenia; Abu-Alhaija, Rana; Atkinson, Angus; Batten, Sonia; Bax, Nicholas J.; Bernard, Kim S.; Canonico, Gabrielle; Cornils, Astrid; Everett, Jason D.; Grigoratou, Maria; Ishak, Nurul Huda Ahmad; Johns, David; Lombard, Fabien; Muxagata, Erik; Ostle, Clare; Pitois, Sophie; Richardson, Anthony J.; Schmidt, Katrin; Stemmann, Lars; Swadling, Kerrie M.; Yang, Guang; Yebra, Lidia</t>
  </si>
  <si>
    <t>Monitoring and modelling marine zooplankton in a changing climate</t>
  </si>
  <si>
    <t>LONG-TERM CHANGES; NORTHERN CALIFORNIA CURRENT; EASTERN BERING-SEA; CARBON EXPORT; FECAL PELLETS; FUNCTIONAL-RESPONSES; SOUTHERN-OCEAN; PARTICLE-FLUX; ARCTIC-OCEAN; BEAUFORT SEA</t>
  </si>
  <si>
    <t>Zooplankton are major consumers of phytoplankton primary production in marine ecosystems. As such, they represent a critical link for energy and matter transfer between phytoplankton and bacterioplankton to higher trophic levels and play an important role in global biogeochemical cycles. In this Review, we discuss key responses of zooplankton to ocean warming, including shifts in phenology, range, and body size, and assess the implications to the biological carbon pump and interactions with higher trophic levels. Our synthesis highlights key knowledge gaps and geographic gaps in monitoring coverage that need to be urgently addressed. We also discuss an integrated sampling approach that combines traditional and novel techniques to improve zooplankton observation for the benefit of monitoring zooplankton populations and modelling future scenarios under global changes.</t>
  </si>
  <si>
    <t>[Ratnarajah, Lavenia] Integrated Marine Observing Syst, Hobart, Tas, Australia; [Ratnarajah, Lavenia] UNESCO, Int Oceanog Commiss, Global Ocean Observing Syst, Paris, France; [Abu-Alhaija, Rana] Cyprus Subsea Consulting &amp; Serv CSCS Ltd, Nicosia, Cyprus; [Atkinson, Angus] Plymouth Marine Lab, Prospect Pl, Plymouth PL1 3DH, Devon, England; [Batten, Sonia] North Pacific Marine Sci Org PICES, 9860 West Saanich Rd, Sidney, BC V8L 4B2, Canada; [Bax, Nicholas J.] CSIRO Oceans &amp; Atmosphere, Hobart, Tas, Australia; [Bernard, Kim S.] Oregon State Univ, Coll Earth Ocean &amp; Atmospher Sci, 104 CEOAS Admin Bldg, Corvallis, OR 97330 USA; [Canonico, Gabrielle] NOAA, US Integrated Ocean Observing Syst US IOOS, Silver Spring, MD USA; [Cornils, Astrid] Alfred Wegener Inst, Helmholtz Ctr Polar &amp; Marine Res, Sect Polar Biol Oceanog, Handelshafen 12, Bremerhaven, Germany; [Everett, Jason D.; Richardson, Anthony J.] Univ Queensland, Sch Math &amp; Phys, St Lucia, Qld, Australia; [Everett, Jason D.; Richardson, Anthony J.] CSIRO Oceans &amp; Atmosphere, Queensland Biosci Precinct, St Lucia, Qld 4067, Australia; [Everett, Jason D.] Univ New South Wales, Evolut &amp; Ecol Res Ctr, Sydney, NSW, Australia; [Grigoratou, Maria] Gulf Maine Res Inst, 350 Commercial St, Portland, ME 04101 USA; [Grigoratou, Maria] Mercator Ocean Int, 2 Av Aerodrome Montaudran, F-31400 Toulouse, France; [Ishak, Nurul Huda Ahmad] Univ Malaysia Terengganu, Fac Sci &amp; Marine Environm, Terengganu 21030, Malaysia; [Ishak, Nurul Huda Ahmad] Univ Malaysia Terengganu, Inst Oceanog &amp; Environm, Terengganu 21030, Malaysia; [Johns, David; Ostle, Clare] Marine Biol Assoc MBA, Citadel Hill, Plymouth PL1 2PB, Devon, England; [Lombard, Fabien; Stemmann, Lars] Sorbonne Univ, CNRS, Lab Oceanog Villefranche LOV, Villefranche Sur Mer, France; [Lombard, Fabien] Res Federat Study Global Ocean Syst Ecol &amp; Evolut, FR2022, Tara Oceans GOSEE, F-75016 Paris, France; [Lombard, Fabien] Inst Univ France, F-75231 Paris, France; [Muxagata, Erik] Univ Fed Rio Grande FURG, Inst Oceanog, Lab Zooplancton, Av Italia,Km 8 Campus Carreiros, BR-96203900 Rio Grande, RS, Brazil; [Pitois, Sophie] Ctr Environm Fisheries &amp; Aquaculture Ctr Cefas, Pakefield Rd, Lowestoft NR33 0HT, Suffolk, England; [Schmidt, Katrin] Univ Plymouth, Sch Geog Earth &amp; Environm Sci, Plymouth PL4 8AA, Devon, England; [Swadling, Kerrie M.] Univ Tasmania, Inst Marine &amp; Antarctic Studies, Hobart, Tas, Australia; [Swadling, Kerrie M.] Univ Tasmania, Australian Antarctic Program Partnership, Hobart, Tas, Australia; [Yang, Guang] Chinese Acad Sci, Inst Oceanol, Key Lab Marine Ecol &amp; Environm Sci, 7 Nanhai Rd, Qingdao 266071, Peoples R China; [Yebra, Lidia] CSIC, Ctr Oceanog Malaga IEO, Puerto Pesquero S-N, Fuengirola 29640, Spain</t>
  </si>
  <si>
    <t>Plymouth Marine Laboratory; Commonwealth Scientific &amp; Industrial Research Organisation (CSIRO); Oregon State University; National Oceanic Atmospheric Admin (NOAA) - USA; Helmholtz Association; Alfred Wegener Institute, Helmholtz Centre for Polar &amp; Marine Research; University of Queensland; Commonwealth Scientific &amp; Industrial Research Organisation (CSIRO); University of New South Wales Sydney; Gulf of Maine Research Institute; Universiti Malaysia Terengganu; Universiti Malaysia Terengganu; Centre National de la Recherche Scientifique (CNRS); Sorbonne Universite; Institut Universitaire de France; Universidade Federal do Rio Grande; University of Plymouth; University of Tasmania; University of Tasmania; Chinese Academy of Sciences; Institute of Oceanology, CAS; Consejo Superior de Investigaciones Cientificas (CSIC)</t>
  </si>
  <si>
    <t>Ratnarajah, L (corresponding author), Integrated Marine Observing Syst, Hobart, Tas, Australia.;Ratnarajah, L (corresponding author), UNESCO, Int Oceanog Commiss, Global Ocean Observing Syst, Paris, France.</t>
  </si>
  <si>
    <t>Lavenia.Ratnarajah@utas.edu.au</t>
  </si>
  <si>
    <t>Ishak, Nurul Huda Ahmad/O-4235-2018; stemmann, lars/E-6899-2011; Muxagata, Erik/M-6563-2015; Everett, Jason D/C-4557-2008; stemmann, lars/ACE-2983-2022; Cornils, Astrid/P-2943-2014; Yebra, Lidia/AAV-4112-2020</t>
  </si>
  <si>
    <t>Ishak, Nurul Huda Ahmad/0000-0003-3603-1063; Muxagata, Erik/0000-0002-4210-5252; Cornils, Astrid/0000-0003-4536-9015; Yebra, Lidia/0000-0001-6399-299X; Canonico, Gabrielle/0000-0003-4251-896X; Ratnarajah, Lavenia/0000-0002-1021-1923; Abualhaija, Rana/0000-0001-5245-7596</t>
  </si>
  <si>
    <t>EU [862626]; Commonwealth Scientific and Industrial Research Organisation (CSIRO); Australian Institute of Marine Science (AIMS); Instituto Nacional de Ciencia e Tecnologia Antartico de Pesquisas Ambientais (INCT-APA); Conselho Nacional de Desenvolvimento Cientifico e Tecnologico (CNPq); Horizon 2020 AtlantECO [862923]; Natural Environment Research Council's (NERC) Climate Linked Atlantic Sector Science [NE/R015953/1]; NERC [NE/S002502/1]; North Pacific Marine Science Organization (PICES); Horizon 2020 [862923, 862428]; Yayasan Penyelidikan Antartika Sultan Mizan (YPASM) Research Grant under Smart Partnership Initiative 2020: TheFateof Salps inaChanging Ocean: Emerging Environmental Consequences for the Indian Ocean Sector of the Southern Ocean [53479]; Long-Term Research Grant Scheme (LRGS) - Department of Higher Education, Ministry of Higher Education Malaysia [LRGS/1/2020/UMT/01/1, 56040]; US National Science Foundation; European Union's Horizon 2020 research and innovation programme [862923, 871153]; Institut Universitaire de France; National Science Foundation [OCE-1851866]; European Commission's Service for Foreign Policy Instruments (EU4OceanObs) [PI/2020/417-631]; AndalusianGovernment (Consejeria de Economia, Innovacion y Ciencia); EU (European Regional Development Fund) [P20_00743]; NERC [NE/S002502/1, NE/R015953/1, NE/P021344/1] Funding Source: UKRI</t>
  </si>
  <si>
    <t>EU(European Union (EU)); Commonwealth Scientific and Industrial Research Organisation (CSIRO)(Commonwealth Scientific &amp; Industrial Research Organisation (CSIRO)); Australian Institute of Marine Science (AIMS); Instituto Nacional de Ciencia e Tecnologia Antartico de Pesquisas Ambientais (INCT-APA); Conselho Nacional de Desenvolvimento Cientifico e Tecnologico (CNPq)(Conselho Nacional de Desenvolvimento Cientifico e Tecnologico (CNPQ)); Horizon 2020 AtlantECO(Horizon 2020); Natural Environment Research Council's (NERC) Climate Linked Atlantic Sector Science; NERC(UK Research &amp; Innovation (UKRI)Natural Environment Research Council (NERC)); North Pacific Marine Science Organization (PICES); Horizon 2020(Horizon 2020); Yayasan Penyelidikan Antartika Sultan Mizan (YPASM) Research Grant under Smart Partnership Initiative 2020: TheFateof Salps inaChanging Ocean: Emerging Environmental Consequences for the Indian Ocean Sector of the Southern Ocean; Long-Term Research Grant Scheme (LRGS) - Department of Higher Education, Ministry of Higher Education Malaysia; US National Science Foundation(National Science Foundation (NSF)); European Union's Horizon 2020 research and innovation programme(Horizon 2020); Institut Universitaire de France; National Science Foundation(National Science Foundation (NSF)); European Commission's Service for Foreign Policy Instruments (EU4OceanObs); AndalusianGovernment (Consejeria de Economia, Innovacion y Ciencia); EU (European Regional Development Fund)(European Union (EU)); NERC(UK Research &amp; Innovation (UKRI)Natural Environment Research Council (NERC))</t>
  </si>
  <si>
    <t>This work was organised in the framework of the Global Ocean Observing System (GOOS) Biology and Ecosystems panel. The European component in Fig. 3 was produced based on a survey of marine monitoring programmes within Europe through the EU Horizon 2020 EuroSea action (grant no. 862626). GOOS Biology and Ecosystems panel is funded through the Commonwealth Scientific and Industrial Research Organisation (CSIRO) and the Australian Institute of Marine Science (AIMS). E.M. was funded from Instituto Nacional de Ciencia e Tecnologia Antartico de Pesquisas Ambientais (INCT-APA) and Conselho Nacional de Desenvolvimento Cientifico e Tecnologico (CNPq) and Horizon 2020 AtlantECO (grant no. 862923). AA was funded from the Natural Environment Research Council's (NERC) Climate Linked Atlantic Sector Science (grant no. NE/R015953/1). KS was funded from NERC MOSAiC Thematic project SYM-PEL: Quantifying the contribution of sympagic versus pelagic diatoms to Arctic food webs and biogeochemical fluxes: application of source-specific highly branched isoprenoid biomarkers (NE/S002502/1). CO was funded from the North Pacific Marine Science Organization (PICES) and comprising the North Pacific Research Board (NPRB), Exxon Valdez Oil Spill Trustee Council through Gulf Watch Alaska, Canadian Department of Fisheries and Oceans (DFO). Horizon 2020: 862428 AtlanticMission, 862923 AtlantECO. NHAI was funded by Yayasan Penyelidikan Antartika Sultan Mizan (YPASM) Research Grant under Smart Partnership Initiative 2020: TheFateof Salps inaChanging Ocean: Emerging Environmental Consequences for the Indian Ocean Sector of the Southern Ocean (Vot. No. 53479) and the Long-Term Research Grant Scheme (LRGS) funded by the Department of Higher Education, Ministry of Higher Education Malaysia (LRGS/1/2020/UMT/01/1; LRGS UMT Vot No. 56040). KSB was funded from US National Science Foundation. JDE was funded by Australian Research Council Discovery Project No. DP19010229. FLwas funded through the European Union's Horizon 2020 research and innovation programme under grant agreement no. 871153 (JERICO-S3) and grant agreement no. 862923 (AtlantECO) and by the Institut Universitaire de France. MG was supported by the National Science Foundation (OCE-1851866) and the Partnership Instrument managed by the European Commission's Service for Foreign Policy Instruments (EU4OceanObs, PI/2020/417-631). LY was supported by the AndalusianGovernment (Consejeria de Economia, Innovacion y Ciencia) and EU (European Regional Development Fund) through project MICROZOO-ID (P20_00743).</t>
  </si>
  <si>
    <t>10.1038/s41467-023-36241-5</t>
  </si>
  <si>
    <t>S1BP0</t>
  </si>
  <si>
    <t>WOS:001068592900001</t>
  </si>
  <si>
    <t>Tondi, R; Borghi, A; Morelli, A</t>
  </si>
  <si>
    <t>Tondi, Rosaria; Borghi, Alessandra; Morelli, Andrea</t>
  </si>
  <si>
    <t>3D density structure of upper mantle beneath the Antarctic plate: The influence of Moho depth</t>
  </si>
  <si>
    <t>Antarctic upper mantle; Moho depths of Antarctica; Integrated inversion of seismological and; gravity data; Satellite gravity field; Upper mantle density of Antarctica; Density -velocity relationship</t>
  </si>
  <si>
    <t>MARIE BYRD LAND; VELOCITY STRUCTURE BENEATH; NORTHERN VICTORIA LAND; WEST ANTARCTICA; TRANSANTARCTIC MOUNTAINS; LITHOSPHERIC STRUCTURE; SEISMIC EVIDENCE; EAST ANTARCTICA; RIFT SYSTEM; ROSS SEA</t>
  </si>
  <si>
    <t>In this study, we explore the impact of using different Moho surfaces on the reconstruction of the upper mantle geophysical parameters. The study area is the subsurface of the Antarctica continent. Using the optimization program of Sequential Integrated Inversion (SII) and the gravity anomalies synthetized by a global Gravity Field Model (GFM), we reconstructed the upper mantle density and the related 3D distribution of the p-v(SV) couplings down to the depth of 400 km, with a lateral resolution of 0.5(?) x 0.5(?). Here, we present the results obtained for four models, built with four different Moho surfaces. A correlation analysis showed that different Moho struc-tures affect the optimization of the intensity of the anomalies and the p-v(SV) couplings. The possibility of having both a density model and a 3D distribution of the p-v(SV) couplings enables us to highlight several significant features for all models that are not disclosed by seismic tomography. Among them, a trend of positive, pre-sumably compositional anomalies suggests the contribution of the Lambert Rift System (LRS) to the Gamburstev Mountains (GSM) uplift, which in turn may have influenced the formation of the Maud Subglacial Basin (MSB). A continuous low-density anomaly and positive p-v(SV) phase coupling anomaly, extending from the northwestern side of the Transantarctic Mountains (TAM) to Victoria Land, support the thermal buoyancy force as the caus-ative element of the formation of the TAM. A circumscribed negative density anomaly extending up to depth of 365 km, which is associated to a negative variation in the angular coefficients of the p-v(SV) couplings, indicates the presence of an active magmatic system in the upper mantle or a Cenozoic mantle plume beneath the region of Mary Byrd Land (MBL).</t>
  </si>
  <si>
    <t>[Tondi, Rosaria; Borghi, Alessandra; Morelli, Andrea] Sez Bologna, Ist Nazl Geofis &amp; Vulcanol INGV, Viale Berti Pichat 6-2, I-40127 Bologna, Italy</t>
  </si>
  <si>
    <t>Istituto Nazionale Geofisica e Vulcanologia (INGV)</t>
  </si>
  <si>
    <t>Tondi, R (corresponding author), Sez Bologna, Ist Nazl Geofis &amp; Vulcanol INGV, Viale Berti Pichat 6-2, I-40127 Bologna, Italy.</t>
  </si>
  <si>
    <t>rosaria.tondi@ingv.it</t>
  </si>
  <si>
    <t>MORELLI, ANDREA/D-1515-2018; Tondi, Rosaria/H-7271-2015; Borghi, Alessandra/F-8582-2010</t>
  </si>
  <si>
    <t>MORELLI, ANDREA/0000-0001-6065-1006; Tondi, Rosaria/0000-0001-9400-3904; Borghi, Alessandra/0000-0001-6088-0386</t>
  </si>
  <si>
    <t>PNRA project: Risposta litosferica alla dinamica del mantello e della criosfera [2164-14/11/2013 - PdR 2013/B2.06]; INECA ISCRA Class C project [HP10CGC85K]</t>
  </si>
  <si>
    <t>PNRA project: Risposta litosferica alla dinamica del mantello e della criosfera; INECA ISCRA Class C project</t>
  </si>
  <si>
    <t>The study design of this study was supported by PNRA project: Risposta litosferica alla dinamica del mantello e della criosfera (D.D. n. 2164-14/11/2013 - PdR 2013/B2.06). Data analysis was carried out thanks to CINECA ISCRA Class C project (HP10CGC85K). We thank an anonymous reviewer for his constructive comments and suggestions, which have helped to improve the paper.</t>
  </si>
  <si>
    <t>10.1016/j.tecto.2023.229724</t>
  </si>
  <si>
    <t>8Z2LX</t>
  </si>
  <si>
    <t>WOS:000933217500001</t>
  </si>
  <si>
    <t>Jian, ZM; Dang, HW; Yu, JM; Wu, Q; Gong, X; Stepanek, C; Colin, C; Hu, LL; Lohmann, G; Zhou, XL; Wan, S</t>
  </si>
  <si>
    <t>Jian, Zhimin; Dang, Haowen; Yu, Jimin; Wu, Qiong; Gong, Xun; Stepanek, Christian; Colin, Christophe; Hu, Lili; Lohmann, Gerrit; Zhou, Xiaoli; Wan, Sui</t>
  </si>
  <si>
    <t>Changes in deep Pacific circulation and carbon storage during the Pliocene-Pleistocene transition</t>
  </si>
  <si>
    <t>intensification of Northern Hemisphere; Glaciation; deep Pacific circulation; deep Pacific carbon storage; foraminiferal?Nd; benthic foraminiferal B; Ca</t>
  </si>
  <si>
    <t>NEODYMIUM ISOTOPIC COMPOSITION; LATE NEOGENE; ND ISOTOPES; OCEAN; ATLANTIC; SEAWATER; CLIMATE; WATER; CONSTRAINTS; SENSITIVITY</t>
  </si>
  <si>
    <t>The global climate has been gradually cooling over the Cenozoic and is punctuated by the intensification of Northern Hemisphere Glaciation (NHG) from the latest Pliocene to earliest Pleistocene (-3.1-2.5 millions of years ago, Ma). A decline of atmospheric CO2 is supposed as a prerequisite for the NHG, but the associated carbon-cycle processes remain elusive. Here we combine foraminiferal records of neodymium isotope and boron-calcium ratio, and simulations of an Earth system model, to investigate changes in the water-mass composition and carbonate-ion concentration of the deep Pacific Ocean during the NHG. Our proxy records have revealed a significant expansion of southern-sourced waters with increased respired carbon storage into the deep Pacific during the NHG. These changes may be explained by strengthened deep-water formation and biological-pump efficiency in the Southern Ocean due to Antarctic sea-ice growth, as suggested by our model experiments and evidence from the Sub-Antarctic region. These results provide key clues for quantifying the role of the dissolved inorganic carbon content of deep Pacific waters in modulating atmospheric CO2 during the NHG.(c) 2023 Elsevier B.V. All rights reserved.</t>
  </si>
  <si>
    <t>[Jian, Zhimin; Dang, Haowen; Hu, Lili; Zhou, Xiaoli] Tongji Univ, State Key Lab Marine Geol, Shanghai, Peoples R China; [Yu, Jimin] Laoshan Lab, Qingdao 266237, Peoples R China; [Yu, Jimin] Australian Natl Univ, Res Sch Earth Sci, Canberra, ACT 2601, Australia; [Wu, Qiong] Hohai Univ, Coll Oceanog, Nanjing, Peoples R China; [Gong, Xun] China Univ Geosci, Hubei Key Lab Marine Geol Resources, Wuhan 430074, Peoples R China; [Gong, Xun; Stepanek, Christian; Lohmann, Gerrit] Alfred Wegener Inst, Helmholtz Zent Polar &amp; Meeresforschung, D-27570 Bremerhaven, Germany; [Colin, Christophe] Univ Paris Saclay, CNRS, GEOPS, F-91405 Orsay, France; [Wan, Sui] Chinese Acad Sci, South China Sea Inst Oceanol, Guangzhou, Peoples R China</t>
  </si>
  <si>
    <t>Tongji University; Laoshan Laboratory; Australian National University; Hohai University; China University of Geosciences; Helmholtz Association; Alfred Wegener Institute, Helmholtz Centre for Polar &amp; Marine Research; Centre National de la Recherche Scientifique (CNRS); Universite Paris Saclay; Universite Paris Cite; Chinese Academy of Sciences; South China Sea Institute of Oceanology, CAS</t>
  </si>
  <si>
    <t>Dang, HW (corresponding author), Tongji Univ, State Key Lab Marine Geol, Shanghai, Peoples R China.</t>
  </si>
  <si>
    <t>hwdang@tongji.edu.cn</t>
  </si>
  <si>
    <t>Stepanek, Christian/ABA-9210-2021; Hu, Lili/Q-7288-2016; Yu, Jimin/I-7770-2012</t>
  </si>
  <si>
    <t>National Natural Science Foundation of China [42188102, 42222603, 42176053, 41830539]; German BMBF [01LP1504A, 03F0785A]</t>
  </si>
  <si>
    <t>National Natural Science Foundation of China(National Natural Science Foundation of China (NSFC)); German BMBF(Federal Ministry of Education &amp; Research (BMBF))</t>
  </si>
  <si>
    <t>We thank Peijun Qiao, Xiaoying Jiang and Nana Peng for analytical support, and Jesse Farmer and another anonymous reviewer for their constructive suggestions. This work used samples provided by the IODP Expedition 363 and was supported financially by the National Natural Science Foundation of China (42188102, 42222603, 42176053 and 41830539) , and German BMBF grants PalMod (01LP1504A) and NOPAWAC (03F0785A) .</t>
  </si>
  <si>
    <t>10.1016/j.epsl.2023.118020</t>
  </si>
  <si>
    <t>8Y2DK</t>
  </si>
  <si>
    <t>WOS:000932510300001</t>
  </si>
  <si>
    <t>Winkelbauer, HA; Hoogakker, BAA; Chance, RJ; Davis, CV; Anthony, CJ; Bischoff, J; Carpenter, LJ; Chenery, SRN; Hamilton, EM; Holdship, P; Peck, VL; Poulton, AJ; Stinchcombe, MC; Wishner, KF</t>
  </si>
  <si>
    <t>Winkelbauer, Helge A. A.; Hoogakker, Babette A. A.; Chance, Rosie J. J.; Davis, Catherine V. V.; Anthony, Christopher J. J.; Bischoff, Juliane; Carpenter, Lucy J. J.; Chenery, Simon R. N.; Hamilton, Elliott M. M.; Holdship, Philip; Peck, Victoria L. L.; Poulton, Alex J. J.; Stinchcombe, Mark C. C.; Wishner, Karen F. F.</t>
  </si>
  <si>
    <t>Planktic foraminifera iodine/calcium ratios from plankton tows</t>
  </si>
  <si>
    <t>I; Ca; planktic foraminifera; plankton nets; oxygen concentration; oxygen proxy</t>
  </si>
  <si>
    <t>OXYGEN-MINIMUM-ZONE; SECONDARY NITRITE MAXIMUM; DISSOLVED IODINE; BENTHIC FORAMINIFERA; I/CA RATIOS; IODATE; WATERS; OCEAN; SPECIATION; INSIGHTS</t>
  </si>
  <si>
    <t>Planktic foraminifera test iodine to calcium ratios represent an emerging proxy method to assess subsurface seawater oxygenation states. Several core-top studies show lower planktic foraminifera I/Ca in locations with oxygen depleted subsurface waters compared to well oxygenated environments. The reasoning behind this trend is that only the oxidized species of iodine, iodate, is incorporated in foraminiferal calcite. The I/Ca of foraminiferal calcite is thought to reflect iodate contents in seawater. To test this hypothesis, we compare planktic foraminifera I/Ca ratios, obtained from plankton tows, with published and new seawater iodate concentrations from 1) the Eastern North Pacific with extensive oxygen depletion, 2) the Benguela Current System with moderately depleted oxygen concentrations, and 3) the well oxygenated North and South Atlantic. We find the lowest I/Ca ratios (0.07 mu mol/mol) in planktic foraminifera retrieved from the Eastern North Pacific, and higher values for samples (up to 0.72 mu mol/mol) obtained from the Benguela Current System and North and South Atlantic. The I/Ca ratios of plankton tow foraminifera from environments with well oxygenated subsurface waters, however, are an order of magnitude lower compared to core-tops from similarly well-oxygenated regions. This would suggest that planktic foraminifera gain iodine post-mortem, either when sinking through the water column, or during burial.</t>
  </si>
  <si>
    <t>[Winkelbauer, Helge A. A.; Hoogakker, Babette A. A.; Bischoff, Juliane; Poulton, Alex J. J.] Heriot Watt Univ, Lyell Ctr Earth &amp; Marine Sci &amp; Technol, Edinburgh, Scotland; [Chance, Rosie J. J.; Anthony, Christopher J. J.; Carpenter, Lucy J. J.] Univ York, Dept Chem, Wolfson Atmospher Chem Labs, York, England; [Davis, Catherine V. V.] North Carolina State Univ, Dept Marine Earth &amp; Atmospher Sci, Raleigh, NC USA; [Chenery, Simon R. N.; Hamilton, Elliott M. M.] British Geol Survey, Ctr Environm Geochem, Environm Sci Ctr, Inorgan Geochem, Nottingham, England; [Holdship, Philip] Univ Oxford, Dept Earth Sci, Oxford, England; [Peck, Victoria L. L.] British Antarctic Survey, BAS Arctic Working Grp, Cambridge, England; [Stinchcombe, Mark C. C.] Natl Oceanog Ctr, Ocean Biogeosci, Southampton, England; [Wishner, Karen F. F.] Univ Rhode Isl, Grad Sch Oceanog, Narragansett, RI USA</t>
  </si>
  <si>
    <t>Heriot Watt University; University of York - UK; North Carolina State University; UK Research &amp; Innovation (UKRI); Natural Environment Research Council (NERC); NERC British Geological Survey; University of Oxford; UK Research &amp; Innovation (UKRI); Natural Environment Research Council (NERC); NERC British Antarctic Survey; NERC National Oceanography Centre; University of Rhode Island</t>
  </si>
  <si>
    <t>Winkelbauer, HA; Hoogakker, BAA (corresponding author), Heriot Watt Univ, Lyell Ctr Earth &amp; Marine Sci &amp; Technol, Edinburgh, Scotland.</t>
  </si>
  <si>
    <t>helge.winkelbauer@gmail.com; b.hoogakker@hw.ac.uk</t>
  </si>
  <si>
    <t>Carpenter, Laura/JPY-0437-2023; Hamilton, Elliott/R-6846-2018; Poulton, Alex/A-9859-2012; Chenery, Simon/G-4733-2013</t>
  </si>
  <si>
    <t>Hamilton, Elliott/0000-0002-9437-5238; Carpenter, Lucy/0000-0002-6257-3950; Poulton, Alex/0000-0002-5149-6961; Davis, Catherine/0000-0003-4279-5369; Chenery, Simon/0000-0002-4096-0183; Hoogakker, Babette/0000-0002-8171-9679</t>
  </si>
  <si>
    <t>James Watt Scholarship; UKRI Future Leaders [MR/S034293/1]; UK Natural Environment Research Council (NERC) [NE/I020563/1]; NERC [NE/N009983/1, NE/W00027X/1, OCE-1459243, OCE-1851589]; National Science Foundation [NE/M020835/1]; United States National Science Foundation [NE/M020835/2]; Department for Environment, Food and Rural Affairs; Department of Energy and Climate Change [NE/H017267/1, NE/H017097/1]</t>
  </si>
  <si>
    <t>James Watt Scholarship; UKRI Future Leaders; UK Natural Environment Research Council (NERC)(UK Research &amp; Innovation (UKRI)Natural Environment Research Council (NERC)); NERC(UK Research &amp; Innovation (UKRI)Natural Environment Research Council (NERC)); National Science Foundation(National Science Foundation (NSF)); United States National Science Foundation(National Science Foundation (NSF)); Department for Environment, Food and Rural Affairs(Department for Environment, Food &amp; Rural Affairs (DEFRA)); Department of Energy and Climate Change</t>
  </si>
  <si>
    <t>This work was supported by a James Watt Scholarship awarded to HW. BH acknowledges support from UKRI Future Leaders Grant MR/S034293/1 and UK Natural Environment Research Council (NERC) grant NE/I020563/1. RC and LC profited from NERC grant NE/N009983/1 (Iodide in the ocean: distribution and impact on iodine flux and ozone loss) and NE/W00027X/1 (Iodine sea-air emissions and atmospheric impacts in a changing world (I-SEA)). Collection of the foraminifera specimens (by the MOCNESS net) in the Eastern Tropical Pacific OMZ during two research cruises was funded by National Science Foundation grant OCE-1459243 (PIs were Seibel, Wishner, and Roman). United States National Science Foundation OCE-1851589 to CD was used to support the isolation of foraminifera from MOCNESS tows in the Eastern Tropical North Pacific. The Benguela Cruise COMICS was funded by NERC with the codes NE/M020835/1 and NE/M020835/2. VP benefited from the UK Ocean Acidification research programme which was funded by the Department for Environment, Food and Rural Affairs, the NERC and the Department of Energy and Climate Change (NE/H017267/1, NE/H017097/1).</t>
  </si>
  <si>
    <t>10.3389/fmars.2023.1095570</t>
  </si>
  <si>
    <t>9F1TE</t>
  </si>
  <si>
    <t>WOS:000937256800001</t>
  </si>
  <si>
    <t>Zhu, LR; Li, SS; Zheng, WQ; Ni, WJ; Cai, M; Liu, HP</t>
  </si>
  <si>
    <t>Zhu, Li-Ran; Li, Shan-Shan; Zheng, Wan-Qun; Ni, Wei-Jian; Cai, Ming; Liu, Hai-Peng</t>
  </si>
  <si>
    <t>Targeted modulation of gut microbiota by traditional Chinese medicine and natural products for liver disease therapy</t>
  </si>
  <si>
    <t>liver disease; gut microbiota; traditional Chinese medicine; natural product; therapeutic strategy</t>
  </si>
  <si>
    <t>INTESTINAL PERMEABILITY; AXIS; METABOLISM; DYSBIOSIS; INJURY; ACIDS; MICE</t>
  </si>
  <si>
    <t>The gut microbiota not only constitutes intestinal microenvironment homeostasis and human health but also exerts indispensable roles in the occurrence and progression of multiple liver diseases, including alcohol-related liver disease, nonalcoholic fatty liver disease, autoimmune liver disease and liver cancer. Given the therapeutic status of these diseases, their prevention and early therapy are crucial, and the detailed mechanism of gut microbiota in liver disease urgently needs to be explored. Meanwhile, multiple studies have shown that various traditional Chinese medicines, such as Si Miao Formula, Jiangzhi Granules, Liushen Capsules, Chaihu-Shugan Power, Cassiae Semen and Gynostemma, as well as some natural products, including Costunolide, Coprinus comatus polysaccharide, Antarctic krill oil, Oridonin and Berberine, can repair liver injury, improve fatty liver, regulate liver immunity, and even inhibit liver cancer through multiple targets, links, and pathways. Intriguingly, the aforementioned effects demonstrated by these traditional Chinese medicines and natural products have been shown to be closely related to the gut microbiota, directly driving the strategy of traditional Chinese medicines and natural products to regulate the gut microbiota as one of the breakthroughs in the treatment of liver diseases. Based on this, this review comprehensively summarizes and discusses the characteristics, functions and potential mechanisms of these medicines targeting gut microbiota during liver disease treatment. Research on the potential effects on gut microbiota and the regulatory mechanisms of traditional Chinese medicine and natural products provides novel insights and significant references for developing liver disease treatment strategies. In parallel, such explorations will enhance the comprehension of traditional Chinese medicine and natural products modulating gut microbiota during disease treatment, thus facilitating their clinical investigation and application.</t>
  </si>
  <si>
    <t>[Zhu, Li-Ran; Liu, Hai-Peng] Anhui Prov Childrens Hosp, Anhui Inst Pediat Res, Hefei, Anhui, Peoples R China; [Zhu, Li-Ran] Chinese Acad Sci, Inst Hlth &amp; Med Technol, Hefei Inst Phys Sci, Anhui Prov Key Lab Med Phys &amp; Technol, Hefei, Anhui, Peoples R China; [Li, Shan-Shan] Anhui Prov Childrens Hosp, Dept Sci Res &amp; Educ, Hefei, Anhui, Peoples R China; [Zheng, Wan-Qun] Anhui Med Univ, Dept Chinese Med, Affiliated Hosp 1, Hefei, Anhui, Peoples R China; [Ni, Wei-Jian] Univ Sci &amp; Technol China, Anhui Prov Hosp, Affiliated Hosp 1, Dept Pharm,USTC,Div Life Sci &amp; Med, Hefei, Anhui, Peoples R China; [Ni, Wei-Jian] Anhui Med Univ, Anhui Inst Innovat Drugs, Sch Pharm, Inflammat &amp; Immune Mediated Dis Lab Anhui Prov,Key, Hefei, Anhui, Peoples R China; [Cai, Ming] Anhui Univ Tradit Chinese Med, Dept Pharm, Affiliated Hosp 2, Hefei, Anhui, Peoples R China; [Cai, Ming] Anhui Univ Tradit Chinese Med, Anhui Acupuncture &amp; Moxibust Clin Med Res Ctr, Affiliated Hosp 2, Hefei, Anhui, Peoples R China</t>
  </si>
  <si>
    <t>Chinese Academy of Sciences; Hefei Institutes of Physical Science, CAS; Anhui Medical University; Chinese Academy of Sciences; University of Science &amp; Technology of China, CAS; Anhui Medical University; Anhui University of Chinese Medicine; Anhui University of Chinese Medicine</t>
  </si>
  <si>
    <t>Liu, HP (corresponding author), Anhui Prov Childrens Hosp, Anhui Inst Pediat Res, Hefei, Anhui, Peoples R China.;Ni, WJ (corresponding author), Univ Sci &amp; Technol China, Anhui Prov Hosp, Affiliated Hosp 1, Dept Pharm,USTC,Div Life Sci &amp; Med, Hefei, Anhui, Peoples R China.;Ni, WJ (corresponding author), Anhui Med Univ, Anhui Inst Innovat Drugs, Sch Pharm, Inflammat &amp; Immune Mediated Dis Lab Anhui Prov,Key, Hefei, Anhui, Peoples R China.;Cai, M (corresponding author), Anhui Univ Tradit Chinese Med, Dept Pharm, Affiliated Hosp 2, Hefei, Anhui, Peoples R China.;Cai, M (corresponding author), Anhui Univ Tradit Chinese Med, Anhui Acupuncture &amp; Moxibust Clin Med Res Ctr, Affiliated Hosp 2, Hefei, Anhui, Peoples R China.</t>
  </si>
  <si>
    <t>niweijian@ustc.edu.cn; hefeicaiming@126.com; itishaipeng@yeah.net</t>
  </si>
  <si>
    <t>Liu, Haipeng/A-1879-2012</t>
  </si>
  <si>
    <t>Ni, Wei-Jian/0000-0002-9844-0578</t>
  </si>
  <si>
    <t>10.3389/fimmu.2023.1086078</t>
  </si>
  <si>
    <t>9F1TF</t>
  </si>
  <si>
    <t>WOS:000937256900001</t>
  </si>
  <si>
    <t>Majewski, W; Szczucinski, W; Gooday, AJ</t>
  </si>
  <si>
    <t>Majewski, Wojciech; Szczucinski, Witold; Gooday, Andrew J.</t>
  </si>
  <si>
    <t>Unique benthic foraminiferal communities (stained) in diverse environments of sub-Antarctic fjords, South Georgia</t>
  </si>
  <si>
    <t>CLIMATE-CHANGE; WEDDELL SEA; ICE SHELF; METHANE SEEPAGE; ROSS SEA; OCEAN; ECOLOGY; SEDIMENT; ISLAND; ASSEMBLAGES</t>
  </si>
  <si>
    <t>Sub-Antarctic fjords are among the environments most affected by the recent climate change. In our dynamically changing world, it is essential to monitor changes in these vulnerable settings. Here, we present a baseline study of living  (rose-bengal-stained) benthic foraminifera from fjords of South Georgia, including fjords with and without tidewater glaciers. Their distribution is analyzed in the light of new fjord water and sediment property data, including grain size and sorting, total organic carbon, total sulfur, and delta C-13 of bulk organic matter. Four well-defined foraminiferal assemblages are recognized. Miliammina earlandi dominates in the most restricted, near-shore and glacier-proximal habitats, Cassidulinoides aff. parkerianus in mid-fjord areas, and Globocassidulina aff. rossensis and an assemblage dominated by Ammobaculites rostratus, Reophax subfusiformis, and Astrononion echolsi are in the outer parts of the fjords. Miliammina earlandi can tolerate strong glacial influence, including high sedimentation rates in fjord heads and sediment anoxia, as inferred from sediment color and total organic carbon / sulfur ratios. This versatile species thrives both in the food-poor inner reaches of fjords that receive mainly refractory petrogenic organic matter from glacial meltwater and in shallow-water coves, where it benefits from an abundant supply of fresh, terrestrial, and marine organic matter. A smooth-walled variant of C. aff. parkerianus, apparently endemic to South Georgia, is the calcareous rotaliid best adapted to inner-fjord conditions characterized by moderate glacial influence and sedimentation rates and showing no preference for particular sedimentary redox conditions. The outer parts of fjords with clear, well-oxygenated bottom water are inhabited by G. aff. rossensis. Ammobaculites rostratus, R. subfusiformis, and A. echolsi dominate in the deepest-water settings, with water salinities &gt;= 33.9 PSU and temperatures 0.2-1.4 ?, characteristic of winter water and Upper Circumpolar Deep Water. The inner- and mid-fjord foraminiferal assemblages seem specific to South Georgia, although with continued warming and deglaciation, they may become more widespread in the Southern Ocean.</t>
  </si>
  <si>
    <t>[Majewski, Wojciech] Polish Acad Sci, Inst Paleobiol, Twarda 51 55, PL-00818 Warsaw, Poland; [Szczucinski, Witold] Adam Mickiewicz Univ, Inst Geol, Geohazards Res Unit, Bogumila Krygowskiego 12, PL-61680 Poznan, Poland; [Gooday, Andrew J.] Natl Oceanog Ctr, Ocean BioGeosci, European Way, Southampton SO14 3ZH, England; [Gooday, Andrew J.] Nat Hist Museum, Life Sci Dept, Cromwell Rd, London SW7 5BD, England</t>
  </si>
  <si>
    <t>Polish Academy of Sciences; Institute of Paleobiology of the Polish Academy of Sciences; Adam Mickiewicz University; NERC National Oceanography Centre; University of Southampton; Natural History Museum London</t>
  </si>
  <si>
    <t>Majewski, W (corresponding author), Polish Acad Sci, Inst Paleobiol, Twarda 51 55, PL-00818 Warsaw, Poland.</t>
  </si>
  <si>
    <t>wmaj@twarda.pan.pl</t>
  </si>
  <si>
    <t>Szczuciński, Witold/A-3612-2008</t>
  </si>
  <si>
    <t>Szczuciński, Witold/0000-0003-2466-2263</t>
  </si>
  <si>
    <t>Polish National Science Centre [2018/31/B/ST10/02886]</t>
  </si>
  <si>
    <t>The study has been funded by Polish National Science Centre (grant no. 2018/31/B/ST10/02886).</t>
  </si>
  <si>
    <t>10.5194/bg-20-523-2023</t>
  </si>
  <si>
    <t>8N4HE</t>
  </si>
  <si>
    <t>WOS:000925109500001</t>
  </si>
  <si>
    <t>Oyabu, I; Kawamura, K; Fujita, S; Inoue, R; Motoyama, H; Fukui, K; Hirabayashi, M; Hoshina, Y; Kurita, N; Nakazawa, F; Ohno, H; Sugiura, K; Suzuki, T; Tsutaki, S; Abe-Ouchi, A; Niwano, M; Parrenin, F; Saito, F; Yoshimori, M</t>
  </si>
  <si>
    <t>Oyabu, Ikumi; Kawamura, Kenji; Fujita, Shuji; Inoue, Ryo; Motoyama, Hideaki; Fukui, Kotaro; Hirabayashi, Motohiro; Hoshina, Yu; Kurita, Naoyuki; Nakazawa, Fumio; Ohno, Hiroshi; Sugiura, Konosuke; Suzuki, Toshitaka; Tsutaki, Shun; Abe-Ouchi, Ayako; Niwano, Masashi; Parrenin, Frederic; Saito, Fuyuki; Yoshimori, Masakazu</t>
  </si>
  <si>
    <t>Temporal variations of surface mass balance over the last 5000 years around Dome Fuji, Dronning Maud Land, East Antarctica</t>
  </si>
  <si>
    <t>ANNUAL BE-10 DATA; COSMIC-RAY EVENT; ICE-CORE; SNOW ACCUMULATION; SOUTHERN-OCEAN; HOLOCENE CLIMATE; ATLANTIC SECTOR; TEMPERATURE VARIABILITY; PAST MILLENNIUM; LAW DOME</t>
  </si>
  <si>
    <t>We reconstructed surface mass balance (SMB) around Dome Fuji, Antarctica, over the last 5000 years using the data from 15 shallow ice cores and seven snow pits. The depth-age relationships for the ice cores were determined by synchronizing them with a layer-counted ice core from West Antarctica (WAIS Divide ice core) using volcanic signals. The reconstructed SMB records for the last 4000 years show spatial patterns that may be affected by their locations relative to the ice divides around Dome Fuji, proximity to the ocean, and wind direction. The SMB records from the individual ice cores and snow pits were stacked to reconstruct the SMB history in the Dome Fuji area. The stacked record exhibits a long-term decreasing trend at -0.037 +/- 0.005 kg m(-2) per century over the last 5000 years in the preindustrial period. The decreasing trend may be the result of long-term surface cooling over East Antarctica and the Southern Ocean and sea ice expansion in the water vapor source areas. The multidecadal to centennial variations of the Dome Fuji SMB after detrending the record shows four distinct periods during the last millennium: a mostly negative period before 1300 CE, a slightly positive period from 1300 to 1450 CE, a slightly negative period from 1450 to 1850 CE with a weak maximum around 1600 CE, and a strong increase after 1850 CE. These variations are consistent with those of previously reconstructed SMB records in the East Antarctic plateau. The low accumulation rate periods tend to coincide with the combination of strong volcanic forcings and solar minima for the last 1000 years, but the correspondence is not clear for the older periods, possibly because of the lack of coincidence of volcanic and solar forcings or the deterioration of the SMB record due to a smaller number of stacked cores.</t>
  </si>
  <si>
    <t>[Oyabu, Ikumi; Kawamura, Kenji; Fujita, Shuji; Motoyama, Hideaki; Hirabayashi, Motohiro; Nakazawa, Fumio; Tsutaki, Shun] Natl Inst Polar Res, Tokyo 1908518, Japan; [Kawamura, Kenji; Fujita, Shuji; Inoue, Ryo; Motoyama, Hideaki; Nakazawa, Fumio; Tsutaki, Shun] Grad Univ Adv Studies SOKENDAI, Dept Polar Sci, Tokyo 1908518, Japan; [Kawamura, Kenji] Japan Agcy Marine Sci &amp; Technol, Yokosuka 2370061, Japan; [Fukui, Kotaro] Tateyama Caldera Sabo Museum, Toyama 9301405, Japan; [Hoshina, Yu] Nagoya Univ, Grad Sch Environm Studies, Nagoya 4648601, Japan; [Kurita, Naoyuki] Nagoya Univ, Inst Space Earth Environm Sci, Nagoya 4648601, Japan; [Ohno, Hiroshi] Inst Technol, Sch Earth &amp; Energy &amp; Environm Engn, Kitami 0908507, Japan; [Sugiura, Konosuke] Univ Toyama, Sch Sustainable Design, Toyama 9308555, Japan; [Suzuki, Toshitaka] Yamagata Univ, Fac Sci, Yamagata 9908560, Japan; [Abe-Ouchi, Ayako; Yoshimori, Masakazu] Univ Tokyo, Atmosphere &amp; Ocean Res Inst, Tokyo 2778564, Japan; [Niwano, Masashi] Japan Meteorol Agcy, Meteorol Res Inst, Phys Meteorol Res Dept, Tsukuba 3050052, Japan; [Parrenin, Frederic] Univ Grenoble Alpes, CNRS, IRD, Grenoble INP,IGE, F-38000 Grenoble, France; [Saito, Fuyuki] Japan Agcy Marine Sci &amp; Technol, Yokohama 2360001, Japan</t>
  </si>
  <si>
    <t>Research Organization of Information &amp; Systems (ROIS); National Institute of Polar Research (NIPR) - Japan; Graduate University for Advanced Studies - Japan; Japan Agency for Marine-Earth Science &amp; Technology (JAMSTEC); Nagoya University; Nagoya University; University of Toyama; Yamagata University; University of Tokyo; Japan Meteorological Agency; Meteorological Research Institute - Japan; Centre National de la Recherche Scientifique (CNRS); Institut de Recherche pour le Developpement (IRD); Communaute Universite Grenoble Alpes; Universite Grenoble Alpes (UGA); Institut National Polytechnique de Grenoble; Japan Agency for Marine-Earth Science &amp; Technology (JAMSTEC)</t>
  </si>
  <si>
    <t>Oyabu, I (corresponding author), Natl Inst Polar Res, Tokyo 1908518, Japan.</t>
  </si>
  <si>
    <t>oyabu.ikumi@nipr.ac.jp</t>
  </si>
  <si>
    <t>Ohno, Hiroshi/L-7899-2014; Abe-Ouchi, Ayako A/M-6359-2013; Tsutaki, Shun/AAQ-4678-2021; Oyabu, Ikumi/AGE-1164-2022; Kawamura, Kenji/C-7660-2011; Niwano, Masashi/N-6723-2016; Fujita, Shuji/A-7884-2016; Motoyama, Hideaki/E-6103-2013</t>
  </si>
  <si>
    <t>Abe-Ouchi, Ayako A/0000-0003-1745-5952; Tsutaki, Shun/0000-0002-5716-225X; Oyabu, Ikumi/0000-0001-8017-1085; Kawamura, Kenji/0000-0003-1163-700X; Niwano, Masashi/0000-0003-3121-3802; Fujita, Shuji/0000-0003-0127-0777; Motoyama, Hideaki/0000-0003-2533-320X</t>
  </si>
  <si>
    <t>Japan Society for the Promotion of Science (JSPS); Ministry of Education, Culture, Sports, Science and Technology-Japan (MEXT) KAKENHI [20H04327, 17H06320, 20H00639, 18H05294, 21221002, 18H04139, 25871050, 18K18176, 20H04978, 17K05664]; JST FOREST Program grant [JPMJFR216X]; NIPR Research Projects [KP305]; Grants-in-Aid for Scientific Research [22H00033, 22K12364, 20H00639, 20H04327, 20H04978, 20H04982] Funding Source: KAKEN</t>
  </si>
  <si>
    <t>Japan Society for the Promotion of Science (JSPS)(Ministry of Education, Culture, Sports, Science and Technology, Japan (MEXT)Japan Society for the Promotion of Science); Ministry of Education, Culture, Sports, Science and Technology-Japan (MEXT) KAKENHI(Ministry of Education, Culture, Sports, Science and Technology, Japan (MEXT)Japan Society for the Promotion of ScienceGrants-in-Aid for Scientific Research (KAKENHI)); JST FOREST Program grant; NIPR Research Projects; Grants-in-Aid for Scientific Research(Ministry of Education, Culture, Sports, Science and Technology, Japan (MEXT)Japan Society for the Promotion of ScienceGrants-in-Aid for Scientific Research (KAKENHI))</t>
  </si>
  <si>
    <t>This study was supported by Japan Society for the Promotion of Science (JSPS) and Ministry of Education, Culture, Sports, Science and Technology-Japan (MEXT) KAKENHI (grant no. 20H04327 to Ikumi Oyabu, grant nos. 17H06320 and 20H00639 to Kenji Kawamura, grant no. 18H05294 to Shuji Fujita, grant nos. 21221002 and 18H04139 to Hideaki Motoyama, grant no. 25871050 to Motohiro Hirabayashi, grant nos. 18K18176 and 20H04978 to Shun Tsutaki, and grant no. 17K05664 to Fuyuki Saito), by a JST FOREST Program grant (JPMJFR216X) to Ikumi Oyabu, and by NIPR Research Projects (Advanced Project and KP305).</t>
  </si>
  <si>
    <t>10.5194/cp-19-293-2023</t>
  </si>
  <si>
    <t>8N5KX</t>
  </si>
  <si>
    <t>WOS:000925188500001</t>
  </si>
  <si>
    <t>Gao, QG; Zeman, C; Vergara-Temprado, J; Lima, DCA; Molnar, P; Schär, C</t>
  </si>
  <si>
    <t>Gao, Qinggang; Zeman, Christian; Vergara-Temprado, Jesus; Lima, Daniela C. A.; Molnar, Peter; Schar, Christoph</t>
  </si>
  <si>
    <t>Vortex streets to the lee of Madeira in a kilometre-resolution regional climate model</t>
  </si>
  <si>
    <t>WEATHER AND CLIMATE DYNAMICS</t>
  </si>
  <si>
    <t>PAST ISOLATED TOPOGRAPHY; POTENTIAL-VORTICITY; AERIAL OBSERVATIONS; STRATIFIED FLOW; ISLAND; WAKE; MACARONESIA; PERFORMANCE; ALGORITHM; MECHANISM</t>
  </si>
  <si>
    <t>Atmospheric vortex streets are a widely studied dynamical effect of isolated mountainous islands. Observational evidence comes from case studies and satellite imagery, but the climatology and annual cycle of vortex shedding are often poorly understood. Using the non-hydrostatic limited-area COSMO model driven by the ERA-Interim reanalysis, we conducted a 10-year-long simulation over a mesoscale domain covering the Madeira and Canary archipelagos at high spatial (grid spacing of 1 km ) and temporal resolutions. Basic properties of vortex streets were analysed and validated through a 6 d long case study in the lee of Madeira Island. The simulation compares well with satellite and aerial observations and with existing literature on idealised simulations. Our results show a strong dependency of vortex shedding on local and synoptic-flow conditions, which are to a large extent governed by the location, shape and strength of the Azores high. As part of the case study, we developed a vortex identification algorithm. The algorithm is based on a set of criteria and enabled us to develop a climatology of vortex shedding from Madeira Island for the 10-year simulation period. The analysis shows a pronounced annual cycle with an increasing vortex-shedding rate from April to August and a sudden decrease in September. This cycle is consistent with mesoscale wind conditions and local inversion height patterns.</t>
  </si>
  <si>
    <t>[Gao, Qinggang; Zeman, Christian; Vergara-Temprado, Jesus; Schar, Christoph] Swiss Fed Inst Technol, Inst Atmospher &amp; Climate Sci, Zurich, Switzerland; [Molnar, Peter] Swiss Fed Inst Technol, Inst Environm Engn, Zurich, Switzerland; [Lima, Daniela C. A.] Univ Lisbon, Fac Ciencias, Inst Dom Luiz IDL, P-1250096 Lisbon, Portugal; [Gao, Qinggang] Ice Dynam &amp; Paleoclimate British Antarctic Survey, Cambridge, England; [Gao, Qinggang] Univ Cambridge, Dept Earth Sci, Cambridge, England; [Vergara-Temprado, Jesus] UBS, Zurich, Switzerland</t>
  </si>
  <si>
    <t>Swiss Federal Institutes of Technology Domain; ETH Zurich; Swiss Federal Institutes of Technology Domain; ETH Zurich; Universidade de Lisboa; University of Cambridge</t>
  </si>
  <si>
    <t>Zeman, C (corresponding author), Swiss Fed Inst Technol, Inst Atmospher &amp; Climate Sci, Zurich, Switzerland.</t>
  </si>
  <si>
    <t>christian.zeman@env.ethz.ch</t>
  </si>
  <si>
    <t>; Schar, Christoph/A-1033-2008</t>
  </si>
  <si>
    <t>Gao, Qinggang/0000-0001-5561-1720; Schar, Christoph/0000-0002-4171-1613</t>
  </si>
  <si>
    <t>PRACE; Swiss National Supercomputing Centre (CSCS); Federal Office for Meteorology and Climatology MeteoSwiss, CSCS; ETH Zurich; Pre-defined Project-2 National Roadmap for Adaptation XXI [PDP-2]; European Environment Agency (EEA); Portuguese Environment Agency</t>
  </si>
  <si>
    <t>PRACE; Swiss National Supercomputing Centre (CSCS); Federal Office for Meteorology and Climatology MeteoSwiss, CSCS; ETH Zurich(ETH Zurich); Pre-defined Project-2 National Roadmap for Adaptation XXI; European Environment Agency (EEA); Portuguese Environment Agency</t>
  </si>
  <si>
    <t>We acknowledge PRACE (Partnership for Advanced Computing in Europe) for awarding us access to Piz Daint at the Swiss National Supercomputing Centre (CSCS). We also acknowledge the Federal Office for Meteorology and Climatology MeteoSwiss, CSCS and ETH Zurich for their contributions to the development of the GPU-accelerated version of COSMO. We would like to thank Jacopo Canton for his contribution to the development and testing of the generic cell identification algorithm. Daniela C. A. Lima would like to acknowledge the financial support by Pre-defined Project-2 National Roadmap for Adaptation XXI (PDP-2) funded by European Environment Agency (EEA) financial mechanism 2014-2021 and the Portuguese Environment Agency.</t>
  </si>
  <si>
    <t>2698-4016</t>
  </si>
  <si>
    <t>WEATHER CLIM DYNAM</t>
  </si>
  <si>
    <t>10.5194/wcd-4-189-2023</t>
  </si>
  <si>
    <t>IU5C8</t>
  </si>
  <si>
    <t>WOS:001168853900001</t>
  </si>
  <si>
    <t>Martinez-Méndez, D; Bravo-Acosta, M</t>
  </si>
  <si>
    <t>Martinez-Mendez, Dilia; Bravo-Acosta, Mariolga</t>
  </si>
  <si>
    <t>The challenges faced after a major trauma at an expedition ship at a remote area. Report of one Case</t>
  </si>
  <si>
    <t>REVISTA MEDICA DE CHILE</t>
  </si>
  <si>
    <t>Accidents; Antarctic Regions; Wounds and Injuries</t>
  </si>
  <si>
    <t>CRUISE SHIPS; MANAGEMENT</t>
  </si>
  <si>
    <t>The challenges of practicing medicine in small ships on remote sites involve limited resources, lack of specialized support, and longer interactions with a patient in an isolated environment. This report describes the successful management of a patient who suffered a major injury after fell from the stairs in an expedition ship in the Southern Ocean in the Antarctic route. The patient was managed by the onboard physician for four days until the medical evacuation was possible.</t>
  </si>
  <si>
    <t>[Martinez-Mendez, Dilia] Immunol Unit Prof Nola Montiel, Maracaibo, Venezuela; [Bravo-Acosta, Mariolga] Hosp Gen Guasmo Sur, Serv Med Interna, Guayaquil, Ecuador</t>
  </si>
  <si>
    <t>Martinez-Méndez, D (corresponding author), Immunol Unit Prof Nola Montiel, Maracaibo, Venezuela.</t>
  </si>
  <si>
    <t>dkmartinez.mw@gmail.com</t>
  </si>
  <si>
    <t>SOC MEDICA SANTIAGO</t>
  </si>
  <si>
    <t>SANTIAGO 9</t>
  </si>
  <si>
    <t>BERNARDA MORIN 488 PROVIDENCIA, CASILLA 168 CORREO 55, SANTIAGO 9, 00000, CHILE</t>
  </si>
  <si>
    <t>0034-9887</t>
  </si>
  <si>
    <t>0717-6163</t>
  </si>
  <si>
    <t>REV MED CHILE</t>
  </si>
  <si>
    <t>Rev. Medica Chile</t>
  </si>
  <si>
    <t>Medicine, General &amp; Internal</t>
  </si>
  <si>
    <t>General &amp; Internal Medicine</t>
  </si>
  <si>
    <t>Y5UT2</t>
  </si>
  <si>
    <t>WOS:001105914300012</t>
  </si>
  <si>
    <t>Combes, V; Matano, RP; Meredith, MP; Young, EF</t>
  </si>
  <si>
    <t>Combes, V.; Matano, R. P.; Meredith, M. P.; Young, E. F.</t>
  </si>
  <si>
    <t>Variability of the Shelf Circulation Around South Georgia, Southern Ocean</t>
  </si>
  <si>
    <t>ANTARCTIC CIRCUMPOLAR CURRENT; INTERANNUAL VARIABILITY; SEA-ICE; TRANSPORT; NORTH; NUTRIENT</t>
  </si>
  <si>
    <t>A high-resolution ocean model is used to characterize the variability of the shelf circulation and cross-shelf transport around the South Georgia island (SG). The time-mean shelf circulation consists of a counterclockwise flow with a net onshelf mass flow in the south and a net offshelf mass flow in the north. In the south, the cross-shelf exchanges show a two-layer structure with an offshelf flow below 350 m and onshelf flow above. In the north, the cross-shelf exchanges show a three-layer structure with the onshelf flow found only between 350 and 50 m. Correlation analysis shows that winds and the Southern Antarctic Circumpolar Current Front (SACCF) current modulate the variability of the shelf circulation and cross-shelf transport. Local wind stress is significantly correlated with the coastal currents, mid-shelf jet, and cross-shelf transports in the upper layer, while the SACCF modulates the shelf and cross-shelf transports in the southwestern shelf. Likewise, an Empirical Orthogonal Function analysis indicates that the first mode of shelf circulation variability is highly correlated with the SACCF, while the second mode is explained by the local wind stress and significantly correlated with the Antarctic Oscillation. The El Nino Southern Oscillation does not significantly contribute to the shelf circulation but is significantly correlated with the surface temperature variability. The atmospheric teleconnection drives changes in local heat flux, such that warm El Nino conditions over the equatorial Pacific are associated with a cooling of the SG waters. This superposes local signals onto temperature anomalies advected from upstream in the ACC found in previous studies.</t>
  </si>
  <si>
    <t>[Combes, V.] Inst Mediterrani Estudis Avancats IMEDEA CSIC UIB, Esporles, Spain; [Combes, V.] Univ Illes Balears, Dept Fis, Palma De Mallorca, Spain; [Combes, V.; Matano, R. P.] Oregon State Univ, Coll Earth Ocean &amp; Atmospher Sci, Corvallis, OR 97331 USA; [Meredith, M. P.; Young, E. F.] British Antarctic Survey, Cambridge, England</t>
  </si>
  <si>
    <t>Consejo Superior de Investigaciones Cientificas (CSIC); ATTITUS Educacao; Universitat de les Illes Balears; Oregon State University; UK Research &amp; Innovation (UKRI); Natural Environment Research Council (NERC); NERC British Antarctic Survey</t>
  </si>
  <si>
    <t>Combes, V (corresponding author), Inst Mediterrani Estudis Avancats IMEDEA CSIC UIB, Esporles, Spain.;Combes, V (corresponding author), Univ Illes Balears, Dept Fis, Palma De Mallorca, Spain.;Combes, V (corresponding author), Oregon State Univ, Coll Earth Ocean &amp; Atmospher Sci, Corvallis, OR 97331 USA.</t>
  </si>
  <si>
    <t>vcombes@imedea.uib-csic.es</t>
  </si>
  <si>
    <t>combes, vincent/0000-0002-0416-1827; Young, Emma/0000-0002-7069-6109; Matano, Ricardo/0000-0001-5177-4610</t>
  </si>
  <si>
    <t>NSF [OCE-1830856, OCE-2149093, OCE-2149292]; NASA [80NSSC21K0559]; Ramon y Cajal Program [RYC2020-029306-I]; European Social Fund/Universitat de les Illes Balears/Spanish State Research Agency; Spanish Government through the Maria de Maeztu Centre of Excellence accreditation to IMEDEA [CSIC-UIB, CEX2021-001198]; Natural Environment Research Council via the BAS Polar Oceans program [NE/W004933/1]; NERC [NE/W004933/1] Funding Source: UKRI</t>
  </si>
  <si>
    <t>NSF(National Science Foundation (NSF)); NASA(National Aeronautics &amp; Space Administration (NASA)); Ramon y Cajal Program(Spanish Government); European Social Fund/Universitat de les Illes Balears/Spanish State Research Agency; Spanish Government through the Maria de Maeztu Centre of Excellence accreditation to IMEDEA; Natural Environment Research Council via the BAS Polar Oceans program; NERC(UK Research &amp; Innovation (UKRI)Natural Environment Research Council (NERC))</t>
  </si>
  <si>
    <t>The authors thank the two anonymous reviewers for their insightful comments and suggestions. V. Combes and R. Matano acknowledge the support of NSF Grants OCE-1830856, OCE-2149093, and OCE-2149292 and NASA Award 80NSSC21K0559. V. Combes also acknowledges the support from the Ramon y Cajal Program (RYC2020-029306-I) and from the European Social Fund/Universitat de les Illes Balears/Spanish State Research Agency (AEI-10.13039/501100011033). The present research was carried out within the framework of the activities of the Spanish Government through the Maria de Maeztu Centre of Excellence accreditation to IMEDEA (CSIC-UIB) (CEX2021-001198). The participation of M. Meredith and E. Young was funded by the Natural Environment Research Council via the BAS Polar Oceans program, including Award NE/W004933/1 (BIOPOLE).</t>
  </si>
  <si>
    <t>e2022JC019257</t>
  </si>
  <si>
    <t>10.1029/2022JC019257</t>
  </si>
  <si>
    <t>9W5KQ</t>
  </si>
  <si>
    <t>WOS:000949116400001</t>
  </si>
  <si>
    <t>Corkill, M; Moreau, S; Janssens, J; Fraser, AD; Heil, P; Tison, JL; Cougnon, EA; Genovese, C; Kimura, N; Meiners, KM; Wongpan, P; Lannuzel, D</t>
  </si>
  <si>
    <t>Corkill, M.; Moreau, S.; Janssens, J.; Fraser, A. D.; Heil, P.; Tison, J. -l.; Cougnon, E. A.; Genovese, C.; Kimura, N.; Meiners, K. M.; Wongpan, P.; Lannuzel, D.</t>
  </si>
  <si>
    <t>Physical and Biogeochemical Properties of Rotten East Antarctic Summer Sea Ice</t>
  </si>
  <si>
    <t>Antarctica; thermodynamics; biogeochemistry; ice textures; internal communities; floe trajectories</t>
  </si>
  <si>
    <t>WESTERN WEDDELL SEA; PLATELET ICE; SEASONAL DEVELOPMENT; SNOW-COVER; MELT PONDS; SHELF; OCEAN; WATER; VARIABILITY; EVOLUTION</t>
  </si>
  <si>
    <t>Sea ice forms a barrier to the exchange of energy, gases, moisture and particles between the ocean and atmosphere around Antarctica. Ice temperature, salinity and the composition of ice crystals determine whether a particular slab of sea ice is habitable for microorganisms and permeable to exchanges between the ocean and atmosphere, allowing, for example, carbon dioxide (CO2) from the atmosphere to be absorbed or outgassed by the ocean. Spring sea ice can have high concentrations of algae and absorb atmospheric CO2. In the summer of 2016-2017 off East Antarctica, we found decayed and porous granular ice layers in the interior of the ice column, which showed high algal pigment concentrations. The maximum chlorophyll a observed in the interior of the ice column was 67.7 mu g/L in a 24% porous granular ice layer between 0.8 and 0.9 m depth in 1.7 m thick ice, compared to an overall mean sea-ice chlorophyll a (&amp; PLUSMN; one standard deviation) of 13.5 +/- 21.8 mu g/L. We also found extensive surface melting, with instances of snow meltwater apparently percolating through the ice, as well as impermeable superimposed ice layers that had refrozen along with melt ponds on top of the ice. With future warming, the structures we describe here could occur earlier and/or become more persistent, meaning that sea ice would be more often characterized by patchy permeability and interior ice algal accumulations.</t>
  </si>
  <si>
    <t>[Corkill, M.; Lannuzel, D.] Univ Tasmania, Inst Marine &amp; Antarctic Studies, Hobart, Tas, Australia; [Moreau, S.] Norwegian Polar Res Inst, Tromso, Norway; [Janssens, J.] Commonwealth Sci &amp; Ind Res Org CSIRO, Hobart, Tas, Australia; [Fraser, A. D.; Heil, P.; Meiners, K. M.; Wongpan, P.] Univ Tasmania, Inst Marine &amp; Antarctic Studies, Australian Antarctic Program Partnership, Hobart, Tas, Australia; [Heil, P.; Meiners, K. M.] Australian Antarctic Div, Dept Climate Change Energy Environm &amp; Water, Kingston, Tas, Australia; [Tison, J. -l.; Genovese, C.] Univ Libre Bruxelles, Dept Geosci Environm &amp; Soc DGES, Lab Glaciol, Brussels, Belgium; [Cougnon, E. A.] Univ Tasmania, Integrated Marine Observing Syst, Australian Ocean Data Network, Hobart, Tas, Australia; [Kimura, N.] Univ Tokyo, Atmosphere &amp; Ocean Res Inst, Kashiwa, Japan; [Meiners, K. M.; Lannuzel, D.] Univ Tasmania, Inst Marine &amp; Antarctic Studies, Australian Ctr Excellence Antarctic Sci, Hobart, Tas, Australia</t>
  </si>
  <si>
    <t>University of Tasmania; Norwegian Polar Institute; Commonwealth Scientific &amp; Industrial Research Organisation (CSIRO); University of Tasmania; Australian Antarctic Division; Universite Libre de Bruxelles; University of Tasmania; University of Tokyo; University of Tasmania</t>
  </si>
  <si>
    <t>Corkill, M (corresponding author), Univ Tasmania, Inst Marine &amp; Antarctic Studies, Hobart, Tas, Australia.</t>
  </si>
  <si>
    <t>Matthew.Corkill@utas.edu.au</t>
  </si>
  <si>
    <t>Wongpan, Pat/AAX-6946-2020; Cougnon, Eva/C-4110-2014; Lannuzel, Delphine/J-7937-2014</t>
  </si>
  <si>
    <t>Wongpan, Pat/0000-0002-7113-8221; Fraser, Alexander/0000-0003-1924-0015; Moreau, Sebastien/0000-0001-9446-812X; Heil, Petra/0000-0003-2078-0342; Janssens, Julie/0000-0003-1789-9940; Corkill, Matthew/0000-0002-5847-3738</t>
  </si>
  <si>
    <t>Australian Antarctic Research Program [4390, 4506, 4546, ASCI000002]; Australian government as part of the Antarctic Science Collaboration Initiative program [SR140300001]; Australian Research Council's Special Research Initiative for Antarctic Gateway Partnership [405]; International Space Science Institute (Bern, Switzerland) [L0026677]; Australian Research Council Future Fellowship; [AAS 4291]</t>
  </si>
  <si>
    <t>Australian Antarctic Research Program; Australian government as part of the Antarctic Science Collaboration Initiative program(Australian Government); Australian Research Council's Special Research Initiative for Antarctic Gateway Partnership(Australian Research Council); International Space Science Institute (Bern, Switzerland); Australian Research Council Future Fellowship(Australian Research Council);</t>
  </si>
  <si>
    <t>MC, SM, JJ and DL contributed to the conception of this work. MC, SM, JJ, ADF, PH, J-LT, EAC, CG and DL contributed to data acquisition. All authors contributed to data analysis and interpretation. MC wrote this manuscript and all authors substantively revised it. Authors would like to thank L. Ratnarajah, M. Roca-Marti, V. Puigcorbe, S. Twiname and the officers and crew of the RSV Aurora Australis for their support during Voyage 2 2016-2017, S. Tibben for macro-nutrient analyses, C. Dietz for stable oxygen isotope analyses, A. Silvano for insights into glacial-melt water sources and oceanography of the study area, P. J. Langhorne for discussion of platelet-ice processes, and B. Delille for assisting with sea-ice thin section work. This project was supported through the Australian Antarctic Research Program (AAS 4291, 4390, 4506 and 4546) and the Australian government as part of the Antarctic Science Collaboration Initiative program, and it contributes to Project 6 of the Australian Antarctic Program Partnership (project ID ASCI000002). SM and CG were supported by the Australian Research Council's Special Research Initiative for Antarctic Gateway Partnership (project ID SR140300001). PH acknowledges support through the International Space Science Institute (Bern, Switzerland) project number 405. DL is supported by an Australian Research Council Future Fellowship (L0026677). Open access publishing facilitated by University of Tasmania, as part of the Wiley - University of Tasmania agreement via the Council of Australian University Librarians.</t>
  </si>
  <si>
    <t>e2022JC018875</t>
  </si>
  <si>
    <t>10.1029/2022JC018875</t>
  </si>
  <si>
    <t>8U2CX</t>
  </si>
  <si>
    <t>WOS:000929758900001</t>
  </si>
  <si>
    <t>Dawson, HRS; Morrison, AK; England, MH; Tamsitt, V</t>
  </si>
  <si>
    <t>Dawson, Hannah R. S.; Morrison, Adele K.; England, Matthew H.; Tamsitt, Veronica</t>
  </si>
  <si>
    <t>Pathways and Timescales of Connectivity Around the Antarctic Continental Shelf</t>
  </si>
  <si>
    <t>particle tracking; Antarctica; advection timescales; connectivity; Antarctic Slope Current; coastal current</t>
  </si>
  <si>
    <t>BOTTOM WATER FORMATION; TOOTHFISH DISSOSTICHUS-MAWSONI; CIRCUMPOLAR DEEP-WATER; LOW GENETIC DIVERSITY; SEA-ICE; SLOPE CURRENT; ROSS-SEA; NORTH-ATLANTIC; OCEAN; VARIABILITY</t>
  </si>
  <si>
    <t>The Antarctic Slope Current (ASC) and Antarctic Coastal Current advect heat, freshwater, nutrients, and biological organisms westward around the Antarctic margin, providing a connective link between different sectors of the continental shelf. Yet the strength and pathways of connectivity around the continent, and the timescales of advection, remain poorly understood. We use daily velocity fields from a global high-resolution ocean-sea ice model, combined with Lagrangian particle tracking, to shed light on these timescales and improve our understanding of circumpolar connectivity around Antarctica. Virtual particles were released along vertical transects over the continental shelf every 5 days for a year and were tracked forward in time for 21 years. Analysis of the resulting particle trajectories highlights that the West Antarctic sector has widespread connectivity with all regions of the Antarctic shelf. Advection around the continent is typically rapid with peak transit times of 1-5 years for particles to travel 90 degrees of longitude downstream. The ASC plays a key role in driving connectivity in East Antarctica and the Weddell Sea, while the Coastal Current controls connectivity in West Antarctica, the eastern Antarctic Peninsula, and along the continental shelf east of Prydz Bay. Connectivity around the shelf is impeded in two main locations, namely, the tip of the Antarctic Peninsula and Cape Adare in the Ross Sea, where significant export of water from the continental shelf is found. These findings help to understand the locations and timescales over which anomalies, such as meltwater from the Antarctic Ice Sheet, can be redistributed downstream.</t>
  </si>
  <si>
    <t>[Dawson, Hannah R. S.] Univ New South Wales, ARC Ctr Excellence Climate Extremes, Sydney, NSW, Australia; [Dawson, Hannah R. S.; England, Matthew H.] Univ New South Wales, Climate Change Res Ctr, Sydney, NSW, Australia; [Dawson, Hannah R. S.; England, Matthew H.] Univ New South Wales, Australian Ctr Excellence Antarctic Sci, Sydney, NSW, Australia; [Morrison, Adele K.] Australian Natl Univ, Australian Ctr Excellence Antarctic Sci, Canberra, ACT, Australia; [Morrison, Adele K.] Australian Natl Univ, Res Sch Earth Sci, Canberra, ACT, Australia; [Tamsitt, Veronica] Univ S Florida, Coll Marine Sci, St Petersburg, FL USA</t>
  </si>
  <si>
    <t>University of New South Wales Sydney; University of New South Wales Sydney; University of New South Wales Sydney; Australian National University; Australian National University; State University System of Florida; University of South Florida</t>
  </si>
  <si>
    <t>Dawson, HRS (corresponding author), Univ New South Wales, ARC Ctr Excellence Climate Extremes, Sydney, NSW, Australia.;Dawson, HRS (corresponding author), Univ New South Wales, Climate Change Res Ctr, Sydney, NSW, Australia.;Dawson, HRS (corresponding author), Univ New South Wales, Australian Ctr Excellence Antarctic Sci, Sydney, NSW, Australia.</t>
  </si>
  <si>
    <t>hannah.dawson@unsw.edu.au</t>
  </si>
  <si>
    <t>England, Matthew/A-7539-2011; Morrison, Adele/C-1774-2012</t>
  </si>
  <si>
    <t>England, Matthew/0000-0001-9696-2930; Dawson, Hannah/0000-0001-9113-1329; Morrison, Adele/0000-0002-9904-4980</t>
  </si>
  <si>
    <t>Australian Government; Australian Research Council; ARC Australian Centre for Excellence in Antarctic Science; ARC [SR200100008]; ARC Discovery Project [DP190100494]; Australian Research Council DECRA Fellowship [DE170100184]; Centre for Southern Hemisphere Oceans Research</t>
  </si>
  <si>
    <t>Australian Government(Australian Government); Australian Research Council(Australian Research Council); ARC Australian Centre for Excellence in Antarctic Science(Australian Research Council); ARC(Australian Research Council); ARC Discovery Project(Australian Research Council); Australian Research Council DECRA Fellowship(Australian Research Council); Centre for Southern Hemisphere Oceans Research(Commonwealth Scientific &amp; Industrial Research Organisation (CSIRO))</t>
  </si>
  <si>
    <t>We thank the Consortium for Ocean-Sea Ice Modelling in Australia (COSIMA; ) for their technical help, and continued development of the ACCESS-OM2 model, as well as the Parcels team for their support and ongoing development of the Lagrangian particle tracking software. We also thank Matthew Mazloff at Scripps Institution of Oceanography for providing access to the 1/12 degrees Southern Ocean State Estimate (SOSE) output, as well as two reviewers for their comments which helped improve the paper. The simulations in this project were conducted with resources and services from the National Computational Infrastructure which is supported by the Australian Government. This study was supported by the Australian Research Council, including the ARC Australian Centre for Excellence in Antarctic Science (ACEAS; ARC Grant SR200100008) and ARC Discovery Project DP190100494. AKM was supported by the Australian Research Council DECRA Fellowship DE170100184. VT and MHE acknowledge support from the Centre for Southern Hemisphere Oceans Research. CSHOR is a joint research Centre for Southern Hemisphere Oceans Research between QNLM, CSIRO, UNSW, and UTAS. Open access publishing facilitated by University of New South Wales, as part of the Wiley - University of New South Wales agreement via the Council of Australian University Librarians.</t>
  </si>
  <si>
    <t>e2022JC018962</t>
  </si>
  <si>
    <t>10.1029/2022JC018962</t>
  </si>
  <si>
    <t>9W5JM</t>
  </si>
  <si>
    <t>WOS:000949113400001</t>
  </si>
  <si>
    <t>Langhorne, PJ; Haas, C; Price, D; Rack, W; Leonard, GH; Brett, GM; Urbini, S</t>
  </si>
  <si>
    <t>Langhorne, P. J.; Haas, C.; Price, D.; Rack, W.; Leonard, G. H.; Brett, G. M.; Urbini, S.</t>
  </si>
  <si>
    <t>Fast Ice Thickness Distribution in the Western Ross Sea in Late Spring</t>
  </si>
  <si>
    <t>sea ice thickness; fast ice; platelet ice; Ross sea; airborne electromagnetics; ice-ocean interaction</t>
  </si>
  <si>
    <t>TERRA-NOVA BAY; SHELF WATER PLUME; MCMURDO-SOUND; PLATELET LAYER; BRIEF-COMMUNICATION; GLACIER TONGUE; FREEBOARD; VARIABILITY; POLYNYA; ANTARCTICA</t>
  </si>
  <si>
    <t>We present a 700 km airborne electromagnetic survey of late-spring fast ice and sub-ice platelet layer (SIPL) thickness distributions from McMurdo Sound to Cape Adare, providing a first-time inventory of fast ice thickness close to its annual maximum. The overall mode of the consolidated ice (including snow) thickness was 1.9 m, less than its mean of 2.6 +/- 1.0 m. Our survey was partitioned into level and rough ice, and SIPL thickness was estimated under level ice. Although level ice, with a mode of 2.0 m and mean of 2.0 +/- 0.6 m, was prevalent, rough ice occupied 41% of the transect by length, 50% by volume, and had a mode of 3.3 m and mean of 3.2 +/- 1.2 m. The thickest 10% of rough ice was almost 6 m on average, inclusive of a 2 km segment thicker than 8 m in Moubray Bay. The thickest ice occurred predominantly along the northwestern Ross Sea, due to compaction against the coast. The adjacent pack ice was thinner (by similar to 1 m) than the first-year fast ice. In Silverfish Bay, offshore Hells Gate Ice Shelf, New Harbor, and Granite Harbor, the SIPL transect volume was a significant fraction (0.30) of the consolidated ice volume. The thickest 10% of SIPLs averaged nearly 3 m thick, and near Hells Gate Ice Shelf the SIPL was almost 10 m thick, implying vigorous heat loss to the ocean (similar to 90 W m(-2)). We conclude that polynya-induced ice deformation and interaction with continental ice influence fast ice thickness in the western Ross Sea.</t>
  </si>
  <si>
    <t>[Langhorne, P. J.] Univ Otago, Dept Phys, Dunedin, New Zealand; [Haas, C.] Alfred Wegener Inst Polar &amp; Marine Res, Bremerhaven, Germany; [Price, D.; Rack, W.; Brett, G. M.] Univ Canterbury, Gateway Antarctica, Christchurch, New Zealand; [Leonard, G. H.] Univ Otago, Sch Surveying, Dunedin, New Zealand; [Urbini, S.] Ist Nazl Geofis &amp; Vulcanol, Rome, Italy</t>
  </si>
  <si>
    <t>University of Otago; Helmholtz Association; Alfred Wegener Institute, Helmholtz Centre for Polar &amp; Marine Research; University of Canterbury; University of Otago; Istituto Nazionale Geofisica e Vulcanologia (INGV)</t>
  </si>
  <si>
    <t>Langhorne, PJ (corresponding author), Univ Otago, Dept Phys, Dunedin, New Zealand.</t>
  </si>
  <si>
    <t>pat.langhorne@otago.ac.nz</t>
  </si>
  <si>
    <t>Haas, Christian/L-5279-2016; Leonard, Greg/F-7157-2010; Langhorne, Pat/C-3539-2018; Rack, Wolfgang/U-8898-2017</t>
  </si>
  <si>
    <t>Haas, Christian/0000-0002-7674-3500; Leonard, Greg/0000-0001-7679-9486; Langhorne, Pat/0000-0003-0239-7657; urbini, stefano/0000-0002-8053-4197; Rack, Wolfgang/0000-0003-2447-377X</t>
  </si>
  <si>
    <t>NZ Deep South National Science Challenge; Antarctica NZ [K066]; Italian Antarctic program; staff at Scott Base; Mario Zucchelli Station; Alberta Ingenuity and the Canada Research Chairs programmes</t>
  </si>
  <si>
    <t>NZ Deep South National Science Challenge; Antarctica NZ; Italian Antarctic program; staff at Scott Base; Mario Zucchelli Station; Alberta Ingenuity and the Canada Research Chairs programmes</t>
  </si>
  <si>
    <t>This project was funded by the NZ Deep South National Science Challenge. We are very grateful for the support of Antarctica NZ (event K066) and the Italian Antarctic program and the staff at Scott Base and Mario Zucchelli Station. We particularly thank Johno Leitch, Tracey Bean and their teams for excellent ground support for aircraft operations. This project would not have been possible without KBA BT67 crew Jamie Chisholm, Aaron Neyrinck, and Jan Verburg. The AEM equipment used in this study was developed with grants from the Alberta Ingenuity and the Canada Research Chairs programmes to CH. Two anonymous reviewers are thanked for their careful assessment of the manuscript. Open access publishing facilitated by University of Otago, as part of the Wiley - University of Otago agreement via the Council of Australian University Librarians.</t>
  </si>
  <si>
    <t>e2022JC019459</t>
  </si>
  <si>
    <t>10.1029/2022JC019459</t>
  </si>
  <si>
    <t>8Z3NK</t>
  </si>
  <si>
    <t>WOS:000933289200001</t>
  </si>
  <si>
    <t>Yamazaki, K; Aoki, S; Mizobata, K</t>
  </si>
  <si>
    <t>Yamazaki, Kaihe; Aoki, Shigeru; Mizobata, Kohei</t>
  </si>
  <si>
    <t>Diffusion of Circumpolar Deep Water Towards Antarctica</t>
  </si>
  <si>
    <t>Southern Ocean; Antarctic Circumpolar Current; Antarctic Slope Current; Circumpolar Deep Water; Antarctica; heat transport</t>
  </si>
  <si>
    <t>SOUTHERN-OCEAN; EDDY DIFFUSIVITY; SEA-ICE; CIRCULATION; VARIABILITY; TRANSPORT; SHELF</t>
  </si>
  <si>
    <t>Warm, salty Circumpolar Deep Water (CDW) is recognized as the primary driver for Antarctic glacial melt, but the mechanism by which it reaches the continental shelves remains highly uncertain from an observational standpoint. With the scarcity of eddy flux estimation in the Antarctic margin, we quantify the isopycnal diffusivity of CDW using hydrographic variability and satellite altimetry under the mixing length framework. For comparison, the spiciness and thickness are used as isopycnal tracers, and the two tracers yield qualitatively similar estimates. Over the Antarctic Circumpolar Current (ACC), variation of mixing length is generally aligned with the jet-induced mixing suppression, including in areas where topography blocks the jet's influence. In contrast, the mixing length does not depend on the mean flow in the subpolar zone, likely reflecting the relatively quiescent flow regime. The estimated isopycnal diffusivity ranges from 100 to 500 m(2) s(-1) south of the ACC. The eddy diffusivity tends to be enhanced where the gradient of isopycnal thickness becomes small and CDW intrudes onshore. The cross-slope eddy CDW flux is estimated, and the associated onshore heat flux across is calculated as similar to 3.6 TW in the eastern Indian sector. The eddy heat flux and coastal solar heating are generally balanced with cryospheric heat sinks including glacial melting and surface freezing, suggesting that the eddy advection is substantial for the onshore CDW flux. The thickness field is essential for determining mixing length and eddy fluxes in the subpolar zone, however this is not the case in the ACC domain.</t>
  </si>
  <si>
    <t>[Yamazaki, Kaihe; Aoki, Shigeru] Hokkaido Univ, Inst Low Temp Sci, Sapporo, Japan; [Yamazaki, Kaihe] Hokkaido Univ, Grad Sch Environm Sci, Sapporo, Japan; [Yamazaki, Kaihe] Natl Inst Polar Res, Tachikawa, Japan; [Yamazaki, Kaihe] Univ Tasmania, Inst Marine &amp; Antarctic Studies, Hobart, Tas, Australia; [Mizobata, Kohei] Tokyo Univ Marine Sci &amp; Technol, Tokyo, Japan</t>
  </si>
  <si>
    <t>Hokkaido University; Hokkaido University; Research Organization of Information &amp; Systems (ROIS); National Institute of Polar Research (NIPR) - Japan; University of Tasmania; Tokyo University of Marine Science &amp; Technology</t>
  </si>
  <si>
    <t>Yamazaki, K (corresponding author), Hokkaido Univ, Inst Low Temp Sci, Sapporo, Japan.;Yamazaki, K (corresponding author), Hokkaido Univ, Grad Sch Environm Sci, Sapporo, Japan.;Yamazaki, K (corresponding author), Natl Inst Polar Res, Tachikawa, Japan.;Yamazaki, K (corresponding author), Univ Tasmania, Inst Marine &amp; Antarctic Studies, Hobart, Tas, Australia.</t>
  </si>
  <si>
    <t>kaiheyamazaki@gmail.com</t>
  </si>
  <si>
    <t>Yamazaki, Kaihe/HRC-7878-2023; Mizobata, Kohei/D-6369-2012</t>
  </si>
  <si>
    <t>Yamazaki, Kaihe/0000-0003-3631-5365;</t>
  </si>
  <si>
    <t>JSPS KAKENHI [21H04918, 22J00870]; Grants-in-Aid for Scientific Research [22J00870]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</si>
  <si>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</si>
  <si>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are grateful to the Argo Program and the MEOP project for significant deployment efforts in the Southern Ocean and successive QC processes. B. Pena-Molino provided the I9S mooring records. This study was supported by JSPS KAKENHI (grant number 21H04918, 22J00870).</t>
  </si>
  <si>
    <t>e2022JC019422</t>
  </si>
  <si>
    <t>10.1029/2022JC019422</t>
  </si>
  <si>
    <t>9W5JJ</t>
  </si>
  <si>
    <t>WOS:000949113100001</t>
  </si>
  <si>
    <t>Zhou, L; Heuzé, C; Mohrmann, M</t>
  </si>
  <si>
    <t>Zhou, Lu; Heuze, Celine; Mohrmann, Martin</t>
  </si>
  <si>
    <t>Sea Ice Production in the 2016 and 2017 Maud Rise Polynyas</t>
  </si>
  <si>
    <t>sea ice production; Maud Rise polynya; ocean heat flux; energy budget</t>
  </si>
  <si>
    <t>SOUTHERN-OCEAN POLYNYAS; HEAT-FLUX; WEDDELL SEA; TURBULENT EXCHANGE; RADIATIVE-TRANSFER; DEEP-WATER; ROSS SEA; THICKNESS; MAINTENANCE; VARIABILITY</t>
  </si>
  <si>
    <t>Sea ice production within polynyas, an outcome of the atmosphere-ice-ocean interaction, is a major source of dense water and hence key to the global overturning circulation, but is poorly quantified over open-ocean polynyas. Using the two recent extensive open-ocean polynyas within the wider Maud Rise region of the Weddell Sea in 2016 and 2017, we here explore the sea ice energy budget and estimate their sea ice production based on satellite retrievals, in-situ hydrographic observations and the Japanese 55-year Reanalysis. We find that the oceanic heat flux amounts to 36.1 and 30.7 W m(-2) within the 2016 and 2017 polynyas, respectively. Especially the 2017 open-ocean polynya produced nearly 200 km(3) of new sea ice, which is comparable to the production in the largest Antarctic coastal polynyas. Finally, we determine that ice production is highly correlated with and sensitive to skin temperature and wind speed, which affect the turbulent fluxes. It is also strongly sensitive to uncertainties in the sea ice concentration and 1,000 hPa temperature, which all urgently need to be better monitored at high latitudes. Lastly, more process-oriented campaigns are required to further elucidate the role of open-ocean polynya on the local and global ocean circulations.</t>
  </si>
  <si>
    <t>[Zhou, Lu; Heuze, Celine] Univ Gothenburg, Dept Earth Sci, Gothenburg, Sweden; [Mohrmann, Martin] Univ Gothenburg, Dept Marine Sci, Gothenburg, Sweden</t>
  </si>
  <si>
    <t>University of Gothenburg; University of Gothenburg</t>
  </si>
  <si>
    <t>Zhou, L (corresponding author), Univ Gothenburg, Dept Earth Sci, Gothenburg, Sweden.</t>
  </si>
  <si>
    <t>lu.zhou@gu.se</t>
  </si>
  <si>
    <t>yang, liu/JXX-5043-2024; Heuzé, Céline/U-5058-2017; Keyes, Dennis/AAZ-9285-2021; Zhou, Lu/KAM-1449-2024</t>
  </si>
  <si>
    <t>Heuzé, Céline/0000-0002-8850-5868; Zhou, Lu/0000-0001-8520-937X; Mohrmann, Martin/0000-0001-8056-4866</t>
  </si>
  <si>
    <t>Swedish National Space Agency [164/18]</t>
  </si>
  <si>
    <t>Swedish National Space Agency(Swedish National Space Agency (SNSA))</t>
  </si>
  <si>
    <t>Funding for this work was provided by the Swedish National Space Agency, Grant 164/18 awarded to C.H. The authors would like to thank Birte Guelk and Dr. Aditya Narayanan from the Department of Marine Sciences, University of Gothenburg, Sweden; Dr. Malin OEdalen from GEOMAR Helmholtz-Zentrum fuer Ozeanforschung Kiel, Ocean Circulation and Climate Dynamics, Kiel, Germany; Dr. Stefanie Arndt from the Alfred Wegener Institute, Bremerhaven, Germany; and Julia Kukulies and Hui-Wen Lai from the Department of Earth Sciences, University of Gothenburg, Sweden, for their help with our data questions. The authors would like to thank the two anonymous reviewers for their constructive suggestions.</t>
  </si>
  <si>
    <t>e2022JC019148</t>
  </si>
  <si>
    <t>10.1029/2022JC019148</t>
  </si>
  <si>
    <t>9W5JO</t>
  </si>
  <si>
    <t>WOS:000949113600001</t>
  </si>
  <si>
    <t>Devloo-Delva, F; Burridge, CP; Kyne, PM; Brunnschweiler, JM; Chapman, DD; Charvet, P; Chen, X; Cliff, G; Daly, R; Drymon, JM; Espinoza, M; Fernando, D; Barcia, LG; Glaus, K; González-Garza, BI; Grant, MI; Gunasekera, RM; Hernandez, S; Hyodo, S; Jabado, RW; Jaquemet, S; Johnson, G; Ketchum, JT; Magalon, H; Marthick, JR; Mollen, FH; Mona, S; Naylor, GJP; Nevill, JEG; Phillips, NM; Pillans, RD; Postaire, BD; Smoothey, AF; Tachihara, K; Tillet, BJ; Valerio-Vargas, JA; Feutry, P</t>
  </si>
  <si>
    <t>Devloo-Delva, Floriaan; Burridge, Christopher P.; Kyne, Peter M.; Brunnschweiler, Juerg M.; Chapman, Demian D.; Charvet, Patricia; Chen, Xiao; Cliff, Geremy; Daly, Ryan; Drymon, J. Marcus; Espinoza, Mario; Fernando, Daniel; Barcia, Laura Garcia; Glaus, Kerstin; Gonzalez-Garza, Blanca I.; Grant, Michael I.; Gunasekera, Rasanthi M.; Hernandez, Sebastian; Hyodo, Susumu; Jabado, Rima W.; Jaquemet, Sebastien; Johnson, Grant; Ketchum, James T.; Magalon, Helene; Marthick, James R.; Mollen, Frederik H.; Mona, Stefano; Naylor, Gavin J. P.; Nevill, John E. G.; Phillips, Nicole M.; Pillans, Richard D.; Postaire, Bautisse D.; Smoothey, Amy F.; Tachihara, Katsunori; Tillet, Bree J.; Valerio-Vargas, Jorge A.; Feutry, Pierre</t>
  </si>
  <si>
    <t>From rivers to ocean basins: The role of ocean barriers and philopatry in the genetic structuring of a cosmopolitan coastal predator</t>
  </si>
  <si>
    <t>close-kin; DArTseq; DNA forensics; genetic connectivity; mitogenome; provenance</t>
  </si>
  <si>
    <t>SHARKS CARCHARHINUS-LEUCAS; MITOCHONDRIAL-DNA EVOLUTION; R PACKAGE; POPULATION-STRUCTURE; FISHERIES MANAGEMENT; LIFE-HISTORY; BULL; PHYLOGEOGRAPHY; IDENTIFICATION; PATTERNS</t>
  </si>
  <si>
    <t>The Bull Shark (Carcharhinus leucas) faces varying levels of exploitation around the world due to its coastal distribution. Information regarding population connectivity is crucial to evaluate its conservation status and local fishing impacts. In this study, we sampled 922 putative Bull Sharks from 19 locations in the first global assessment of population structure of this cosmopolitan species. Using a recently developed DNA-capture approach (DArTcap), samples were genotyped for 3400 nuclear markers. Additionally, full mitochondrial genomes of 384 Indo-Pacific samples were sequenced. Reproductive isolation was found between and across ocean basins (eastern Pacific, western Atlantic, eastern Atlantic, Indo-West Pacific) with distinct island populations in Japan and Fiji. Bull Sharks appear to maintain gene flow using shallow coastal waters as dispersal corridors, whereas large oceanic distances and historical land-bridges act as barriers. Females tend to return to the same area for reproduction, making them more susceptible to local threats and an important focus for management actions. Given these behaviors, the exploitation of Bull Sharks from insular populations, such as Japan and Fiji, may instigate local decline that cannot readily be replenished by immigration, which can in turn affect ecosystem dynamics and functions. These data also supported the development of a genetic panel to ascertain the population of origin, which will be useful in monitoring the trade of fisheries products and assessing population-level impacts of this harvest.</t>
  </si>
  <si>
    <t>[Devloo-Delva, Floriaan; Gunasekera, Rasanthi M.; Feutry, Pierre] CSIRO, Oceans &amp; Atmosphere, Hobart, Tas, Australia; [Devloo-Delva, Floriaan] Univ Tasmania, Inst Marine &amp; Antarctic Studies, Quantitat Marine Sci, Hobart, Tas, Australia; [Devloo-Delva, Floriaan; Burridge, Christopher P.] Univ Tasmania, Sch Nat Sci, Discipline Biol Sci, Hobart, Tas, Australia; [Kyne, Peter M.] Charles Darwin Univ, Res Inst Environm &amp; Livelihoods, Darwin, NT, Australia; [Chapman, Demian D.; Barcia, Laura Garcia] Florida Int Univ, Dept Biol Sci, North Miami, FL USA; [Charvet, Patricia] Univ Fed Ceara PPGSis UFC, Programa Posgrad Sistemat Uso &amp; Conservac Biodive, Fortaleza, Ceara, Brazil; [Chen, Xiao] South China Agr Univ, Coll Vet Med, Guangzhou, Peoples R China; [Cliff, Geremy] KwaZulu Natal Sharks Board, ZA-4320 Umhlanga, South Africa; [Cliff, Geremy] Univ KwaZulu Natal, Sch Life Sci, Durban, South Africa; [Daly, Ryan] South African Assoc Marine Biol Res, Oceanog Res Inst, Durban, South Africa; [Daly, Ryan] South African Inst Aquat Biodivers, Mkhanda, South Africa; [Drymon, J. Marcus] Mississippi State Univ, Coastal Res &amp; Extens Ctr, Biloxi, MS USA; [Drymon, J. Marcus] Mississippi Alabama Sea Grant Consortium, Ocean Springs, MS USA; [Espinoza, Mario; Valerio-Vargas, Jorge A.] Univ Costa Rica, Ctr Invest Ciencias Mar &amp; Limnol, San Jose, Costa Rica; [Espinoza, Mario; Valerio-Vargas, Jorge A.] Univ Costa Rica, Escuela Biol, San Jose, Costa Rica; [Fernando, Daniel] Blue Resources Trust, Colombo, Sri Lanka; [Glaus, Kerstin] Univ South Pacific, Fac Sci Technol &amp; Environm, Sch Marine Studies, Suva, Fiji; [Gonzalez-Garza, Blanca I.; Ketchum, James T.] Pelagios Kakunja, La Paz, Mexico; [Grant, Michael I.; Jabado, Rima W.] James Cook Univ, Coll Sci &amp; Engn, Ctr Sustainable Trop Fisheries &amp; Aquaculture, Townsville, Qld, Australia; [Hernandez, Sebastian] Univ VERITAS, Ctr Int Programs, Biomol Lab, San Jose, Costa Rica; [Hernandez, Sebastian] Univ Catolica Norte, Fac Ciencias Mar, Sala Colecc, Coquimbo, Chile; [Hyodo, Susumu] Univ Tokyo, Atmosphere &amp; Ocean Res Inst, Lab Physiol, Kashiwa, Chiba, Japan; [Jabado, Rima W.] Elasmo Project, Dubai, U Arab Emirates; [Jaquemet, Sebastien; Magalon, Helene; Postaire, Bautisse D.] Univ La Reunion, Univ Nouvelle Caledonie, UMR ENTROPIE, Fac Sci &amp; Technol,IRD,CNRS,IFREMER, La Reunion 09, France; [Johnson, Grant] Dept Ind Tourism &amp; Trade, Aquat Resource Res Unit, Darwin, NT, Australia; [Ketchum, James T.] MigraMar, Olema, CA USA; [Marthick, James R.] Univ Tasmania, Menzies Inst Med Res, Hobart, Tas, Australia; [Mollen, Frederik H.] Elasmobranch Res, Bonheiden, Belgium; [Mona, Stefano] Univ Antilles, Sorbonne Univ, Inst Systemat Evolut Biodivers ISYEB UMR 7205, Museum Natl Hist Nat,CNRS,EPHE, Paris, France; [Mona, Stefano] PSL Res Univ, EPHE, Paris, France; [Naylor, Gavin J. P.] Univ Florida, Florida Museum Nat Hist, Gainesville, FL USA; [Nevill, John E. G.] Environm Seychelles, Victoria, Seychelles; [Phillips, Nicole M.] Univ Southern Mississippi, Sch Biol Environm &amp; Earth Sci, Hattiesburg, MS USA; [Pillans, Richard D.] CSIRO, Oceans &amp; Atmosphere, Dutton Pk, Qld, Australia; [Smoothey, Amy F.] Sydney Inst Marine Sci, NSW Dept Primary Ind, Fisheries Res, Mosman, NSW, Australia; [Tachihara, Katsunori] Univ Ryukyus, Fac Sci, Lab Fisheries Biol &amp; Coral Reef Studies, Nishihara, Okinawa, Japan; [Tillet, Bree J.] Univ Queensland, Diamantina Inst, Translat Res Inst, Brisbane, Qld, Australia</t>
  </si>
  <si>
    <t>Commonwealth Scientific &amp; Industrial Research Organisation (CSIRO); University of Tasmania; University of Tasmania; Charles Darwin University; State University System of Florida; Florida International University; South China Agricultural University; University of Kwazulu Natal; National Research Foundation - South Africa; South African Institute for Aquatic Biodiversity; Mississippi State University; Universidad Costa Rica; Universidad Costa Rica; University of the South Pacific; James Cook University; Universidad Catolica del Norte; University of Tokyo; Ifremer; Institut de Recherche pour le Developpement (IRD); University of La Reunion; Centre National de la Recherche Scientifique (CNRS); University of Tasmania; Menzies Institute for Medical Research; Museum National d'Histoire Naturelle (MNHN); Sorbonne Universite; Universite PSL; Ecole Pratique des Hautes Etudes (EPHE); Centre National de la Recherche Scientifique (CNRS); CNRS - Institute of Ecology &amp; Environment (INEE); Universite PSL; Ecole Pratique des Hautes Etudes (EPHE); State University System of Florida; University of Florida; University of Southern Mississippi; Commonwealth Scientific &amp; Industrial Research Organisation (CSIRO); Sydney Institute of Marine Science; NSW Department of Primary Industries; University of the Ryukyus; University of Queensland</t>
  </si>
  <si>
    <t>Devloo-Delva, F (corresponding author), CSIRO, Oceans &amp; Atmosphere, Hobart, Tas, Australia.</t>
  </si>
  <si>
    <t>floriaan.devloo-delva@csiro.au</t>
  </si>
  <si>
    <t>Charvet, Patricia/P-1822-2018; Burridge, Chris/L-4392-2019; Grant, Michael Ian/M-8884-2019; Phillips, Nicole/AAC-3700-2020; Magalon, Helene/ABH-1252-2020; Feutry, Pierre/D-7469-2011; Brunnschweiler, Juerg/A-2110-2008; Devloo-Delva, Floriaan/L-8657-2016; Mollen, Frederik/AAG-7965-2020; Gunasekera, Rasanthi/A-2318-2012; Burridge, Christopher/J-2653-2012</t>
  </si>
  <si>
    <t>Charvet, Patricia/0000-0002-8801-433X; Grant, Michael Ian/0000-0002-6127-8968; Phillips, Nicole/0000-0002-4138-4966; Magalon, Helene/0000-0002-7061-955X; Brunnschweiler, Juerg/0000-0002-9901-3279; Devloo-Delva, Floriaan/0000-0002-6757-2949; Mollen, Frederik/0000-0002-9934-1029; Gunasekera, Rasanthi/0000-0003-1990-2752; Cliff, Geremy/0000-0003-1790-6055; Chapman, Demian/0000-0002-7976-0947; Burridge, Christopher/0000-0002-8185-6091; Hyodo, Susumu/0000-0001-8146-2386; Postaire, Bautisse/0000-0001-8566-1040; Kyne, Peter/0000-0003-4494-2625; JAQUEMET, Sebastien/0000-0003-4199-4657; Pillans, Richard/0000-0001-6234-8764</t>
  </si>
  <si>
    <t>Sea World Research and Rescue Foundation [27]; National Environmental Science Program, Marine Biodiversity Hub [A1]; CSIRO</t>
  </si>
  <si>
    <t>Sea World Research and Rescue Foundation; National Environmental Science Program, Marine Biodiversity Hub; CSIRO(Commonwealth Scientific &amp; Industrial Research Organisation (CSIRO))</t>
  </si>
  <si>
    <t>Sea World Research and Rescue Foundation, Grant/Award Number: No 27; National Environmental Science Program, Marine Biodiversity Hub, Grant/Award Number: A1; CSIRO, Grant/Award Number: Ord River Research Off set</t>
  </si>
  <si>
    <t>e9837</t>
  </si>
  <si>
    <t>10.1002/ece3.9837</t>
  </si>
  <si>
    <t>E5SC9</t>
  </si>
  <si>
    <t>WOS:000976129300046</t>
  </si>
  <si>
    <t>Gutterman, WS; Doran, PT; Virginia, RA; Barrett, JE; Myers, KF; Tulaczyk, SM; Foley, NT; Mikucki, JA; Dugan, HA; Grombacher, DJ; Bording, TS; Auken, E</t>
  </si>
  <si>
    <t>Gutterman, W. S.; Doran, P. T.; Virginia, R. A.; Barrett, J. E.; Myers, K. F.; Tulaczyk, S. M.; Foley, N. T.; Mikucki, J. A.; Dugan, H. A.; Grombacher, D. J.; Bording, T. S.; Auken, E.</t>
  </si>
  <si>
    <t>Causes and Characteristics of Electrical Resistivity Variability in Shallow (&lt;4 m) Soils in Taylor Valley, East Antarctica</t>
  </si>
  <si>
    <t>airborne electromagnetic surveys; active layer; permafrost dynamics; McMurdo dry valleys</t>
  </si>
  <si>
    <t>MCMURDO DRY VALLEYS; ACTIVE LAYER SOILS; POLAR DESERT; ENVIRONMENTS; PERMAFROST; SKYTEM; LEGACY; SNOW</t>
  </si>
  <si>
    <t>Airborne electromagnetic surveys collected in December 2011 and November 2018 and three soil sampling transects were used to analyze the spatial heterogeneity of shallow (&lt; 4 m) soil properties in lower Taylor Valley (TV), East Antarctica. Soil resistivities from 2011 to 2018 ranged from similar to 33 ?m to similar to 3,500 ?m with 200 ?m assigned as an upper boundary for brine-saturated sediments. Elevations below similar to 50 m above sea level (masl) typically exhibit the lowest resistivities with resistivity increasing at high elevations on steeper slopes. Soil water content was empirically estimated from electrical resistivities using Archie's Law and range from similar to &lt; 1% to similar to 68% by volume. An increase in silt-and clay-sized particles at low elevations increases soil porosity but decreases hydraulic conductivity, promoting greater residence times of soil water at low elevations near Lake Fryxell. Soil resistivity variability between 2011 and 2018 shows soils at different stages of soil freeze-thaw cycles, which are caused predominantly by solar warming of soils as opposed to air temperature. This study furthers the understanding of the hydrogeologic structure of the shallow subsurface in TV and identifies locations of soils that are potentially prone to greater rates of thaw and resulting ecosystem homogenization of soil properties from projected increases in hydrological connectivity across the region over the coming decades.</t>
  </si>
  <si>
    <t>[Gutterman, W. S.; Doran, P. T.; Myers, K. F.] Louisiana State Univ, Dept Geol &amp; Geophys, Baton Rouge, LA 70803 USA; [Virginia, R. A.] Dartmouth Coll, Dept Environm Studies, Hanover, NH USA; [Barrett, J. E.] Virginia Tech, Dept Biol Sci, Blacksburg, VA USA; [Tulaczyk, S. M.] Univ Calif Santa Cruz, Dept Earth &amp; Planetary Sci, Santa Cruz, CA USA; [Foley, N. T.] Univ Montana Western, Environm Sci Dept, Dillon, MT USA; [Mikucki, J. A.] Univ Tennessee, Dept Microbiol, Knoxville, TN USA; [Dugan, H. A.] Univ Wisconsin Madison, Dept Integrat Biol, Madison, WI USA; [Grombacher, D. J.; Bording, T. S.; Auken, E.] Aarhus Univ, Dept Geosci, Aarhus, Denmark</t>
  </si>
  <si>
    <t>Louisiana State University System; Louisiana State University; Dartmouth College; Virginia Polytechnic Institute &amp; State University; University of California System; University of California Santa Cruz; University of Montana System; University of Montana; University of Montana Western; University of Tennessee System; University of Tennessee Knoxville; University of Wisconsin System; University of Wisconsin Madison; Aarhus University</t>
  </si>
  <si>
    <t>Gutterman, WS; Doran, PT (corresponding author), Louisiana State Univ, Dept Geol &amp; Geophys, Baton Rouge, LA 70803 USA.</t>
  </si>
  <si>
    <t>wgutte2@lsu.edu; pdoran@lsu.edu</t>
  </si>
  <si>
    <t>Bording, Thue/A-8282-2016; Tulaczyk, Slawek/O-7375-2018; Barrett, John/D-5851-2016; Auken, Esben/G-8036-2012</t>
  </si>
  <si>
    <t>Bording, Thue/0000-0003-1932-9466; Tulaczyk, Slawek/0000-0002-9711-4332; Barrett, John/0000-0002-7610-0505; Auken, Esben/0000-0002-5397-4832; Myers, Krista/0000-0002-7439-1038; Grombacher, Denys/0000-0003-2447-0085</t>
  </si>
  <si>
    <t>National Science Foundation [OPP-1637708, 1643536, 1644187, 1643687, 1643775]</t>
  </si>
  <si>
    <t>This research is funded by the National Science Foundation Grant OPP-1637708 for the McMurdo Long Term Ecological Research site and 1643536 (to PTD), 1644187 (to SMT), 1643687 (to JAM), and 1643775 (to RAV) for Antarctic Airborne Electro Magnetics (ANTAEM). Logistical support was provided by the U.S. Antarctic Program through funding from the NSF. The authors thank the McMurdo Long Term Ecological Research team members involved in collecting and processing meteorological data. The authors also want to acknowledge Michael Poage for his contributions to this study by assisting in collecting the soil transect samples and their analysis, and for providing valuable insight on the interpretation of geochemical patterns.</t>
  </si>
  <si>
    <t>e2022JF006696</t>
  </si>
  <si>
    <t>10.1029/2022JF006696</t>
  </si>
  <si>
    <t>9D3SJ</t>
  </si>
  <si>
    <t>WOS:000936020200001</t>
  </si>
  <si>
    <t>Schelpe, CAO; Gudmundsson, GH</t>
  </si>
  <si>
    <t>Schelpe, Camilla A. O.; Gudmundsson, G. Hilmar</t>
  </si>
  <si>
    <t>Incorporating Horizontal Density Variations Into Large-Scale Modeling of Ice Masses</t>
  </si>
  <si>
    <t>SHEET MODEL; FLOW</t>
  </si>
  <si>
    <t>Gravity-driven flow of large ice masses such as the Antarctic Ice Sheet (AIS) depends on both the geometry and the mass density of the ice sheet. The vertical density profile can be approximated as pure ice overlain by a firn layer of varying thickness, and for the AIS the firn thickness is not uncommonly 10%-20% of the total thickness, leading to not insignificant variation in horizontal density. Nevertheless, in most vertically integrated ice-flow models today, the density is assumed constant, sometimes with an adjustment in thickness to compensate. In this study, we explore the treatment of horizontal density variations (HDVs) within vertically integrated ice-sheet models. We assess the relative merits and shortcomings of previously proposed approaches and provide new formulations for including HDVs. We use perturbation analysis to derive analytical solutions that describe the impact of density variations on ice flow for both grounded ice and floating ice shelves, which reveal significant qualitative differences between each of the proposed density formulations. We recommend always including the horizontal gradient of the density in the body-force term of the momentum equation, and in the mass-conservationequation. Furthermore, by modeling the transient evolution of a large sector of the West Antarctic Ice Sheet (WAIS), we find that doing so leads to about a 10% correction in the estimated change in volume above flotation over 40 years. We conclude that including HDVs in flow modeling of the AIS is important for accurate predictions of mass loss.</t>
  </si>
  <si>
    <t>[Schelpe, Camilla A. O.; Gudmundsson, G. Hilmar] Northumbria Univ, Dept Geog &amp; Environm Sci, Newcastle Upon Tyne, Tyne &amp; Wear, England</t>
  </si>
  <si>
    <t>Schelpe, CAO (corresponding author), Northumbria Univ, Dept Geog &amp; Environm Sci, Newcastle Upon Tyne, Tyne &amp; Wear, England.</t>
  </si>
  <si>
    <t>camilla.schelpe@northumbria.ac.uk</t>
  </si>
  <si>
    <t>Camilla, Schelpe/HNJ-3982-2023; Gudmundsson, Gudmundur Hilmar/AAU-5987-2020</t>
  </si>
  <si>
    <t>Camilla, Schelpe/0000-0002-8674-3512; Gudmundsson, Gudmundur Hilmar/0000-0003-4236-5369</t>
  </si>
  <si>
    <t>NSFGEO-NERC [NE/S006745/1]</t>
  </si>
  <si>
    <t>NSFGEO-NERC</t>
  </si>
  <si>
    <t>This work was supported and carried out as a part of the NSFGEO-NERC funded project Processes, drivers, predictions: Modeling the response of Thwaites Glacier over the next century using ice/ocean coupled models (NE/S006745/1).</t>
  </si>
  <si>
    <t>e2022JF006744</t>
  </si>
  <si>
    <t>10.1029/2022JF006744</t>
  </si>
  <si>
    <t>9D7GY</t>
  </si>
  <si>
    <t>WOS:000936267800001</t>
  </si>
  <si>
    <t>Zhong, MY; Simons, M; Minchew, B; Zhu, LJ</t>
  </si>
  <si>
    <t>Zhong, Minyan; Simons, Mark; Minchew, Brent; Zhu, Lijun</t>
  </si>
  <si>
    <t>Inferring Tide-Induced Ephemeral Grounding in an Ice-Shelf-Stream System: Rutford Ice Stream, West Antarctica</t>
  </si>
  <si>
    <t>FLOW; BED; TOPOGRAPHY; MODULATION; GREENLAND; VELOCITY; SURFACE; INSAR; MODEL; MODIS</t>
  </si>
  <si>
    <t>Antarctic ice shelves play a key role in regulating the rate of ice flow in tributary ice streams. Temporal variations in the associated ice-shelf buttressing stress are observed to impact ice flow in glaciers and ice streams. Ephemeral grounding induced by tides is an important mechanism for modulating the buttressing stress. Here, we develop an approach to inferring variations in 3-D surface displacements at an ice-shelf-stream system that explicitly accounts for ephemeral grounding. Using a temporally dense nine-month-long synthetic-aperture radar image acquisition campaign collected over Rutford Ice Stream, West Antarctica, by the 4-satellite COSMO-SkyMed constellation, we infer the ephemeral grounding zones and the spatiotemporal variation of the fortnightly ice-flow variability. We find ephemeral grounding zones along the western ice-shelf margin as well as a few prominent ephemeral grounding points in the central trunk and in the vicinity of the grounding zone. Our observations provide evidence for tide-modulated buttressing stress and the temporally asymmetric response of ice-shelf flow to tidal forcing. Long-term oceanic warming and ice-shelf thinning will cause the loss of ephemeral grounding and decrease in ice-shelf buttressing stress.</t>
  </si>
  <si>
    <t>[Zhong, Minyan; Simons, Mark; Zhu, Lijun] CALTECH, Pasadena, CA 91125 USA; [Minchew, Brent] MIT, Cambridge, MA USA</t>
  </si>
  <si>
    <t>California Institute of Technology; Massachusetts Institute of Technology (MIT)</t>
  </si>
  <si>
    <t>Zhong, MY (corresponding author), CALTECH, Pasadena, CA 91125 USA.</t>
  </si>
  <si>
    <t>minyan.zhong@gmail.com</t>
  </si>
  <si>
    <t>; Simons, Mark/N-4397-2015</t>
  </si>
  <si>
    <t>Zhu, Lijun/0000-0002-7854-0424; Zhong, Minyan/0000-0002-1382-7061; Simons, Mark/0000-0003-1412-6395</t>
  </si>
  <si>
    <t>NSF-NERC [1853918, 1739031]</t>
  </si>
  <si>
    <t>NSF-NERC</t>
  </si>
  <si>
    <t>The authors thank ASI for their efforts in making the observational campaign at Rutford Ice Stream successful and the SAR data available. M.Z. thanks Andrew F. Thompson and Victor C. Tsai for insightful discussions. B.M. acknowledges NSF-NERC Awards 1853918 and 1739031. The authors thank editor Olga Sergienko, Alexander Robel, and an anonymous reviwer for their comments that help improve the manuscript.</t>
  </si>
  <si>
    <t>e2022JF006789</t>
  </si>
  <si>
    <t>10.1029/2022JF006789</t>
  </si>
  <si>
    <t>9A6YO</t>
  </si>
  <si>
    <t>WOS:000934201500001</t>
  </si>
  <si>
    <t>Zuhr, AM; Wahl, S; Steen-Larsen, HC; Hörhold, M; Meyer, H; Laepple, T</t>
  </si>
  <si>
    <t>Zuhr, Alexandra M.; Wahl, Sonja; Steen-Larsen, Hans Christian; Horhold, Maria; Meyer, Hanno; Laepple, Thomas</t>
  </si>
  <si>
    <t>A Snapshot on the Buildup of the Stable Water Isotopic Signal in the Upper Snowpack at EastGRIP on the Greenland Ice Sheet</t>
  </si>
  <si>
    <t>proxy; Greenland; isotopes; structure-from-motion; snow accumulation; ice core</t>
  </si>
  <si>
    <t>SURFACE SNOW; KOHNEN STATION; DEUTERIUM EXCESS; VOSTOK STATION; CLIMATE SIGNAL; ANTARCTIC FIRN; ACCUMULATION; VARIABILITY; SCALE; PRECIPITATION</t>
  </si>
  <si>
    <t>The stable water isotopic composition in firn and ice cores provides valuable information on past climatic conditions. Because of uneven accumulation and post-depositional modifications on local spatial scales up to hundreds of meters, time series derived from adjacent cores differ significantly and do not directly reflect the temporal evolution of the precipitated snow isotopic signal. Hence, a characterization of how the isotopic profile in the snow develops is needed to reliably interpret the isotopic variability in firn and ice cores. By combining digital elevation models of the snow surface and repeated high-resolution snow sampling for stable water isotope measurements of a transect at the East Greenland Ice-core Project campsite on the Greenland Ice Sheet, we are able to visualize the buildup and post-depositional changes of the upper snowpack across one summer season. To this end, 30 cm deep snow profiles were sampled on six dates at 20 adjacent locations along a 40 m transect. Near-daily photogrammetry provided snow height information for the same transect. Our data shows that erosion and redeposition of the original snowfall lead to a complex stratification in the delta O-18 signature. Post-depositional processes through vapor-snow exchange affect the near surface snow with d-excess showing a decrease in surface and near-surface layers. Our data suggests that the interplay of stratigraphic noise, accumulation intermittency, and local post-depositional processes form the proxy signal in the upper snowpack.</t>
  </si>
  <si>
    <t>[Zuhr, Alexandra M.; Meyer, Hanno; Laepple, Thomas] Alfred Wegener Inst Helmholtz Zentrum Polar &amp; Me, Res Unit Potsdam, Potsdam, Germany; [Zuhr, Alexandra M.] Univ Potsdam, Inst Geosci, Potsdam, Germany; [Wahl, Sonja] Ecole Polytech Fed Lausanne, Sch Architecture Civil &amp; Environm Engn, Lausanne, Switzerland; [Steen-Larsen, Hans Christian] Univ Bergen, Bergen, Norway; [Steen-Larsen, Hans Christian] Bjerknes Ctr Climate Res, Bergen, Norway; [Horhold, Maria] Alfred Wegener Inst Helmholtz Zent Polar &amp; Meeresf, Res Unit Bremerhaven, Bremerhaven, Germany; [Laepple, Thomas] Univ Bremen, MARUM Ctr Marine Environm Sci, Bremen, Germany; [Laepple, Thomas] Univ Bremen, Fac Geosci, Bremen, Germany</t>
  </si>
  <si>
    <t>Helmholtz Association; Alfred Wegener Institute, Helmholtz Centre for Polar &amp; Marine Research; University of Potsdam; Swiss Federal Institutes of Technology Domain; Ecole Polytechnique Federale de Lausanne; University of Bergen; Bjerknes Centre for Climate Research; University of Bremen; University of Bremen</t>
  </si>
  <si>
    <t>Zuhr, AM (corresponding author), Alfred Wegener Inst Helmholtz Zentrum Polar &amp; Me, Res Unit Potsdam, Potsdam, Germany.;Zuhr, AM (corresponding author), Univ Potsdam, Inst Geosci, Potsdam, Germany.</t>
  </si>
  <si>
    <t>alexandra.zuhr@awi.de</t>
  </si>
  <si>
    <t>Hörhold, Maria/IST-9483-2023; Wahl, Sonja/AAI-2125-2021; Meyer, Hanno/E-2870-2016; Laepple, Thomas/M-8783-2015; Steen-Larsen, Hans Christian/F-9927-2013</t>
  </si>
  <si>
    <t>Wahl, Sonja/0000-0003-3387-6298; Meyer, Hanno/0000-0003-4129-4706; Laepple, Thomas/0000-0001-8108-7520; Zuhr, Alexandra Mirjam/0000-0002-3861-365X; Steen-Larsen, Hans Christian/0000-0002-7202-5907</t>
  </si>
  <si>
    <t>European Research Council (ERC) under the European Union's Horizon 2020 research and innovation program [716092, 759526]; Denmark (A. P. Moller Foundation); University of Copenhagen; USA (US National Science Foundation, Office of Polar Programs); Germany (Alfred Wegener Institute, Helmholtz Centre for Polar and Marine Research); Japan (National Institute of Polar Research and Arctic Challenge for Sustainability); Norway (University of Bergen); Trond Mohn Foundation; Switzerland (Swiss National Science Foundation); France (French Polar Institute Paul-Emile Victor, Institute for Geosciences and Environmental research); Canada (University of Manitoba); China (Chinese Academy of Sciences); Beijing Normal University; Projekt DEAL; European Research Council (ERC) [759526] Funding Source: European Research Council (ERC)</t>
  </si>
  <si>
    <t>European Research Council (ERC) under the European Union's Horizon 2020 research and innovation program(European Research Council (ERC)); Denmark (A. P. Moller Foundation); University of Copenhagen; USA (US National Science Foundation, Office of Polar Programs); Germany (Alfred Wegener Institute, Helmholtz Centre for Polar and Marine Research); Japan (National Institute of Polar Research and Arctic Challenge for Sustainability); Norway (University of Bergen); Trond Mohn Foundation; Switzerland (Swiss National Science Foundation)(Swiss National Science Foundation (SNSF)); France (French Polar Institute Paul-Emile Victor, Institute for Geosciences and Environmental research); Canada (University of Manitoba); China (Chinese Academy of Sciences); Beijing Normal University; Projekt DEAL; European Research Council (ERC)(European Research Council (ERC)Spanish Government)</t>
  </si>
  <si>
    <t>This is a contribution to the SPACE ERC project. This work has received funding from the European Research Council (ERC) under the European Union's Horizon 2020 research and innovation program Starting Grant SPACE (Grant 716092) and Starting Grant SNOWISO (Grant 759526). EastGRIP is directed and organized by the Centre for Ice and Climate at the Niels Bohr Institute, University of Copenhagen. It is supported by funding agencies and institutions in Denmark (A. P. Moller Foundation, University of Copenhagen), USA (US National Science Foundation, Office of Polar Programs), Germany (Alfred Wegener Institute, Helmholtz Centre for Polar and Marine Research), Japan (National Institute of Polar Research and Arctic Challenge for Sustainability), Norway (University of Bergen and Trond Mohn Foundation), Switzerland (Swiss National Science Foundation), France (French Polar Institute Paul-Emile Victor, Institute for Geosciences and Environmental research), Canada (University of Manitoba), and China (Chinese Academy of Sciences and Beijing Normal University). The authors further thank Thomas Muench for helpful discussions during the planning of the study and providing the Greenland map, the AWI workshop for the construction of the photogrammetry equipment and everyone that supported this study during the field campaign and the generation of the DEMs. The authors further thank Mikaela Weiner for supporting the measurements in the Stable Isotope Facility at the Alfred Wegener Institute as well as the editor and the two reviewer for supporting and improving this article. Open Access funding enabled and organized by Projekt DEAL.</t>
  </si>
  <si>
    <t>e2022JF006767</t>
  </si>
  <si>
    <t>10.1029/2022JF006767</t>
  </si>
  <si>
    <t>9E8LN</t>
  </si>
  <si>
    <t>WOS:000937031200001</t>
  </si>
  <si>
    <t>Dinniman, MS; St-Laurent, P; Arrigo, KR; Hofmann, EE; van Dijken, GL</t>
  </si>
  <si>
    <t>Dinniman, Michael S.; St-Laurent, Pierre; Arrigo, Kevin R.; Hofmann, Eileen E.; van Dijken, Gert L.</t>
  </si>
  <si>
    <t>Sensitivity of the Relationship Between Antarctic Ice Shelves and Iron Supply to Projected Changes in the Atmospheric Forcing</t>
  </si>
  <si>
    <t>SEA-ICE; AMUNDSEN SEA; SOUTHERN-OCEAN; PHYTOPLANKTON BLOOMS; DISSOLVED IRON; CLIMATE-CHANGE; VARIABILITY; MODEL; DRIVEN; CMIP5</t>
  </si>
  <si>
    <t>Upward advection or mixing of iron-rich deep waters due to circulation changes driven by the rate of basal ice shelf melt was shown to be a primary control on chlorophyll a production in coastal polynyas over the Antarctic continental shelf. Here, the effects of atmospheric changes projected in 2100 on this relationship were examined with a 5-km resolution ocean/sea ice/ice shelf model of the Southern Ocean with different simulated dissolved iron sources and idealized biological uptake. The atmospheric changes are added as idealized increments to the forcing. Inclusion of a poleward shift and strengthening of the winds, increased precipitation, and warmer atmospheric temperatures resulted in doubling of the heat advected onto the continental shelf and an 83% increase in the total Antarctic ice shelf basal melt. The total dissolved iron supply to the surface waters over the continental shelf increased by 62%, while the surface iron supply due just to basal melt driven overturning increased by 48%. However, even though the ice shelf driven contribution becomes less important to the total iron supply on average (29% of total), the ice shelf involvement becomes relatively even more important in some locations, such as the Amundsen and Bellingshausen Seas. The modified atmospheric conditions also produced a reduction in summer sea ice extent and a shoaling of the summer mixed layers. These simulated responses to projected changes suggest relief of light and nutrient limitation for phytoplankton blooms over the Antarctic continental shelf and perhaps an increase in annual production in years to come.</t>
  </si>
  <si>
    <t>[Dinniman, Michael S.; St-Laurent, Pierre; Hofmann, Eileen E.] Old Dominion Univ, Ctr Coastal Phys Oceanog, Norfolk, VA 23529 USA; [St-Laurent, Pierre] William &amp; Mary, Virginia Inst Marine Sci, Gloucester Point, VA USA; [Arrigo, Kevin R.; van Dijken, Gert L.] Stanford Univ, Dept Earth Syst Sci, Stanford, CA USA</t>
  </si>
  <si>
    <t>Old Dominion University; William &amp; Mary; Virginia Institute of Marine Science; Stanford University</t>
  </si>
  <si>
    <t>Dinniman, MS (corresponding author), Old Dominion Univ, Ctr Coastal Phys Oceanog, Norfolk, VA 23529 USA.</t>
  </si>
  <si>
    <t>msd@ccpo.odu.edu</t>
  </si>
  <si>
    <t>Van Dijken, Gert L/C-5276-2011</t>
  </si>
  <si>
    <t>Dinniman, Michael/0000-0001-7519-9278; St-Laurent, Pierre/0000-0002-1700-9509; Arrigo, Kevin/0000-0002-7364-876X; Van Dijken, Gert/0000-0002-9587-6317</t>
  </si>
  <si>
    <t>National Science Foundation [OPP-1643652, OPP-1941292]; Wahab High Performance Computing cluster at Old Dominion University; [OPP-1643618]</t>
  </si>
  <si>
    <t>National Science Foundation(National Science Foundation (NSF)); Wahab High Performance Computing cluster at Old Dominion University;</t>
  </si>
  <si>
    <t>This research was supported by the National Science Foundation under Grants OPP-1643652 to Old Dominion University, OPP-1643618 to Stanford University, OPP-1941292 to VIMS, and by the Wahab High Performance Computing cluster at Old Dominion University. Comments from four reviewers considerably improved the manuscript.</t>
  </si>
  <si>
    <t>e2022JC019210</t>
  </si>
  <si>
    <t>10.1029/2022JC019210</t>
  </si>
  <si>
    <t>9D6BE</t>
  </si>
  <si>
    <t>WOS:000936182700001</t>
  </si>
  <si>
    <t>Frey, DI; Krechik, VA; Bashirova, LD; Ostroumova, SA; Smirnova, DA; Kuleshova, LA; Ponomarenko, EP; Morozov, EG; Ligi, M; Dudkov, IY; Sivkov, VV</t>
  </si>
  <si>
    <t>Frey, D. I.; Krechik, V. A.; Bashirova, L. D.; Ostroumova, S. A.; Smirnova, D. A.; Kuleshova, L. A.; Ponomarenko, E. P.; Morozov, E. G.; Ligi, M.; Dudkov, I. Yu.; Sivkov, V. V.</t>
  </si>
  <si>
    <t>Multiple Abyssal Jets Flowing Into the Vema Deep, Romanche Fracture Zone</t>
  </si>
  <si>
    <t>Romanche Fracture Zone; gravity currents; Antarctic Bottom Water; Vema Deep; abyssal mixing; bottom flows</t>
  </si>
  <si>
    <t>ANTARCTIC BOTTOM WATER; MID-ATLANTIC RIDGE; OCEAN; CIRCULATION; CHAIN; TRANSFORM; CHANNEL; VARIABILITY; TRANSPORT; DEPTH</t>
  </si>
  <si>
    <t>Strong acceleration of abyssal flows in narrow deep-water channels and fracture zones is a key feature of bottom circulation in the Atlantic Ocean. In the Equatorial Atlantic, these bottom currents transport Antarctic Bottom Water (AABW) over the Mid-Atlantic Ridge from west to east. The main pathway for Antarctic waters in this region is the Romanche Fracture Zone. The deepest point of this fracture zone is the Vema Deep; its maximum depth based on the published data is 7,856 m. This deep basin is filled by waters of Antarctic origin overflowing a sill in a narrow channel. During the expedition on the R/V Akademik Ioffe (August 2022), we revealed a strong flow in the middle part of the Romanche Fracture Zone and collected new data on thermohaline and kinematic structures of this gravity current. Our survey is the first observational evidence of the intense flow into the Vema Deep. At the sill, the flow splits into branches flowing through three distinct channels of intricate configuration located in the southern transform valley of the fracture zone. The northern channel is proved to be the main pathway of the coldest and densest bottom waters to the Vema Deep. We also found that vertical structure of the flow is presented by two individual jets, namely the deep and bottom jets. The total transport of AABW through the Romanche Fracture Zone at this location was estimated at 1.40 Sv; the velocities exceeding 10 cm/s were found at depths greater than 5,000 m.</t>
  </si>
  <si>
    <t>[Frey, D. I.; Krechik, V. A.; Bashirova, L. D.; Ostroumova, S. A.; Smirnova, D. A.; Kuleshova, L. A.; Ponomarenko, E. P.; Morozov, E. G.; Dudkov, I. Yu.; Sivkov, V. V.] Russian Acad Sci, Shirshov Inst Oceanol, Moscow, Russia; [Frey, D. I.; Morozov, E. G.] Russian Acad Sci, Marine Hydrophys Inst, Sevastopol, Russia; [Frey, D. I.] Moscow Inst Phys &amp; Technol, Dolgoprudnyi, Russia; [Krechik, V. A.; Bashirova, L. D.; Dudkov, I. Yu.; Sivkov, V. V.] Immanuel Kant Balt Fed Univ, Kaliningrad, Russia; [Smirnova, D. A.] Moscow MV Lomonosov State Univ, Moscow, Russia; [Ligi, M.] Italian Natl Res Council, Inst Marine Sci, Bologna, Italy</t>
  </si>
  <si>
    <t>Russian Academy of Sciences; Shirshov Institute of Oceanology; Marine Hydrophysical Institute of RAS; Russian Academy of Sciences; Moscow Institute of Physics &amp; Technology; Immanuel Kant Baltic Federal University; Lomonosov Moscow State University; Consiglio Nazionale delle Ricerche (CNR); Istituto di Scienze Marine (ISMAR-CNR)</t>
  </si>
  <si>
    <t>Frey, DI (corresponding author), Russian Acad Sci, Shirshov Inst Oceanol, Moscow, Russia.;Frey, DI (corresponding author), Russian Acad Sci, Marine Hydrophys Inst, Sevastopol, Russia.;Frey, DI (corresponding author), Moscow Inst Phys &amp; Technol, Dolgoprudnyi, Russia.</t>
  </si>
  <si>
    <t>Ligi, Marco/G-4853-2012; Krechik, Viktor/J-9941-2016; Bashirova, Leyla/L-1546-2016</t>
  </si>
  <si>
    <t>Ligi, Marco/0000-0002-5098-5907; Krechik, Viktor/0000-0001-6440-060X; Ponomarenko, Ekaterina/0000-0002-0668-4226; Dudkov, Ivan/0000-0002-1102-6973; Frey, Dmitry/0000-0001-8141-9513; Bashirova, Leyla/0000-0003-3083-0649; Kuleshova, Liubov/0000-0002-8511-225X; Morozov, Eugene/0000-0002-0251-3454; Smirnova, Daria/0000-0001-5944-9134</t>
  </si>
  <si>
    <t>Russian Science Foundation [PRIN_2017KY5ZX8]; Italian National Program; [22-77-10004]</t>
  </si>
  <si>
    <t>Russian Science Foundation(Russian Science Foundation (RSF)); Italian National Program;</t>
  </si>
  <si>
    <t>We express our great appreciation to the crew of the R/V Akademik Ioffe, especially captain Andrey Zybin, who have supported our fieldworks. We are also grateful to Evgeny Krayushkin, the Technopole company and Idronaut support team for their help with our deep-water equipment. Ship operations, expenses, and data collection were funded by the state assignment of IO RAS (Theme FMWE-2021-0012); processing and interpretation of the in situ data were supported by the Russian Science Foundation (project 22-77-10004). M. Ligi was supported by the Italian National Program (PRIN_2017KY5ZX8).&amp; nbsp;We thank the editor and two reviewers for providing comments that helped improving the final version of this paper.</t>
  </si>
  <si>
    <t>e2022JC019434</t>
  </si>
  <si>
    <t>10.1029/2022JC019434</t>
  </si>
  <si>
    <t>K5OM5</t>
  </si>
  <si>
    <t>WOS:001016933100022</t>
  </si>
  <si>
    <t>Fripiat, F; Sigman, DM; Martínez-García, A; Marconi, D; Ai, XE; Auderset, A; Fawcett, SE; Moretti, S; Studer, AS; Haug, GH</t>
  </si>
  <si>
    <t>Fripiat, F.; Sigman, D. M.; Martinez-Garcia, A.; Marconi, D.; Ai, X. E.; Auderset, A.; Fawcett, S. E.; Moretti, S.; Studer, A. S.; Haug, G. H.</t>
  </si>
  <si>
    <t>The Impact of Incomplete Nutrient Consumption in the Southern Ocean on Global Mean Ocean Nitrate δ15N</t>
  </si>
  <si>
    <t>Southern Ocean; nitrate isotopes; denitrification; N-2 fixation; overturning circulation; nitrate assimilation; omega N-LL</t>
  </si>
  <si>
    <t>NITROGEN ISOTOPIC COMPOSITION; TROPICAL NORTH PACIFIC; WESTERLY WIND CHANGES; OVERTURNING CIRCULATION; MARINE-SEDIMENTS; ANTARCTIC OCEAN; SURFACE NITRATE; FIXED NITROGEN; N-2 FIXATION; ARABIAN SEA</t>
  </si>
  <si>
    <t>It is understood that the global mean ocean nitrate d(15)N is set by the d(15)N of the input of fixed nitrogen (N) to the ocean (mostly N-2 fixation) and the net isotopic discrimination of fixed N loss (mostly denitrification). Here, we demonstrate that, in addition to the fixed nitrogen input/output budget, the isotopic discrimination of nitrate assimilation in the Southern Ocean also plays a role in setting the d(15)N of both deep ocean nitrate and global mean ocean nitrate. A prognostic model is used to simulate the global overturning circulation, focusing on the Southern Ocean overturning cell that ventilates the global pycnocline. N-2 fixation and denitrification occur mainly in the model's surface and pycnocline boxes, as is appropriate given the observations. Experiments with this model indicate that, at a steady state, pycnocline nitrate d(15)N is mostly controlled by the ocean's fixed N budget. Simultaneously, partial nitrate assimilation in the Southern Ocean sets the nitrate d(15)N difference between the pycnocline and the deep ocean, lowering the d(15)N of deep ocean nitrate and thus also of global mean ocean nitrate. The Southern Ocean's impact on deep and mean ocean nitrate d(15)N depends on (a) the degree of nitrate consumption in the Southern Ocean surface waters and (b) the proportion of water that enters the pycnocline by subduction from the Southern Ocean surface. Including the effect of the Southern Ocean on mean ocean nitrate d(15)N modestly reduces a previously calculated imbalance between fixed N inputs and outputs. Moreover, this effect has implications for paleoceanographic N isotope records.</t>
  </si>
  <si>
    <t>[Fripiat, F.] Univ Libre Bruxelles, Dept Geosci Environm &amp; Soc, Brussels, Belgium; [Fripiat, F.; Martinez-Garcia, A.; Ai, X. E.; Auderset, A.; Moretti, S.; Haug, G. H.] Max Planck Inst Chem, Mainz, Germany; [Sigman, D. M.; Marconi, D.; Ai, X. E.] Princeton Univ, Dept Geosci, Princeton, NJ USA; [Fawcett, S. E.] Univ Cape Town, Dept Oceanog, Rondebosch, South Africa; [Fawcett, S. E.] Univ Cape Town, Marine &amp; Antarctic Res Ctr Innovat &amp; Sustainabil M, Rondebosch, South Africa; [Studer, A. S.] Univ Basel, Dept Environm Sci, Basel, Switzerland</t>
  </si>
  <si>
    <t>Universite Libre de Bruxelles; Max Planck Society; Princeton University; University of Cape Town; University of Cape Town; University of Basel</t>
  </si>
  <si>
    <t>Fripiat, F (corresponding author), Univ Libre Bruxelles, Dept Geosci Environm &amp; Soc, Brussels, Belgium.;Fripiat, F (corresponding author), Max Planck Inst Chem, Mainz, Germany.</t>
  </si>
  <si>
    <t>francois.fripiat@ulb.be</t>
  </si>
  <si>
    <t>Sigman, Daniel M./IYJ-2613-2023; Studer, Anja S/JVZ-4104-2024; Martinez-Garcia, Alfredo/A-6244-2010; Auderset, Alexandra/AAX-5483-2020; Fripiat, François/ABB-8918-2021</t>
  </si>
  <si>
    <t>Studer, Anja S/0000-0001-7354-8497; Martinez-Garcia, Alfredo/0000-0002-7206-5079; Auderset, Alexandra/0000-0002-6316-4980; Fripiat, Francois/0000-0002-2591-6301; Sigman, Daniel/0000-0002-7923-1973</t>
  </si>
  <si>
    <t>Max Planck Society; Werner Siemens Foundation; Universite Libre de Bruxelles; US NSF Grants [OCE-0960802, 1851430, 1736652]; South African NRF Grants [129232, 129320, 116142]</t>
  </si>
  <si>
    <t>Max Planck Society(Max Planck Society); Werner Siemens Foundation; Universite Libre de Bruxelles; US NSF Grants; South African NRF Grants</t>
  </si>
  <si>
    <t>This study was funded by the Max Planck Society (AMG and GHH) by the Werner Siemens Foundation (S/Y Eugen Seibold founding agreement to GHH), by an ARC consolidation grants from the Universite Libre de Bruxelles (FF), by US NSF Grants OCE-0960802, 1851430, and 1736652 (DMS), and by South African NRF Grants 129232, 129320, and 116142 (SEF). X.T. Wang provided helpful insight. The reviewers and editor provided constructive comments that improved the manuscript. Open Access funding enabled and organized by Projekt DEAL.</t>
  </si>
  <si>
    <t>e2022GB007442</t>
  </si>
  <si>
    <t>10.1029/2022GB007442</t>
  </si>
  <si>
    <t>I0XU7</t>
  </si>
  <si>
    <t>WOS:001000100300011</t>
  </si>
  <si>
    <t>Kazak, ES; Filimonova, EA; Preobrazhenskaya, AE</t>
  </si>
  <si>
    <t>Kazak, E. S.; Filimonova, E. A.; Preobrazhenskaya, A. E.</t>
  </si>
  <si>
    <t>Occurrence and Detection Problems of Micro- and Nanoplastics in the Water Environment of Russia</t>
  </si>
  <si>
    <t>MOSCOW UNIVERSITY GEOLOGY BULLETIN</t>
  </si>
  <si>
    <t>microplastics; nanoplastics; groundwater contamination; spread of microplastics</t>
  </si>
  <si>
    <t>MARINE-ENVIRONMENT; PLASTIC DEBRIS; MICROPLASTICS; ABUNDANCE; SEDIMENTS; ECOSYSTEMS; POLLUTION; LAKE; NANO; SEA</t>
  </si>
  <si>
    <t>Numerous studies on plastic pollution of natural environment have been published. Special attention is paid to micro- (&lt;5 mm) and nano-sized (&lt;100 nm) plastic particles (MP and NP, respectively). The particles are found universally: in waters and bottom sediments of the World Ocean in rivers, lakes and groundwater, beach sediments, and even in Arctic and Antarctic snow and ice, in foodstuff and bottled water, as well as in living organisms at all stages of the food chain. Environmental pollution with plastic has already become as global a problem as climate change. This review analyzes and summarizes the current publications on the problems of MP and NP contamination in natural waters, mainly over the territory of the Russian Federation. A schematic map of MP occurrence in surface waters of Russia has been plotted for the first time. A summary table is presented on MP concentrations in surface water and groundwater, bottled mineral and tap water, as well as in bottom sediments of the world rivers, seas and oceans. It is clearly shown that there is a shortage of studies of MP and NP contamination in groundwater, although their content is also quite high. The problem of measuring the MP and NP concentrations, along with determining their composition, is described and the features, advantages, disadvantages, and limitations of all the main detection methods are considered. Generalized schemes of water and soil sampling and preparation for MP determination are presented. It is concluded that no optimum procedure is available and only the integration of techniques allows one to identify MP and NP contamination in the best way.</t>
  </si>
  <si>
    <t>[Kazak, E. S.; Filimonova, E. A.; Preobrazhenskaya, A. E.] Moscow MV Lomonosov State Univ, Moscow 119991, Russia</t>
  </si>
  <si>
    <t>Kazak, ES (corresponding author), Moscow MV Lomonosov State Univ, Moscow 119991, Russia.</t>
  </si>
  <si>
    <t>Kanigu@mail.ru; EA.Filimonova@yandex.ru; Shur_gmur@mail.ru</t>
  </si>
  <si>
    <t>SPRINGER INT PUBL AG</t>
  </si>
  <si>
    <t>CHAM</t>
  </si>
  <si>
    <t>GEWERBESTRASSE 11, CHAM, CH-6330, SWITZERLAND</t>
  </si>
  <si>
    <t>0145-8752</t>
  </si>
  <si>
    <t>1934-8436</t>
  </si>
  <si>
    <t>MOSC UNIV GEOL BULL</t>
  </si>
  <si>
    <t>Mosc. Univ. Geol. Bull.</t>
  </si>
  <si>
    <t>10.3103/S0145875223010076</t>
  </si>
  <si>
    <t>I9ZA2</t>
  </si>
  <si>
    <t>WOS:001006278700011</t>
  </si>
  <si>
    <t>Hossain, A; Knorr, G; Jokat, W; Lohmann, G; Hochmuth, K; Gierz, P; Gohl, K; Stepanek, C</t>
  </si>
  <si>
    <t>Hossain, Akil; Knorr, Gregor; Jokat, Wilfried; Lohmann, Gerrit; Hochmuth, Katharina; Gierz, Paul; Gohl, Karsten; Stepanek, Christian</t>
  </si>
  <si>
    <t>The Impact of Different Atmospheric CO2 Concentrations on Large Scale Miocene Temperature Signatures</t>
  </si>
  <si>
    <t>atmospheric CO2; Miocene; Miocene temperature change; polar amplification; climate modeling; Miocene bathymetry</t>
  </si>
  <si>
    <t>SEA-SURFACE TEMPERATURES; EARLY EOCENE; CARBON-DIOXIDE; OCEAN TEMPERATURES; EQUATORIAL PACIFIC; TROPICAL PACIFIC; CLIMATE FEATURES; MIDDLE; VEGETATION; EVOLUTION</t>
  </si>
  <si>
    <t>Based on inferences from proxy records the Miocene (23.03-5.33 Ma) was a time of amplified polar warmth compared to today. However, it remains a challenge to simulate a warm Miocene climate and pronounced polar warmth at reconstructed Miocene CO2 concentrations. Using a state-of-the-art Earth-System-Model, we implement a high-resolution paleobathymetry and simulate Miocene climate at different atmospheric CO2 concentrations. We estimate global mean surface warming of +3.1? relative to the preindustrial at a CO2 level of 450 ppm. An increase of atmospheric CO2 from 280 to 450 ppm provides an individual warming of similar to 1.4 degrees C , which is as strong as all other Miocene forcing contributions combined. Substantial changes in surface albedo are vital to explain Miocene surface warming. Simulated surface temperatures fit well with proxy reconstructions at low- to mid-latitudes. The high latitude cooling bias becomes less pronounced for higher atmospheric CO2 concentrations. At such CO2 levels simulated Miocene climate shows a reduced polar amplification, linked to a breakdown of seasonality in the Arctic Ocean. A pronounced warming in boreal fall is detected for a CO2 increase from 280 to 450 ppm, in comparison to weaker warming for CO2 changes from 450 to 720 ppm. Moreover, a pronounced warming in winter is detected for a CO2 increase from 450 to 720 ppm, in contrast to a moderate summer temperature increase, which is accompanied by a strong sea-ice concentration decline that promotes cloud formation in summer via enhanced moisture availability. As a consequence planetary albedo increases and dampens the temperature response to CO2 forcing at a warmer Miocene background climate.</t>
  </si>
  <si>
    <t>[Hossain, Akil; Knorr, Gregor; Jokat, Wilfried; Lohmann, Gerrit; Gierz, Paul; Gohl, Karsten; Stepanek, Christian] Helmholtz Ctr Polar &amp; Marine Res, Alfred Wegener Inst, Bremerhaven, Germany; [Jokat, Wilfried] Univ Bremen, Dept Geosci, Bremen, Germany; [Lohmann, Gerrit] Univ Bremen, MARUM, Bremen, Germany; [Lohmann, Gerrit] Univ Bremen, Dept Environm Phys, Bremen, Germany; [Hochmuth, Katharina] Univ Leicester, Sch Geog Geol &amp; Environm, Leicester, England; [Hochmuth, Katharina] Univ Tasmania, Inst Marine &amp; Antarctic Studies, Australian Ctr Excellence Antarctic Sci, Hobart, Tas, Australia</t>
  </si>
  <si>
    <t>Helmholtz Association; Alfred Wegener Institute, Helmholtz Centre for Polar &amp; Marine Research; University of Bremen; University of Bremen; University of Bremen; University of Leicester; University of Tasmania</t>
  </si>
  <si>
    <t>Hossain, A (corresponding author), Helmholtz Ctr Polar &amp; Marine Res, Alfred Wegener Inst, Bremerhaven, Germany.</t>
  </si>
  <si>
    <t>akil.hossain@awi.de</t>
  </si>
  <si>
    <t>Stepanek, Christian/ABA-9210-2021; Hossain, Akil/H-1971-2019; Lohmann, Gerrit/M-7453-2016</t>
  </si>
  <si>
    <t>Hossain, Akil/0000-0001-8340-3056; Lohmann, Gerrit/0000-0003-2089-733X; Knorr, Gregor/0000-0002-8317-5046; Hochmuth, Katharina/0000-0003-2789-2179; Gohl, Karsten/0000-0002-9558-2116; Stepanek, Christian/0000-0002-3912-6271</t>
  </si>
  <si>
    <t>Alfred Wegener Institute (AWI); Projekt DEAL</t>
  </si>
  <si>
    <t>This study is supported through institutional funds of the Alfred Wegener Institute (AWI)-Helmholtz Centre for Polar and Marine Research through Work Packages 3.2 (Earth system on tectonic time scales: From greenhouse to icehouse world) and the topic Ocean and Cryosphere under climate change of its research program PACES-II Changing Earth-Sustaining our Future and the joint program Changing Earth-Sustaining our Future (PoF IV) program of the AWI. All simulations were performed at the AWI Computing Center. Thanks go to the scientific community in DeepMIP and MioMIP for their efforts toward provision of robust paleogeography and model forcing. The authors thank three anonymous reviews and editor for constructive comments that helped improving the manuscript. Open Access funding enabled and organized by Projekt DEAL.</t>
  </si>
  <si>
    <t>e2022PA004438</t>
  </si>
  <si>
    <t>10.1029/2022PA004438</t>
  </si>
  <si>
    <t>I1EL4</t>
  </si>
  <si>
    <t>WOS:001000274100011</t>
  </si>
  <si>
    <t>Tibbett, EJ; Burls, NJ; Hutchinson, DK; Feakins, SJ</t>
  </si>
  <si>
    <t>Tibbett, Emily J.; Burls, Natalie J.; Hutchinson, David K.; Feakins, Sarah J.</t>
  </si>
  <si>
    <t>Proxy-Model Comparison for the Eocene-Oligocene Transition in Southern High Latitudes</t>
  </si>
  <si>
    <t>EOT; DeepMIP; IODP; BAYSPLINE; BAYSPAR; BayMBT</t>
  </si>
  <si>
    <t>ATMOSPHERIC CARBON-DIOXIDE; ICE-SHEET VARIABILITY; ANTARCTIC GLACIATION; PALEOTEMPERATURE ESTIMATION; DRAKE PASSAGE; CLIMATE; OCEAN; TEMPERATURE; CALIBRATION; GATEWAY</t>
  </si>
  <si>
    <t>The Eocene-Oligocene transition (EOT) marks the shift from greenhouse to icehouse conditions at 34 Ma, when a permanent ice sheet developed on Antarctica. Climate modeling studies have recently assessed the drivers of the transition globally. Here we revisit those experiments for a detailed study of the southern high latitudes in comparison to the growing number of mean annual sea surface temperature (SST) and mean air temperature (MAT) proxy reconstructions, allowing us to assess proxy-model temperature agreement and refine estimates for the magnitude of the pCO(2) forcing of the EOT. We compile and update published proxy temperature records on and around Antarctica for the late Eocene (38-34 Ma) and early Oligocene (34-30 Ma). Compiled SST proxies cool by up to 3? and MAT by up to 4? between the timeslices. Proxy data were compared to previous climate model simulations representing pre- and post-EOT, typically forced with a halving of pCO(2). We scaled the model outputs to identify the magnitude of pCO(2) change needed to drive a commensurate change in temperature to best fit the temperature proxies. The multi-model ensemble needs a 30 or 33% decrease in pCO(2), to best fit MAT or SST proxies respectively. These proxy-model intercomparisons identify declining pCO(2) as the primary forcing of EOT cooling, with a magnitude (200 or 243 ppmv) approaching that of the pCO(2) proxies (150 ppmv). However individual model estimates span a decrease of 66-375 ppmv, thus proxy-model uncertainties are dominated by model divergence.</t>
  </si>
  <si>
    <t>[Tibbett, Emily J.; Feakins, Sarah J.] Univ Southern Calif, Dept Earth Sci, Los Angeles, CA 90007 USA; [Burls, Natalie J.] George Mason Univ, Atmospher Ocean &amp; Earth Sci Dept, Fairfax, VA USA; [Hutchinson, David K.] Univ New South Wales, Climate Change Res Ctr, Sydney, NSW, Australia</t>
  </si>
  <si>
    <t>University of Southern California; George Mason University; University of New South Wales Sydney</t>
  </si>
  <si>
    <t>Tibbett, EJ (corresponding author), Univ Southern Calif, Dept Earth Sci, Los Angeles, CA 90007 USA.</t>
  </si>
  <si>
    <t>tibbett@usc.edu</t>
  </si>
  <si>
    <t>Hutchinson, David/F-4564-2016; Feakins, Sarah/K-4149-2012</t>
  </si>
  <si>
    <t>Hutchinson, David/0000-0001-9385-4782; Feakins, Sarah/0000-0003-3434-2423; Tibbett, Emily/0000-0001-9335-4163; Burls, Natalie/0000-0002-6950-3808</t>
  </si>
  <si>
    <t>U.S. National Science Foundation [AGS-1844380, OPP-1908548]; Australian Research Council [DE220100279]; Australian Research Council [DE220100279] Funding Source: Australian Research Council</t>
  </si>
  <si>
    <t>U.S. National Science Foundation(National Science Foundation (NSF)); Australian Research Council(Australian Research Council); Australian Research Council(Australian Research Council)</t>
  </si>
  <si>
    <t>Acknowledgments This research was funded by the U.S. National Science Foundation AGS-1844380 to NJB and OPP-1908548 to SJF. This work resulted from the GeoMeetsClimate MIP internship for EJT at GMU directed by NJB. DKH was supported by Australian Research Council Grant DE220100279. Thanks to Scott Knapp for technical assistance to EJT with coding. Thanks to the various modeling and proxy groups that had made their data publicly accessible or fulfilled requests for data or metadata. Thanks to the reviewers and editors for their thoughtful comments that improved the manuscript.</t>
  </si>
  <si>
    <t>e2022PA004496</t>
  </si>
  <si>
    <t>10.1029/2022PA004496</t>
  </si>
  <si>
    <t>WOS:001000274100007</t>
  </si>
  <si>
    <t>Sieber, M; Lanning, NT; Bunnell, ZB; Bian, XP; Yang, SC; Marsay, CM; Landing, WM; Buck, CS; Fitzsimmons, JN; John, SG; Conway, TM</t>
  </si>
  <si>
    <t>Sieber, Matthias; Lanning, Nathan T.; Bunnell, Zachary B.; Bian, Xiaopeng; Yang, Shun-Chung; Marsay, Chris M.; Landing, William M.; Buck, Clifton S.; Fitzsimmons, Jessica N.; John, Seth G.; Conway, Tim M.</t>
  </si>
  <si>
    <t>Biological, Physical, and Atmospheric Controls on the Distribution of Cadmium and Its Isotopes in the Pacific Ocean</t>
  </si>
  <si>
    <t>GEOTRACES; marine biogeochemistry; Cd isotopes; Pacific</t>
  </si>
  <si>
    <t>SOUTHERN-OCEAN; DISSOLVED CADMIUM; IRON LIMITATION; WATER COLUMN; TRACE-METALS; GLOBAL OCEAN; CD; PHYTOPLANKTON; ZINC; PHOSPHATE</t>
  </si>
  <si>
    <t>Despite the Pacific being the location of the earliest seawater Cd studies, the processes which control Cd distributions in this region remain incompletely understood, largely due to the sparsity of data. Here, we present dissolved Cd and delta Cd-114 data from the US GEOTRACES GP15 meridional transect along 152 degrees W from the Alaskan margin to the equatorial Pacific. Our examination of this region's surface ocean Cd isotope systematics is consistent with previous observations, showing a stark disparity between northern Cd-rich high-nutrient low-chlorophyll waters and Cd-depleted waters of the subtropical and equatorial Pacific. Away from the margin, an open system model ably describes data in Cd-depleted surface waters, but atmospheric inputs of isotopically light Cd likely play an important role in setting surface Cd isotope ratios (delta Cd-114) at the lowest Cd concentrations. Below the surface, Southern Ocean processes and water mass mixing are the dominant control on Pacific Cd and delta Cd-114 distributions. Cd-depleted Antarctic Intermediate Water has a far-reaching effect on North Pacific intermediate waters as far as 47 degrees N, contrasting with northern-sourced Cd signatures in North Pacific Intermediate Water. Finally, we show that the previously identified negative Cd* signal at depth in the North Pacific is associated with the PO4 maximum and is thus a consequence of an integrated regeneration signal of Cd and PO4 at a slightly lower Cd:P ratio than the deep ocean ratio (0.35 mmol mol(-1)), rather than being related to in situ removal processes in low-oxygen waters.</t>
  </si>
  <si>
    <t>[Sieber, Matthias; Bunnell, Zachary B.; Conway, Tim M.] Univ S Florida, Coll Marine Sci, Tampa, FL 33620 USA; [Lanning, Nathan T.; Fitzsimmons, Jessica N.] Texas A&amp;M Univ, Dept Oceanog, College Stn, TX USA; [Bian, Xiaopeng; Yang, Shun-Chung; John, Seth G.] Univ Southern Calif, Dept Earth Sci, Los Angeles, CA USA; [Marsay, Chris M.; Buck, Clifton S.] Univ Georgia, Skidaway Inst Oceanog, Savannah, GA USA; [Landing, William M.] Florida State Univ, Dept Earth Ocean &amp; Atmospher Sci, Tallahassee, FL USA</t>
  </si>
  <si>
    <t>State University System of Florida; University of South Florida; Texas A&amp;M University System; Texas A&amp;M University College Station; University of Southern California; University System of Georgia; University of Georgia; Skidaway Institute of Oceanography; State University System of Florida; Florida State University</t>
  </si>
  <si>
    <t>Sieber, M (corresponding author), Univ S Florida, Coll Marine Sci, Tampa, FL 33620 USA.</t>
  </si>
  <si>
    <t>sieberm@usf.edu</t>
  </si>
  <si>
    <t>John, Sunday/GRS-5348-2022; Bian, Xiaopeng/W-1854-2017; Landing, William/KBA-8522-2024; Buck, Clifton/F-5820-2010</t>
  </si>
  <si>
    <t>John, Sunday/0000-0003-2296-7653; Bian, Xiaopeng/0000-0002-6098-7324; Landing, William/0000-0002-7514-3247; John, Seth/0000-0002-8257-626X; Fitzsimmons, Jessica/0000-0002-9829-2464; Buck, Clifton/0000-0002-5691-9636; Sieber, Matthias/0000-0001-5510-6126; Marsay, Christopher/0000-0003-1244-0444</t>
  </si>
  <si>
    <t>National Science Foundation [OCE-1737136, OCE-1736896, OCE-1737167, OCE-1756103, OCE-1756104, GRFP-1746932]</t>
  </si>
  <si>
    <t>We thank the captain, crew, and chief scientists aboard R/V Roger Revelle on the GP15 cruise, but especially Brent Summers, Laramie Jensen, and Greg Cutter for trace metal sample collection, the ODF team for shipboard macronutrient concentration analyses, and Ethan Goddard at the University of South Florida and Luz Romero at Texas A &amp; M University for technical assistance. We also thank the Editor, Tristan Horner and Damien Guinoiseau for their constructive reviews, which helped us improve this manuscript. This work was supported by National Science Foundation Grants (OCE-1737136 to Tim Conway, OCE-1736896 to Seth John, OCE-1737167 to Jessica Fitzsimmons, OCE-1756103 to Clifton Buck, OCE-1756104 to William Landing, and GRFP-1746932 to Nathan Lanning).</t>
  </si>
  <si>
    <t>e2022GB007441</t>
  </si>
  <si>
    <t>10.1029/2022GB007441</t>
  </si>
  <si>
    <t>WOS:001000100300004</t>
  </si>
  <si>
    <t>Ye, WW; Li, YH; Wen, JW; Zhang, JX; Shakhova, N; Liu, J; Wu, M; Semiletov, I; Zhan, LY</t>
  </si>
  <si>
    <t>Ye, Wangwang; Li, Yuhong; Wen, Jianwen; Zhang, Jiexia; Shakhova, Natalia; Liu, Jian; Wu, Man; Semiletov, Igor; Zhan, Liyang</t>
  </si>
  <si>
    <t>Enhanced Transport of Dissolved Methane From the Chukchi Sea to the Central Arctic</t>
  </si>
  <si>
    <t>methane; Arctic Ocean; sea-to-air flux; water circulation; sea ice reduction</t>
  </si>
  <si>
    <t>SPATIAL-DISTRIBUTION; CARBON-MONOXIDE; EURASIAN BASIN; WATER COLUMN; OCEAN; ICE; SHELF; NORTH; VARIABILITY; ATMOSPHERE</t>
  </si>
  <si>
    <t>Rising temperatures in the Arctic Ocean can cause considerable changes, such as decreased ice cover and increased water inflow from the Pacific/Atlantic sector, which may alter dissolved methane (CH4) cycles over the Arctic Ocean. However, the fate of dissolved CH4 in the Arctic remains uncertain. Here, we show that CH4 in the Chukchi Sea is enhanced in the shelf/slope areas, stored in the Upper Halocline (UHC), and transported to the central Arctic, contributing to the CH4 excess (Delta CH4) in the basins. The concentration of Delta CH4 in the UHC was increasing (0.1 nM per year) and the Delta CH4 has been distributed deeper and farther in the last decade than in the 1990s because of the intensification of Pacific water inflow due to oceanographic (currents) and atmospheric forcings (winds). We found heterogeneous CH4 (208.4% +/- 131.7%) in the Polar Mixed Layer and CH4 supersaturation (1,100.9%-1,245.4%) in the below-ice seawater in the basins, which may indicate the effect of sea ice cycles with the support of sediment-origin CH4. We estimate the sea-to-air flux to be 1.1-2.4 mu mol CH4 m(-2) day(-1) during the ice-free period in the Chukchi Sea, which suggests that the Chukchi Sea is currently a minor source (0.003 Tg in summer) of atmospheric CH4. Taken together, we propose a bottom-up mechanism for CH4 transport and emission and are concerned that the increases in the concentration of Delta CH4 and the transport distance/rate of Delta CH4 plume are occurring, with the potential to affect CH4 emissions in the Pacific sector of the Arctic Ocean. Plain Language Summary The Arctic Ocean's continental shelves hold a large amount of methane beneath the sea, and warming-induced decreases in sea ice coverage and freshwater inputs have had a significant impact on this methane's fate. An important gap in our current knowledge concerns the interactions between the ocean surface and bottom, as well as those between the shelf and basins. This knowledge provides direct observations of enhanced methane transport from shelf regions to the central Arctic in the last decade compared to that in the 1990s, demonstrating the effect of a changing Arctic on methane emissions. Shelf-to-basin methane not only points to a rapid change in ice-free shallow areas but also the consequences in ice-covered open oceans. The Arctic Ocean is currently a minor source of atmospheric methane, but the increasing methane excess in the water column, the enhanced methane transport to the central Arctic, and the decreasing sea ice cover imply potential methane emissions in the near future.</t>
  </si>
  <si>
    <t>[Ye, Wangwang; Li, Yuhong; Wen, Jianwen; Zhang, Jiexia; Liu, Jian; Wu, Man; Zhan, Liyang] Minist Nat Resources, Inst Oceanog 3, Key Lab Global Change &amp; Marine Atmospher Chem, Xiamen, Peoples R China; [Shakhova, Natalia] Moscow MV Lomonosov State Univ, Dept Chem, Moscow, Russia; [Shakhova, Natalia; Semiletov, Igor] Russian Acad Sci, VI Ilichev Pacific Oceanol Inst, Far Eastern Branch, Vladivostok, Russia; [Shakhova, Natalia; Semiletov, Igor] Univ Alaska Fairbanks, Int Arctic Res Ctr, Fairbanks, AK USA; [Semiletov, Igor] Tomsk State Univ, Tomsk, Russia</t>
  </si>
  <si>
    <t>Ministry of Natural Resources of the People's Republic of China; Third Institute of Oceanography, Ministry of Natural Resources; Lomonosov Moscow State University; Ilichev Pacific Oceanological Institute; Russian Academy of Sciences; University of Alaska System; University of Alaska Fairbanks; Tomsk State University</t>
  </si>
  <si>
    <t>Zhan, LY (corresponding author), Minist Nat Resources, Inst Oceanog 3, Key Lab Global Change &amp; Marine Atmospher Chem, Xiamen, Peoples R China.;Semiletov, I (corresponding author), Russian Acad Sci, VI Ilichev Pacific Oceanol Inst, Far Eastern Branch, Vladivostok, Russia.;Semiletov, I (corresponding author), Tomsk State Univ, Tomsk, Russia.</t>
  </si>
  <si>
    <t>ipsemiletov@alaska.edu; zhanliyang@tio.org.cn</t>
  </si>
  <si>
    <t>Semiletov, Igor/CAJ-4412-2022</t>
  </si>
  <si>
    <t>Ye, Wangwang/0000-0002-3397-9388; Semiletov, Igor/0000-0003-1741-6734; Zhan, Liyang/0000-0002-1380-453X</t>
  </si>
  <si>
    <t>Second Institute of Oceanography (Hai-Yan Jin); Scientific Research Foundation of the Third Institute of Oceanography, MNR [2020004]; National Natural Science Foundation of China [42006040, 41906193, 42276245]; Chinese Projects for Investigations and Assessments of the Arctic and Antarctic [CHINARE 20182020]; Russian Scientific Foundation [21-77-30001]</t>
  </si>
  <si>
    <t>Second Institute of Oceanography (Hai-Yan Jin); Scientific Research Foundation of the Third Institute of Oceanography, MNR; National Natural Science Foundation of China(National Natural Science Foundation of China (NSFC)); Chinese Projects for Investigations and Assessments of the Arctic and Antarctic; Russian Scientific Foundation(Russian Science Foundation (RSF))</t>
  </si>
  <si>
    <t>The authors wish to thank our colleagues from the Third Institute of Oceanography, MNR, China, particularly Hong-Mei Lin, Wei Li, Xiu-Yuan Qin, Heng Sun, and Shuang Zhang for their help with the collection of the field samples. The authors also thank colleagues from the Second Institute of Oceanography (Hai-Yan Jin) and the Polar Research Institute of China for providing nutrient data. Wind data from the shipboard automatic weather stations were provided by the National Arctic and Antarctic Data Center (http://www.chinare.org.cn). The authors would like to thank the crews of the R/V Xuelong 1, Xiangyanghong 01, and Xuelong 2 for their help with sampling. The authors thank Dr. Ellen Damm for the constructive comments, which helped to significantly improve the manuscript. This study was supported by the Scientific Research Foundation of the Third Institute of Oceanography, MNR (Grant 2020004), the National Natural Science Foundation of China (Grants 42006040, 41906193, and 42276245), and the Chinese Projects for Investigations and Assessments of the Arctic and Antarctic (Grant CHINARE 2018-2020). N.S. and I.S. are grateful to the Russian Scientific Foundation (Grant 21-77-30001).</t>
  </si>
  <si>
    <t>e2022GB007368</t>
  </si>
  <si>
    <t>10.1029/2022GB007368</t>
  </si>
  <si>
    <t>WOS:001000100300001</t>
  </si>
  <si>
    <t>Feng, S; Guo, J; Qi, RR; Wang, Y; Guan, FC; Yin, JH</t>
  </si>
  <si>
    <t>Feng, Shi; Guo, Jing; Qi, Ranran; Wang, Yan; Guan, Fucheng; Yin, Juhui</t>
  </si>
  <si>
    <t>Preparation and characterization of SA/AKP composite fibers by centrifugal wet continuous spinning</t>
  </si>
  <si>
    <t>MATERIALS TODAY COMMUNICATIONS</t>
  </si>
  <si>
    <t>Centrifugal wet continuous spinning; Sodium alginate; Antarctic krill protein; Composite fibers; Lateral order structure</t>
  </si>
  <si>
    <t>ALGINATE; DELIVERY</t>
  </si>
  <si>
    <t>In wet spinning, balancing the conflict between fiber densities and diffusion resistance is essential to obtain fibers with low differences in radial structure, high densities, and excellent properties. Different from the conventional centrifugal spinning, this paper utilizes the combined effect of friction and winding tension of the rotating coagulation bath to obtain continuous sodium alginate/Antarctic krill protein composite fibers by stretching the polymer ejected from the spinneret. The curing rate constant (Sr =0.1543 mm/s1/2) and the fiber solidification model were first obtained by monitoring the draft solidification process. Then the principle of the effect of rotational speed on the internal radial structure of the fibers was analyzed using SEM, AFM, FTIR, XRD, orientation, and mechanical property tests. Continuous sodium alginate/ Antarctic krill protein composite fibers with small differences in radial structure, high orientation (0.94266) and high modulus (44.14 cN/dtex), and high strength (2.0 cN/dtex) were obtained at 300 rpm. Finally, thermodynamic studies also find that the increase in rotational speed improves the fibers' thermal stability. The process provides reference parameters for obtaining composite fibers with balanced radial structure differences, high orientation, high modulus, and high strength.</t>
  </si>
  <si>
    <t>[Feng, Shi; Guo, Jing; Qi, Ranran; Wang, Yan; Guan, Fucheng; Yin, Juhui] Dalian Polytech Univ, Sch Text &amp; Mat Engn, Dalian 116034, Peoples R China; [Guo, Jing] Dalian Polytech Univ, Liaoning Engn Technol Res Ctr Funct Fiber &amp; Its Co, Dalian 116034, Peoples R China</t>
  </si>
  <si>
    <t>Guo, J (corresponding author), Dalian Polytech Univ, Sch Text &amp; Mat Engn, Dalian 116034, Peoples R China.</t>
  </si>
  <si>
    <t>guojing8161@163.com</t>
  </si>
  <si>
    <t>guan, fucheng/IXN-7582-2023</t>
  </si>
  <si>
    <t>guan, fucheng/0009-0003-0528-6829</t>
  </si>
  <si>
    <t>National Natural Science Foundation of China [51773024]; Science Foundation of Edu- cation Department of Liaoning [J2020046]; Liaoning Province Education Department on Scientific Research Project [J2020047]; Green Yu Fund of China Chemical Fiber In- dustry Association [CCFA-LVYU-9-02]</t>
  </si>
  <si>
    <t>National Natural Science Foundation of China(National Natural Science Foundation of China (NSFC)); Science Foundation of Edu- cation Department of Liaoning; Liaoning Province Education Department on Scientific Research Project; Green Yu Fund of China Chemical Fiber In- dustry Association</t>
  </si>
  <si>
    <t>This article was funded by the National Natural Science Foundation of China (Grant number: 51773024) ; The Science Foundation of Edu- cation Department of Liaoning (Grant number: J2020046) ; Liaoning Province Education Department on Scientific Research Project (Grant number: J2020047) ; The Green Yu Fund of China Chemical Fiber In- dustry Association (Grant number CCFA-LVYU-9-02) .</t>
  </si>
  <si>
    <t>2352-4928</t>
  </si>
  <si>
    <t>MATER TODAY COMMUN</t>
  </si>
  <si>
    <t>Mater. Today Commun.</t>
  </si>
  <si>
    <t>10.1016/j.mtcomm.2023.105514</t>
  </si>
  <si>
    <t>Materials Science, Multidisciplinary</t>
  </si>
  <si>
    <t>J6SQ3</t>
  </si>
  <si>
    <t>WOS:001010901000001</t>
  </si>
  <si>
    <t>Xie, GZ; Zhang, LP; Li, CY; Sun, WD</t>
  </si>
  <si>
    <t>Xie, Guo-zhi; Zhang, Li-peng; Li, Cong-ying; Sun, Wei-dong</t>
  </si>
  <si>
    <t>Accelerated methane emission from permafrost regions since the 20th century</t>
  </si>
  <si>
    <t>Permafrost region; Methane emission; AO2; ACO2 index; Permafrost thawing</t>
  </si>
  <si>
    <t>CLIMATE-CHANGE; CARBON RELEASE; ANTARCTIC ICE; BUDGET; SEEPS</t>
  </si>
  <si>
    <t>Carbon dioxide has been increasing in the atmosphere since the industrialization, resulting in global warming, which in turn enhanced methane emissions from permafrost regions. However, methane emitted into the at-mosphere is quickly oxidized, such that the intensity and threat of methane emission in the past are severely underestimated. Here we show that the ratio between annual changes in atmospheric oxygen and carbon dioxide concentrations (AO2/ACO2 index) dropped dramatically between 1945 and 1958. There are no such abrupt changes in the fossil fuel combustion curve. Considering that atmospheric methane has the residence time less than-9 years through biological and chemical processes, this crisis is attributed to the World War II, which had disturbed gas hydrates underneath ocean floors and permafrost regions. Consistently, the land-ocean tempera-ture index fluctuated more severely in permafrost regions than the global average during the WWII, indicating stronger greenhouse effects induced by methane emission. This is supported by the changes in the AO2/ACO2 index, coupled with higher atmospheric methane concentrations and lower 813CO2 in permafrost regions in the last three decades, suggesting accelerated methane emission. The anthropogenic carbon dioxide emission has been pushing the accelerated thawing of permafrost, which promotes methane emission that further intensifies permafrost thawing and global warming. Such a positive feedback at an inflection point of Earth climate may break the glacial-interglacial cycle and initiate a long-lasting greenhouse period.</t>
  </si>
  <si>
    <t>[Xie, Guo-zhi; Zhang, Li-peng; Li, Cong-ying; Sun, Wei-dong] Inst Oceanol, Chinese Acad Sci, Ctr Deep Sea Res, Ctr Ocean Mega Sci, Qingdao 266071, Peoples R China; [Xie, Guo-zhi; Zhang, Li-peng; Li, Cong-ying; Sun, Wei-dong] Laoshan Lab, Deep Sea Multidisciplinary Res Ctr, Qingdao 266237, Peoples R China; [Xie, Guo-zhi; Zhang, Li-peng; Li, Cong-ying; Sun, Wei-dong] Univ Chinese Acad Sci, Beijing 100049, Peoples R China</t>
  </si>
  <si>
    <t>Chinese Academy of Sciences; Institute of Oceanology, CAS; Laoshan Laboratory; Chinese Academy of Sciences; University of Chinese Academy of Sciences, CAS</t>
  </si>
  <si>
    <t>Sun, WD (corresponding author), Inst Oceanol, Chinese Acad Sci, Ctr Deep Sea Res, Ctr Ocean Mega Sci, Qingdao 266071, Peoples R China.</t>
  </si>
  <si>
    <t>weidongsun@qdio.ac.cn</t>
  </si>
  <si>
    <t>Li, Congying/AAE-4947-2021; Sun, Weidong/F-8482-2010</t>
  </si>
  <si>
    <t>Li, Congying/0000-0003-0291-0924; Sun, weidong/0000-0002-9003-9608; Xie, Guozhi/0000-0002-6745-3165</t>
  </si>
  <si>
    <t>Strategic Priority Research Program of the Chinese Academy of Sciences [XDA22050103, XDB42020303]; Taishan Scholar Program of Shandong [ts201712075]</t>
  </si>
  <si>
    <t>Strategic Priority Research Program of the Chinese Academy of Sciences(Chinese Academy of Sciences); Taishan Scholar Program of Shandong</t>
  </si>
  <si>
    <t>We sincerely thank Professor Wenju Cai for constructive comments and suggestions. This study was supported by the Strategic Priority Research Program of the Chinese Academy of Sciences (XDA22050103, XDB42020303) and the Taishan Scholar Program of Shandong (ts201712075) to W.D.S.</t>
  </si>
  <si>
    <t>10.1016/j.dsr.2023.103981</t>
  </si>
  <si>
    <t>J4MC1</t>
  </si>
  <si>
    <t>WOS:001009360100001</t>
  </si>
  <si>
    <t>Khomyakova, VA; Zemlyanskova, AA; Ekaikin, AA; Makar'eva, OM; Nesterova, NV; Ostashov, AA; Teben'kova, NA</t>
  </si>
  <si>
    <t>Khomyakova, V. A.; Zemlyanskova, A. A.; Ekaikin, A. A.; Makar'eva, O. M.; Nesterova, N. V.; Ostashov, A. A.; Teben'kova, N. A.</t>
  </si>
  <si>
    <t>Isotopic Composition of Precipitation in the Ten'kinskii District, the Magadan Oblast</t>
  </si>
  <si>
    <t>RUSSIAN METEOROLOGY AND HYDROLOGY</t>
  </si>
  <si>
    <t>Stable water isotopes in precipitation; Magadan region; monsoonal circulation; d-excess; moisture sources</t>
  </si>
  <si>
    <t>A review of the isotopic composition of precipitation sampled from October 2020 to January 2022 at four locations in the Magadan oblast at a distance to 300 km from the shore of the Sea of Okhotsk is presented. It is shown that the isotopic composition of precipitation on the coast (the city of Magadan) differs significantly from the inland one in both values and d(18)O/6D and d(18)O/T ratios. The air-mass back-trajectory analysis revealed that these differences are primarily caused by varying roles of different moisture sources forming precipitation.</t>
  </si>
  <si>
    <t>[Khomyakova, V. A.; Ekaikin, A. A.; Teben'kova, N. A.] Arctic &amp; Antarctic Res Inst, Ul Beringa 38, St Petersburg 199397, Russia; [Zemlyanskova, A. A.; Ekaikin, A. A.; Makar'eva, O. M.; Nesterova, N. V.; Ostashov, A. A.] St Petersburg State Univ, Univ Skaya Nab 7-9, St Petersburg 199034, Russia; [Nesterova, N. V.] State Hydrol Inst, Vtoraya Liniya 23 VO, St Petersburg 199053, Russia; [Ostashov, A. A.] Russian Acad Sci, Melnikov Permafrost Inst, Siberian Branch, Ul Merzlotnaya 36, Yakutsk 677010, Russia</t>
  </si>
  <si>
    <t>Arctic &amp; Antarctic Research Institute; Saint Petersburg State University; Russian Academy of Sciences; Melnikov Permafrost Institute, Siberian Branch of the RAS</t>
  </si>
  <si>
    <t>Khomyakova, VA (corresponding author), Arctic &amp; Antarctic Res Inst, Ul Beringa 38, St Petersburg 199397, Russia.</t>
  </si>
  <si>
    <t>curcuma162@gmail.com</t>
  </si>
  <si>
    <t>Russian Foundation for Basic Research [19-55-80028]; Saint Petersburg State University [75295776]</t>
  </si>
  <si>
    <t>Russian Foundation for Basic Research(Russian Foundation for Basic Research (RFBR)Spanish Government); Saint Petersburg State University</t>
  </si>
  <si>
    <t>The precipitation sampling was carried out in the framework of the project of Russian Geographic Society Water Resources of Northeastern Russia under Regional and Global Climate Change, the assistance was provided by the staff and students of Ten'kinskii Center for Additional Education of Children (Ust'-Omchug village, the Magadan oblast). The analysis of the samples was supported by the Russian Foundation for Basic Research (grant 19-55-80028) and Saint Petersburg State University (grant 75295776).</t>
  </si>
  <si>
    <t>1068-3739</t>
  </si>
  <si>
    <t>1934-8096</t>
  </si>
  <si>
    <t>RUSS METEOROL HYDRO+</t>
  </si>
  <si>
    <t>Russ. Meteorol. Hydrol.</t>
  </si>
  <si>
    <t>10.3103/S1068373923020097</t>
  </si>
  <si>
    <t>H1SU0</t>
  </si>
  <si>
    <t>WOS:000993839300009</t>
  </si>
  <si>
    <t>Convey, P</t>
  </si>
  <si>
    <t>Convey, Peter</t>
  </si>
  <si>
    <t>What is the place of science in Antarctica?</t>
  </si>
  <si>
    <t>[Convey, Peter] NERC, British Antarctic Survey, Madingley Rd, Cambridge CB3 0ET, England</t>
  </si>
  <si>
    <t>Convey, P (corresponding author), NERC, British Antarctic Survey, Madingley Rd, Cambridge CB3 0ET, England.</t>
  </si>
  <si>
    <t>pcon@bas.ac.uk</t>
  </si>
  <si>
    <t>10.1017/S095410202300007X</t>
  </si>
  <si>
    <t>WOS:000974285300001</t>
  </si>
  <si>
    <t>Olmedo-Rojas, P; Jeunen, GJ; Lamare, M; Turnbull, J; Terauds, A; Gemmell, N; Fraser, CI</t>
  </si>
  <si>
    <t>Olmedo-Rojas, Pamela; Jeunen, Gert-Jan; Lamare, Miles; Turnbull, Johanna; Terauds, Aleks; Gemmell, Neil; Fraser, Ceridwen I.</t>
  </si>
  <si>
    <t>Soil environmental DNA metabarcoding in low-biomass regions requires protocol optimization: a case study in Antarctica</t>
  </si>
  <si>
    <t>18S; biodiversity; biogeography; desert; eDNA; operational taxonomic unit; remote environments</t>
  </si>
  <si>
    <t>SEDIMENTARY ANCIENT DNA; BIODIVERSITY; SEA; COMMUNITIES; EXTRACTION; VEGETATION; IMPACTS; PCR; DIVERSITY; POLLUTION</t>
  </si>
  <si>
    <t>Environmental DNA is a powerful tool for monitoring biodiversity. Although environmental DNA surveys have successfully been implemented in various environments, protocol choice has been shown to affect results and inferences. Thus far, few method comparison studies for soil have been undertaken. Here, we optimized the workflow for soil metabarcoding through a comparative study encompassing variation in sampling strategy (individual and combined samples), DNA extraction (PowerSoil((R)), NucleoSpin((R)) Soil, PowerSoil((R)) + phosphate buffer and NucleoSpin((R)) Soil + phosphate buffer) and library preparation (one-step and two-step quantitative polymerase chain reaction methods). Using a partial 18S rRNA marker, a total of 309 eukaryotic taxa across 21 phyla were identified from Antarctic soil from one site in the Larsemann Hills. Our optimized workflow was effective with no notable reduction in data quality for a considerable increase in time and cost efficiency. The NucleoSpin((R)) Soil + phosphate buffer was the best-performing extraction method. Compared to similar studies in other regions, we obtained low taxonomic coverage, perhaps because of the paucity of Antarctic terrestrial organisms in genetic reference databases. Our findings provide useful methodological insights for maximizing efficiency in soil metabarcoding studies in Antarctica and other low-biomass environments.</t>
  </si>
  <si>
    <t>[Olmedo-Rojas, Pamela; Lamare, Miles; Fraser, Ceridwen I.] Univ Otago, Dept Marine Sci, Dunedin 9054, New Zealand; [Jeunen, Gert-Jan; Gemmell, Neil] Univ Otago, Dept Anat, Dunedin 9054, New Zealand; [Turnbull, Johanna] Univ Wollongong, Sch Earth Atmospher &amp; Life Sci, Wollongong, Australia; [Terauds, Aleks] Australian Antarctic Div, Kingston 7050, Australia</t>
  </si>
  <si>
    <t>University of Otago; University of Otago; University of Wollongong; Australian Antarctic Division</t>
  </si>
  <si>
    <t>Olmedo-Rojas, P (corresponding author), Univ Otago, Dept Marine Sci, Dunedin 9054, New Zealand.</t>
  </si>
  <si>
    <t>pamela.olmedorojas@gmail.com</t>
  </si>
  <si>
    <t>Olmedo-Rojas, Pamela/0000-0001-6372-4215; Turnbull, Johanna/0000-0002-4214-1675</t>
  </si>
  <si>
    <t>Australian Antarctic Division [4370]; University of Otago Divisional Strategic Doctoral Scholarship; Royal Society of New Zealand Rutherford Discovery Fellowship [RDF-UOO1803]; Departments of Marine Science and Anatomy at the University of Otago; Antarctic Science Platform, MBIE New Zealand [ANTA1801]</t>
  </si>
  <si>
    <t>Australian Antarctic Division; University of Otago Divisional Strategic Doctoral Scholarship; Royal Society of New Zealand Rutherford Discovery Fellowship(Royal Society of New Zealand); Departments of Marine Science and Anatomy at the University of Otago; Antarctic Science Platform, MBIE New Zealand</t>
  </si>
  <si>
    <t>Field logistics were supported by the Australian Antarctic Division, AAS Project 4370. PO-R was supported by a University of Otago Divisional Strategic Doctoral Scholarship. Genomic work was funded by a Royal Society of New Zealand Rutherford Discovery Fellowship to CIF (RDF-UOO1803) and by PhD student research support from the Departments of Marine Science and Anatomy at the University of Otago. PO-R, CIF and ML are also supported by the Antarctic Science Platform, MBIE New Zealand (ANTA1801).</t>
  </si>
  <si>
    <t>PII S0954102022000384</t>
  </si>
  <si>
    <t>10.1017/S0954102022000384</t>
  </si>
  <si>
    <t>WOS:000974285300003</t>
  </si>
  <si>
    <t>González-Aravena, M; Krüger, L; Rebolledo, L; Jaña, R; Aguayo-Lobo, A; Leppe, M; Rondon, R; Santa-Cruz, F; Salinas, C; Trevisan, C; Cárdenas, CA</t>
  </si>
  <si>
    <t>Gonzalez-Aravena, Marcelo; Kruger, Lucas; Rebolledo, Lorena; Jana, Ricardo; Aguayo-Lobo, Anelio; Leppe, Marcelo; Rondon, Rodolfo; Santa-Cruz, Francisco; Salinas, Carla; Trevisan, Cristine; Cardenas, Cesar A.</t>
  </si>
  <si>
    <t>Antarctic science in Chile: a bibliometric analysis of scientific productivity during the 2009-2019 period</t>
  </si>
  <si>
    <t>Chilean Antarctic Program Collaboration network; Research Antarctic Platforms; Web of Science</t>
  </si>
  <si>
    <t>COLLABORATION; AMERICA</t>
  </si>
  <si>
    <t>The changes implemented in 2005 in the development strategies of Antarctic science carried out by Chile have had a positive impact on the scientific productivity of the Chilean Antarctic Science Program (PROCIEN). We analysed scientometric indicators from between 2009 and 2019. The bibliographic data were extracted from the Web of Science database using search query keywords. We used multiple correspondence analysis to identify specific trends and also network analyses of international collaboration in VOSviewer. The number of Antarctic science publications in Chile has gradually increased from 21 in 2009 to 95 in 2019. The rise in the number of articles was higher in journals for the first impact factor quartile. Research lines showing increased first-quartile impact factor papers corresponded to Antarctic ecosystems, biotechnology and geosciences. The main geographical domains in which such research activities have been carried out corresponded to in the South Shetland Islands and the Antarctic Peninsula. Fieldwork data are the main sources for the production of scientific articles, and there are three science platforms within which most of these papers concentrate. The diversification of funding sources, the implementation of improvements in the selection process and Chile's alignment with Scientific Committee on Antarctic Research programmes have contributed to improving the science that Chile has developed in Antarctica.</t>
  </si>
  <si>
    <t>[Gonzalez-Aravena, Marcelo; Kruger, Lucas; Rebolledo, Lorena; Jana, Ricardo; Aguayo-Lobo, Anelio; Leppe, Marcelo; Rondon, Rodolfo; Santa-Cruz, Francisco; Salinas, Carla; Trevisan, Cristine; Cardenas, Cesar A.] Inst Antartico Chileno, Dept Cient, Punta Arenas, Chile; [Kruger, Lucas; Cardenas, Cesar A.] Millennium Inst Biodivers Antarctic &amp; Subantarcti, Santiago, Chile</t>
  </si>
  <si>
    <t>González-Aravena, M (corresponding author), Inst Antartico Chileno, Dept Cient, Punta Arenas, Chile.</t>
  </si>
  <si>
    <t>mgonzalez@inach.cl</t>
  </si>
  <si>
    <t>Jaña, Ricardo/AAR-1225-2020; Leppe, Marcelo/L-5447-2014; Kruger, Lucas/O-8912-2015</t>
  </si>
  <si>
    <t>Jaña, Ricardo/0000-0003-3319-1168; Leppe, Marcelo/0000-0002-1545-8167; Kruger, Lucas/0000-0003-4637-5302; Cardenas, Cesar/0000-0001-6662-6899; Santa Cruz, Francisco/0000-0002-7894-0153; Rondon, Rodolfo/0000-0002-0292-7438; Trevisan, Cristine/0000-0001-5550-2380; Rebolledo, Lorena/0000-0003-0266-361X</t>
  </si>
  <si>
    <t>LK and CAC are supported by ANID-Millennium Science Initiative Program - ICN2021_002.</t>
  </si>
  <si>
    <t>10.1017/S0954102022000487</t>
  </si>
  <si>
    <t>WOS:000974285300006</t>
  </si>
  <si>
    <t>Stephenson, RL; Hobday, AJ; Butler, I; Cannard, T; Cowlishaw, M; Cresswell, I; Cvitanovic, C; Dobbs, K; Frusher, S; Fudge, M; Fulton, B; Gillanders, BM; Gollan, N; Haward, M; Hutton, T; Jordan, A; McDonald, J; Macleod, C; Pecl, G; Plaganyi, EE; van Putten, I; Vince, J; Ward, T</t>
  </si>
  <si>
    <t>Stephenson, Robert L.; Hobday, Alistair J.; Butler, Ian; Cannard, Toni; Cowlishaw, Mel; Cresswell, Ian; Cvitanovic, Christopher; Dobbs, Kirstin; Frusher, Stewart; Fudge, Maree; Fulton, Beth; Gillanders, Bronwyn M.; Gollan, Natalie; Haward, Marcus; Hutton, Trevor; Jordan, Alan; McDonald, Jan; Macleod, Catriona; Pecl, Gretta; Plaganyi, Eva E.; van Putten, Ingrid; Vince, Joanna; Ward, Timothy</t>
  </si>
  <si>
    <t>Integrating management of marine activities in Australia</t>
  </si>
  <si>
    <t>Ocean governance; Marine resources management; Marine spatial planning; Ecosystem-based management; Trade-offs; Cumulative effects; Marine protected area; MPA; World heritage area</t>
  </si>
  <si>
    <t>GREAT-BARRIER-REEF; ADAPTIVE MANAGEMENT; FRAMEWORK; PRINCIPLES; POLICY; WORST</t>
  </si>
  <si>
    <t>Integrated management (IM) has been widely proposed, but difficult to achieve in practice, and there remains the need for evaluation of examples that illustrate the practical issues that contribute to IM success or failure. This paper synthesises experiences of academics and practitioners involved in seven Australian case studies in which there have been attempts to integrate or take a broader, holistic perspective of management. The evaluative framework of Stephenson et al. (2019a) was used as a lens to explore, through workshops and a questionnaire survey, the nine key features and five anticipated stages of IM in the Gladstone Harbour Project, the Great Barrier Reef, the Northern Prawn fishery and regional development, the South-East Queensland Healthy Waterways Partnership, the Australian Oceans Policy, the New South Wales Marine Estate reforms, and progress toward Integrated Management in the Spencer Gulf. Workshops involving experts with direct experience of the case studies revealed that most of the key features (recognition of the need; a shared vision for IM; appropriate legal and policy frameworks; effective process for appropriate stakeholder participation; comprehensive suite of ob-jectives (ecological, social, cultural, economic and institutional); consideration of trade-offs and cumulative effects of multiple activities; flexibility to adapt to changing conditions; process for ongoing review, evaluation and refinement; and effective resourcing) were seen as important in all case studies. However, there are only a few examples where key features of IM were implemented 'fully'. A subsequent questionnaire of participants using 'best-worst' scaling indicated that an appropriate legal and institutional framework is considered to have most influence on IM outcomes, and therefore is the most important of the key features. This is followed in salience by effective stakeholder participation, effective resourcing, capacity and tools, and recognition of the need for IM. Key features may change in relative importance at different stages in the trajectory of IM.</t>
  </si>
  <si>
    <t>[Stephenson, Robert L.; Hobday, Alistair J.; Fulton, Beth; van Putten, Ingrid] CSIRO Environm, Hobart, Tas, Australia; [Stephenson, Robert L.; Hobday, Alistair J.; Butler, Ian; Cvitanovic, Christopher; Frusher, Stewart; Fudge, Maree; Fulton, Beth; Haward, Marcus; McDonald, Jan; Macleod, Catriona; Pecl, Gretta; Plaganyi, Eva E.; van Putten, Ingrid; Vince, Joanna] Univ Tasmania, Ctr Marine Socioecol, Hobart, Tas, Australia; [Stephenson, Robert L.] Univ New Brunswick, Dept Fisheries &amp; Oceans, St Andrews, NB, Canada; [Butler, Ian] Australian Bur Agr Resource Econ &amp; Sci, Canberra, Australia; [Cannard, Toni; Hutton, Trevor; Plaganyi, Eva E.] CSIRO Environm, St Lucia, Qld, Australia; [Cowlishaw, Mel; Dobbs, Kirstin] Great Barrier Reef Marine Pk Author, Townsville, Qld, Australia; [Cresswell, Ian] Univ Newcastle, Sch Environm &amp; Life Sci, Ourimbah, NSW 2258, Australia; [Cvitanovic, Christopher] Univ New South Wales, Sch Business, Canberra, ACT, Australia; [Macleod, Catriona; Pecl, Gretta] James Cook Univ, ARC Ctr Excellence Coral Reef Studies, Townsville, Qld, Australia; [Fudge, Maree; Haward, Marcus; Jordan, Alan; Ward, Timothy] Univ Tasmania, Inst Marine &amp; Antarctic Studies, Hobart, Australia; [Gillanders, Bronwyn M.] Univ Adelaide, Environm Inst, Sch Biol Sci, Adelaide, SA 5005, Australia; [Gollan, Natalie; Jordan, Alan] Port Stephens Fisheries Inst, New South Wales Dept Primary Ind Fisheries, Locked Bag 1, Nelson Bay, NSW 2315, Australia; [McDonald, Jan] Univ Tasmania, Fac Law, Sandy Bay, Tas 7004, Australia; [Vince, Joanna] Univ Tasmania, Sch Social Sci, Launceston, Tas, Australia</t>
  </si>
  <si>
    <t>University of Tasmania; Fisheries &amp; Oceans Canada; University of New Brunswick; University of Newcastle; University of New South Wales Sydney; James Cook University; University of Tasmania; University of Adelaide; NSW Department of Primary Industries; University of Tasmania; University of Tasmania</t>
  </si>
  <si>
    <t>Stephenson, RL (corresponding author), CSIRO Environm, Hobart, Tas, Australia.</t>
  </si>
  <si>
    <t>robert.stephenson@dfo-mpo.gc.ca</t>
  </si>
  <si>
    <t>MacLeod, Catriona K/J-7176-2014; Hobday, Alistair/A-1460-2012; Haward, Marcus/G-3369-2014; Plaganyi, Eva E/C-5130-2011; WARD, Timothy Mark/KDN-7596-2024; Vince, Joanna Zofia/J-7465-2014; McDonald, Jan/J-7204-2014</t>
  </si>
  <si>
    <t>Plaganyi, Eva E/0000-0002-4740-4200; WARD, Timothy Mark/0000-0002-9003-2772; Vince, Joanna Zofia/0000-0002-4469-7634; Cannard, Toni/0000-0003-4254-8683; McDonald, Jan/0000-0002-7953-1458; Dutra, Leo/0000-0002-5781-3956</t>
  </si>
  <si>
    <t>Fisheries and Oceans Canada; CSIRO</t>
  </si>
  <si>
    <t>Fisheries and Oceans Canada; CSIRO(Commonwealth Scientific &amp; Industrial Research Organisation (CSIRO))</t>
  </si>
  <si>
    <t>We are grateful to the additional participants in the workshops on which this paper is based (listed in Stephenson et al., 2019b) , and especially to Tony Smith who participated in the workshops and offered comments on earlier versions of the manuscript. We thank three anon- ymous reviewers of the submitted manuscript. The workshops were funded by contributions from the FRDC on behalf of the Australian Government (Project 2017-214-Comparative evaluation of Integrated Coastal Marine Management in Australia), CSIRO and Centre for Marine Socioecology. The workshop activities were evaluated and approved by the CSIRO Social Science Human Research Ethics Committee (Application #033/18). R. Stephenson is grateful for the support of both Fisheries and Oceans Canada and CSIRO (including a Distinguished Visitor Award, 2018).</t>
  </si>
  <si>
    <t>10.1016/j.ocecoaman.2022.106465</t>
  </si>
  <si>
    <t>C7WQ7</t>
  </si>
  <si>
    <t>WOS:000963981200001</t>
  </si>
  <si>
    <t>Pavón, A; Corsini, G; Orellana, P; Calisto, N; Navarro, L; Wiese, G; Cortés-Cortés, P; Gidekel, M; Gutierrez-Moraga, A; Salazar, L</t>
  </si>
  <si>
    <t>Pavon, Alequis; Corsini, Gino; Orellana, Paz; Calisto, Nancy; Navarro, Laura; Wiese, Guillermo; Cortes-Cortes, Piedad; Gidekel, Manuel; Gutierrez-Moraga, Ana; Salazar, Lorena</t>
  </si>
  <si>
    <t>Identification of Antarctic Soil Bacteria Exhibiting Antiproliferative Activity Against a Colon Cancer Cell Line</t>
  </si>
  <si>
    <t>INTERNATIONAL JOURNAL OF MORPHOLOGY</t>
  </si>
  <si>
    <t>Antarctic bacteria; Antiproliferative activity; Colorectal cancer</t>
  </si>
  <si>
    <t>ANTICANCER ACTIVITY; BACILLUS; EXOPOLYSACCHARIDES</t>
  </si>
  <si>
    <t>Cancer is the second leading cause of death in the world and colorectal cancer is the only cancer that has shown a sustained increase in mortality in the last decade. In the search for new chemotherapeutic agents against cancer, extremophilic microorganisms have shown to be a potential source to obtain molecules of natural origin and with selective cytotoxic action towards cancer cells. In this work we analyzed the ability of a collection of Antarctic soil bacteria, isolated on Collins Glacier from the rhizosphere ofDeschampsia antarctica Desv plant, to secrete molecules capable of inhibiting cell proliferation of a colorectal cancer tumor line. Our results demonstrated that culture supernatants from the Antarctic bacteria K2I17 and MI12 decreased the viability of LoVo cells, a colorectal adenocarcinoma cell line. Phenotypic and genotypic characterization of the Antarctic bacteria showed that they were taxonomically related and nucleotide identity analysis based on the 16S rRNA gene sequence identified the bacterium K2I17 as a species belonging to the genus Bacillus.</t>
  </si>
  <si>
    <t>[Pavon, Alequis; Corsini, Gino; Orellana, Paz; Calisto, Nancy; Navarro, Laura; Wiese, Guillermo; Gidekel, Manuel; Gutierrez-Moraga, Ana; Salazar, Lorena] Univ Autonoma Chile, Fac Ciencias Salud, Inst Ciencias Biomed, Santiago, Chile; [Calisto, Nancy] Univ Magallanes, Fac Ingn, Ctr Invest Monitoreo Ambiental Antartico CIMAA, Dept Ingn Quim, Punta Arenas, Chile; [Cortes-Cortes, Piedad] Univ Amer, Direcc Desarrollo &amp; Transferencia, Santiago, Chile; [Gutierrez-Moraga, Ana] Univ La Frontera, Fac Ciencias Agr &amp; Forestales, Dept Prod Agr, Temuco, Chile</t>
  </si>
  <si>
    <t>Universidad Autonoma de Chile; Universidad de Magallanes; Universidad de Las Americas - Chile; Universidad de La Frontera</t>
  </si>
  <si>
    <t>Salazar, L (corresponding author), Univ Autonoma Chile, Fac Ciencias Salud, Inst Ciencias Biomed, El Llano Subercaseaux 2801, Santiago, Chile.</t>
  </si>
  <si>
    <t>lorena.salazar@uautonoma.cl</t>
  </si>
  <si>
    <t>Calisto Ulloa, Nancy Cristina/0000-0002-5517-1750</t>
  </si>
  <si>
    <t>Universidad Autonoma de Chile [GENERA-UA 2019-017]; Universidad Aut?noma de Chile</t>
  </si>
  <si>
    <t>Universidad Autonoma de Chile; Universidad Aut?noma de Chile</t>
  </si>
  <si>
    <t>This work was supported by the GENERA-UA 2019-017 project of the Universidad Autonoma de Chile.</t>
  </si>
  <si>
    <t>SOC CHILENA ANATOMIA</t>
  </si>
  <si>
    <t>TEMUCO</t>
  </si>
  <si>
    <t>CASILLA 54-D, TEMUCO, 00000, CHILE</t>
  </si>
  <si>
    <t>0717-9502</t>
  </si>
  <si>
    <t>0717-9367</t>
  </si>
  <si>
    <t>INT J MORPHOL</t>
  </si>
  <si>
    <t>Int. J. Morphol.</t>
  </si>
  <si>
    <t>Anatomy &amp; Morphology</t>
  </si>
  <si>
    <t>C4AE7</t>
  </si>
  <si>
    <t>WOS:000961353900039</t>
  </si>
  <si>
    <t>Raksha, N; Halenova, T; Vovk, T; Kostyuk, O; Synelnyk, T; Andriichuk, T; Maievska, T; Savchuk, O; Ostapchenko, L</t>
  </si>
  <si>
    <t>Raksha, Nataliia; Halenova, Tetiana; Vovk, Tetiana; Kostyuk, Olexandra; Synelnyk, Tatyana; Andriichuk, Tatyana; Maievska, Tetiana; Savchuk, Olexiy; Ostapchenko, Ludmila</t>
  </si>
  <si>
    <t>Anti-obesity effect of collagen peptides obtained from Diplulmaris antarctica, a jellyfish of the Antarctic region</t>
  </si>
  <si>
    <t>CROATIAN MEDICAL JOURNAL</t>
  </si>
  <si>
    <t>PROTEIN; OBESITY; SKIN; HYDROLYSATE; METABOLISM; PRODUCTS; RISK; RATS</t>
  </si>
  <si>
    <t>Aim To investigate the ability of collagen peptides derived from a jellyfish of the Antarctic region (Diplulmaris antarc-tica) to prevent the development of obesity in rats fed a high-calorie diet.Methods Collagen peptides were produced by pepsin hy-drolysis of jellyfish-derived collagen. The purity of collagen and collagen peptides was confirmed by SDS-polyacryl-amide gel electrophoresis. Rats were fed a high-calorie diet for ten weeks and were simultaneously orally administered collagen peptides (1 g per 1 kg of body weight every other day) starting from the fourth week. Body mass index (BMI), body weight gain, selected nutritional parameters, the key parameters associated with insulin resistance, and the level of oxidative stress markers were assessed.Results Compared with untreated obese rats, rats treat-ed with hydrolyzed jellyfish collagen peptides had a de-creased body weight gain and body mass index. They also had a decreased level of fasting blood glucose, glycated he-moglobin, insulin, lipid peroxidation products (conjugated dienes, Schiff bases), and oxidatively modified proteins, as well as a restored activity of superoxide dismutase.Conclusion Collagen peptides obtained from Diplulmaris antarctica can be used to prevent and treat obesity caused by a high-calorie diet and pathologies associated with in-creased oxidative stress. Given the obtained results and the abundance of Diplulmaris antarctica in the Antarctic region, this species can be considered a sustainable source of collagen and its derivatives.</t>
  </si>
  <si>
    <t>[Raksha, Nataliia; Halenova, Tetiana; Vovk, Tetiana; Kostyuk, Olexandra; Synelnyk, Tatyana; Andriichuk, Tatyana; Savchuk, Olexiy; Ostapchenko, Ludmila] Taras Shevchenko Natl Univ Kyiv, Educ &amp; Sci Ctr, Inst Biol &amp; Med, Dept Biochem, Kiev, Ukraine; [Maievska, Tetiana] Ukrainian Fishing Ind Cluster Innovat, Kiev, Ukraine; [Raksha, Nataliia] Volodymyrska St 64-13, UA-01601 Kiev, Ukraine</t>
  </si>
  <si>
    <t>Ministry of Education &amp; Science of Ukraine; Taras Shevchenko National University of Kyiv</t>
  </si>
  <si>
    <t>Raksha, N (corresponding author), Volodymyrska St 64-13, UA-01601 Kiev, Ukraine.</t>
  </si>
  <si>
    <t>nkudina@ukr.net</t>
  </si>
  <si>
    <t>Ostapchenko, Liudmyla/ISV-1878-2023; Raksha, Nataliia/IST-3176-2023; Halenova, Tetiana/H-9709-2018; Andriichuk, Tetiana/ISS-8142-2023; Synelnyk, Tatyana/B-2089-2017; Savchuk, Olexiy/K-2863-2014; Vovk, Tetiana/IST-7771-2023; Raksha, Nataliia/H-9806-2018; Kostyuk, Alexandra/I-1022-2018</t>
  </si>
  <si>
    <t>Ostapchenko, Liudmyla/0000-0001-7181-6048; Halenova, Tetiana/0000-0003-2973-2646; Andriichuk, Tetiana/0000-0002-9512-9696; Synelnyk, Tatyana/0000-0002-7131-0642; Savchuk, Olexiy/0000-0003-3621-6981; Vovk, Tetiana/0000-0002-0440-8922; Raksha, Nataliia/0000-0001-6654-771X; Maievska, Tetiana/0000-0002-2871-1598; Kostyuk, Alexandra/0000-0002-4509-3701</t>
  </si>
  <si>
    <t>MEDICINSKA NAKLADA</t>
  </si>
  <si>
    <t>ZAGREB</t>
  </si>
  <si>
    <t>VLASKA 69, HR-10000 ZAGREB, CROATIA</t>
  </si>
  <si>
    <t>0353-9504</t>
  </si>
  <si>
    <t>1332-8166</t>
  </si>
  <si>
    <t>CROAT MED J</t>
  </si>
  <si>
    <t>Croat. Med. J.</t>
  </si>
  <si>
    <t>10.3325/cmj.2023.64.21</t>
  </si>
  <si>
    <t>A2UJ1</t>
  </si>
  <si>
    <t>WOS:000953731600004</t>
  </si>
  <si>
    <t>Harris, S; Pütz, K; Mattern, T; Scioscia, G; Rey, AR</t>
  </si>
  <si>
    <t>Harris, Sabrina; Puetz, Klemens; Mattern, Thomas; Scioscia, Gabriela; Raya Rey, Andrea</t>
  </si>
  <si>
    <t>The role of conspecifics during pelagic foraging of Magellanic and benthic foraging of Gentoo penguins in the Beagle Channel, Argentina</t>
  </si>
  <si>
    <t>Spheniscus magellanicus; Pygoscelis papua; Video loggers; Group feeding; Pelagic prey; Benthic prey</t>
  </si>
  <si>
    <t>DIEL VERTICAL MIGRATION; ANIMAL-BORNE VIDEO; SPHENISCUS-MAGELLANICUS; LOCAL ENHANCEMENT; BREEDING SEABIRDS; DIMETHYL SULFIDE; DIVING BEHAVIOR; PREY; COMPETITION; EVOLUTION</t>
  </si>
  <si>
    <t>Seabirds coexist within colonies yet the role of conspecifics, whilst foraging is still poorly understood. In the 2019/20 and 2020/21 breeding seasons Magellanic penguins Spheniscus magellanicus and Gentoo penguins Pygoscelis papua were equipped with video loggers and GPS devices (n = 3 and n = 2, respectively) or only GPS devices (n = 11 and n = 2) at Martillo Island (54 degrees 54 ' S, 67 degrees 23 ' W), Argentina and compared with GPS tracks from previous seasons (2014, 2015 and 2017). Magellanic penguins transited in groups with conspecifics to the feeding grounds (up to 13 individuals were recorded simultaneously) in search of pelagic Fuegian sprat Sprattus fuegensis, but then were not filmed in close company of conspecifics during prey capture. Gentoo penguins generally fed on Nototheniid sp. at the seafloor. Contrary to predictions, Gentoo penguins foraged with conspecifics in small groups of 2-4 individuals, they coordinated to dive down, search and ambush prey. Gentoo penguins were also recorded foraging pelagically on Fuegian sprat. Conspecifics play an important role either during the initial search for prey patches, particularly when searching for elusive pelagic prey or during the small-scale search and hunt for benthic prey hidden in the seafloor substrate. The presence of conspecifics seems to be important during foraging for Magellanic and Gentoo penguins and this may be reflecting a positive aspect of coloniality.</t>
  </si>
  <si>
    <t>[Harris, Sabrina; Scioscia, Gabriela; Raya Rey, Andrea] Consejo Nacl Invest Cient &amp; Tecn, Ctr Austral Invest Cient, Ushuaia, Argentina; [Harris, Sabrina; Raya Rey, Andrea] Wildlife Conservat Soc, Buenos Aires, Argentina; [Puetz, Klemens] Antarctic Res Trust, Bremervorde, Germany; [Mattern, Thomas] Univ Otago, Zool Dept, 340 Great King St, Dunedin, New Zealand; [Raya Rey, Andrea] Univ Tierra Fuego UNTDF, Inst Ciencias Polares Ambiente &amp; Recursos Nat ICP, Ushuaia, Tierra Del Fueg, Argentina</t>
  </si>
  <si>
    <t>Consejo Nacional de Investigaciones Cientificas y Tecnicas (CONICET); University of Otago</t>
  </si>
  <si>
    <t>Harris, S (corresponding author), Consejo Nacl Invest Cient &amp; Tecn, Ctr Austral Invest Cient, Ushuaia, Argentina.;Harris, S (corresponding author), Wildlife Conservat Soc, Buenos Aires, Argentina.</t>
  </si>
  <si>
    <t>harrissabrin@gmail.com</t>
  </si>
  <si>
    <t>Harris, Sabrina/0000-0003-0683-8376</t>
  </si>
  <si>
    <t>Antarctic Research Trust (ART); Wildlife Conservation Society</t>
  </si>
  <si>
    <t>Funding for this study was provided by the Antarctic Research Trust (ART) and the Wildlife Conservation Society.</t>
  </si>
  <si>
    <t>10.1007/s00227-022-04163-3</t>
  </si>
  <si>
    <t>A1ZO6</t>
  </si>
  <si>
    <t>WOS:000953185300001</t>
  </si>
  <si>
    <t>Ma, L; Liu, CG; Yang, A; Liu, BH; Xia, CL</t>
  </si>
  <si>
    <t>Ma, Long; Liu, Chenguang; Yang, An; Liu, Baohua; Xia, Chenglong</t>
  </si>
  <si>
    <t>Characteristics of gravity anomalies and tectonic analysis of Enderby Land in East Antarctica and its adjacent areas</t>
  </si>
  <si>
    <t>Enderby Land and its adjacent areas; flexural isostatic gravity anomalies; crustal structure; isostatic adjustment</t>
  </si>
  <si>
    <t>NAPIER-COMPLEX; CRUSTAL STRUCTURE; CONTINENTAL-MARGIN; MAGNETIC-ANOMALIES; STRUCTURE BENEATH; CONSTRAINTS; BREAKUP; TOPOGRAPHY; MOUNTAINS; EVOLUTION</t>
  </si>
  <si>
    <t>Enderby Land in East Antarctica and its adjacent areas, which are closely related to the Indian Plate in their geological evolution, have become one of the key zones for studies on how the Antarctic continent evolves. Based on the isostasy and flexure theories of the lithosphere and using the CRUST1.0 model as the depth constraint, this paper uses the gravity field model EIGEN-6C4 and topographic data to calculate the isostatic gravity anomalies of Enderby Land and its adjacent areas. Then, the crustal thickness of the study area is calculated, and three comprehensive geophysical interpretation profiles that vertically span the study area are plotted. The results show that the flexural isostatic gravity anomalies in Enderby Land and its adjacent areas are closely related to the regional tectonic setting, and the anomalies in different regions differ substantially, ranging from -50x10(-5) m/s(2) to 85x10(-5) m/s(2). A zone of high isostatic gravity anomalies (30x10(-5)-80x10(-5) m/s(2)) is distributed outside the Cooperation Sea and Queen Maud Land, which may be plate remnants generated by early rifting. Except for the Kerguelen Plateau, which was formed by a hotspot and has a crustal thickness of 15 km, the thickness of the oceanic crust in other parts of the study area changes slightly by approximately 4-9 km, with the thinnest part being in Enderby Basin. The thickness of the inland crust along the coastline increases with the elevation, with the maximum thickness reaching 34 km. The isostatic gravity anomalies corresponding to the zone of high magnetic anomalies along the continental margin of Queen Maud Land are negative and small, with an isostatic adjustment trend indicating Moho surface uplift, and those on the edge of central Enderby Land are near zero, approaching the isostatic state, which may be caused by the magmatism at the early stage of rifting. The continental-oceanic boundary should be close to the contour line of the crustal thickness 10-12 km on the outer edge of the coastline.</t>
  </si>
  <si>
    <t>[Ma, Long; Liu, Chenguang] Minist Nat Resources, Inst Oceanog 1, Qingdao 266061, Peoples R China; [Ma, Long; Yang, An] Chinese Acad Sci, Inst Oceanol, Key Lab Marine Geol &amp; Environm, Qingdao 266071, Peoples R China; [Ma, Long; Liu, Chenguang; Liu, Baohua] Pilot Natl Lab Marine Sci &amp; Technol Qingdao, Lab Marine Geol, Qingdao 266237, Peoples R China; [Liu, Baohua] Minist Nat Resources, Natl Deep Sea Ctr, Qingdao 266237, Peoples R China; [Xia, Chenglong] Naval Res Inst, Tianjin 300061, Peoples R China</t>
  </si>
  <si>
    <t>Ministry of Natural Resources of the People's Republic of China; First Institute of Oceanography, Ministry of Natural Resources; Chinese Academy of Sciences; Institute of Oceanology, CAS; Laoshan Laboratory; Ministry of Natural Resources of the People's Republic of China</t>
  </si>
  <si>
    <t>Ma, L (corresponding author), Minist Nat Resources, Inst Oceanog 1, Qingdao 266061, Peoples R China.;Ma, L (corresponding author), Chinese Acad Sci, Inst Oceanol, Key Lab Marine Geol &amp; Environm, Qingdao 266071, Peoples R China.;Ma, L (corresponding author), Pilot Natl Lab Marine Sci &amp; Technol Qingdao, Lab Marine Geol, Qingdao 266237, Peoples R China.</t>
  </si>
  <si>
    <t>malong@fio.org.cn</t>
  </si>
  <si>
    <t>Liu, Chenguang/AAC-4849-2021; Xia, Chenglong/AAD-4704-2019</t>
  </si>
  <si>
    <t>Xia, Chenglong/0000-0002-5895-6342</t>
  </si>
  <si>
    <t>National Natural Science Foundation of China [42006198]; Open Fund of the Key Laboratory of Marine Geology and Environment, Chinese Academy of Sciences [MGE2020KG02]</t>
  </si>
  <si>
    <t>National Natural Science Foundation of China(National Natural Science Foundation of China (NSFC)); Open Fund of the Key Laboratory of Marine Geology and Environment, Chinese Academy of Sciences</t>
  </si>
  <si>
    <t>The National Natural Science Foundation of China under contract No. 42006198; the Open Fund of the Key Laboratory of Marine Geology and Environment, Chinese Academy of Sciences under contract No. MGE2020KG02.</t>
  </si>
  <si>
    <t>10.1007/s13131-022-2029-x</t>
  </si>
  <si>
    <t>A0OE5</t>
  </si>
  <si>
    <t>WOS:000952201500009</t>
  </si>
  <si>
    <t>Hicks, O; Kato, A; Wisniewska, DM; Marciau, C; Angelier, F; Ropert-Coudert, Y; Hegemann, A</t>
  </si>
  <si>
    <t>Hicks, Olivia; Kato, Akiko; Wisniewska, Danuta M.; Marciau, Coline; Angelier, Frederic; Ropert-Coudert, Yan; Hegemann, Arne</t>
  </si>
  <si>
    <t>Holding time has limited impact on constitutive innate immune function in a long-lived Antarctic seabird, the Adelie penguin: implications for field studies</t>
  </si>
  <si>
    <t>BIOLOGY OPEN</t>
  </si>
  <si>
    <t>Antarctic; Ecoimmunology; Field study; Stress</t>
  </si>
  <si>
    <t>CORTICOSTERONE RESPONSES; TRADE-OFFS; HANDLING STRESS; WILD; LIFE; BIRDS; TESTOSTERONE; VERTEBRATES; HYPOTHESES; IMMUNOLOGY</t>
  </si>
  <si>
    <t>There is great interest in measuring immune function in wild animals. Yet, field conditions often have methodological challenges related to handling stress, which can alter physiology. Despite general consensus that immune function is influenced by handling stress, previous studies have provided equivocal results. Furthermore, few studies have focused on long-lived species, which may have different stress-immune trade-offs compared to short-lived species that have primarily been tested. Here, we investigate whether capture and handling duration impacts innate immune function in a long-lived seabird, the Adelie penguin (Pygoscelis adeliae). We found no evidence for changes in three commonly used parameters of innate immune function upon holding time of up to 2 h, suggesting that immune function in this species is more robust against handling than in other species. This opens up exciting possibilities for measuring immune function in species with similar life-histories even if samples cannot be taken directly after capture.</t>
  </si>
  <si>
    <t>[Hicks, Olivia; Kato, Akiko; Marciau, Coline; Angelier, Frederic; Ropert-Coudert, Yan] La Rochelle Univ, Ctr Etud Biol Chize, CNRS, UMR 7372, Villiers En Bois, France; [Hicks, Olivia] Lund Univ, Dept Biol, Ecol Bldg, S-22362 Lund, Sweden; [Wisniewska, Danuta M.; Hegemann, Arne] Univ Southern Denmark, Dept Biol, DK-5230 Odense, Denmark</t>
  </si>
  <si>
    <t>Centre National de la Recherche Scientifique (CNRS); CNRS - Institute of Ecology &amp; Environment (INEE); Lund University; University of Southern Denmark</t>
  </si>
  <si>
    <t>Hicks, O (corresponding author), La Rochelle Univ, Ctr Etud Biol Chize, CNRS, UMR 7372, Villiers En Bois, France.;Hicks, O (corresponding author), Lund Univ, Dept Biol, Ecol Bldg, S-22362 Lund, Sweden.</t>
  </si>
  <si>
    <t>olivia.c.hicks@gmail.com</t>
  </si>
  <si>
    <t>Wisniewska, Danuta Maria/0000-0002-3599-7440; Marciau, Coline/0000-0001-5559-4289; Hicks, Olivia/0000-0002-6938-9670</t>
  </si>
  <si>
    <t>French Polar Institute - PEW fellowship; WWF-UK; Zone Atelier Antarctique et Terres Australes from the CNRS; Company of Biologists; British Ornithological Union; Swedish Research Council [2018-04278]; Lunds Universitet; Vinnova [2018-04278] Funding Source: Vinnova; Swedish Research Council [2018-04278] Funding Source: Swedish Research Council</t>
  </si>
  <si>
    <t>French Polar Institute - PEW fellowship; WWF-UK; Zone Atelier Antarctique et Terres Australes from the CNRS; Company of Biologists; British Ornithological Union; Swedish Research Council(Swedish Research Council); Lunds Universitet; Vinnova(Vinnova); Swedish Research Council(Swedish Research Council)</t>
  </si>
  <si>
    <t>The project was supported logistically by the French Polar Institute and funded by the PEW fellowship to Y.R.-C., the WWF-UK, and the Zone Atelier Antarctique et Terres Australes from the CNRS. O.H. received funding from the Company of Biologists and the British Ornithological Union. A.H. was supported by a grant from the Swedish Research Council (2018-04278) . Open Access funding provided by Lunds Universitet. Deposited in PMC for immediate release.</t>
  </si>
  <si>
    <t>2046-6390</t>
  </si>
  <si>
    <t>BIOL OPEN</t>
  </si>
  <si>
    <t>Biol. Open</t>
  </si>
  <si>
    <t>bio059512</t>
  </si>
  <si>
    <t>10.1242/bio.059512</t>
  </si>
  <si>
    <t>9V1IX</t>
  </si>
  <si>
    <t>WOS:000948155000002</t>
  </si>
  <si>
    <t>Riley, TR; Millar, IL; Carter, A; Flowerdew, MJ; Burton-Johnson, A; Bastias, J; Storey, CD; Castillo, P; Chew, D; Whitehouse, MJ</t>
  </si>
  <si>
    <t>Riley, Teal R. R.; Millar, Ian L. L.; Carter, Andrew; Flowerdew, Michael J. J.; Burton-Johnson, Alex; Bastias, Joaquin; Storey, Craig D. D.; Castillo, Paula; Chew, David; Whitehouse, Martin J. J.</t>
  </si>
  <si>
    <t>Evolution of an Accretionary Complex (LeMay Group) and Terrane Translation in the Antarctic Peninsula</t>
  </si>
  <si>
    <t>Gondwana; detrital; zircon; U-Pb geochronology; Lu-Hf isotopes</t>
  </si>
  <si>
    <t>U-PB AGES; NATURAL REFERENCE MATERIAL; CENTRAL ALEXANDER ISLAND; WEST ANTARCTICA; LU-HF; SOUTHWESTERN GONDWANA; ISOTOPE SYSTEMATICS; ELLSWORTH MOUNTAINS; DETRITAL ZIRCONS; TRACE-ELEMENT</t>
  </si>
  <si>
    <t>The LeMay Group accretionary complex of Alexander Island (Antarctic Peninsula) comprises a 4 km thick succession of variably deformed turbidites associated with thrust slices of ocean floor basalts. The depositional age and provenance of the succession is uncertain with estimates ranging from Carboniferous to Cretaceous. The accretion history is also poorly established and whether the LeMay Group developed allochthonously and accreted during an episode of Cretaceous terrane translation. We have examined the geochronology and geochemistry of 22 samples from across the entire accretionary complex to determine its depositional, provenance and accretion history. The accretionary complex has been subdivided into four separate groups based on detrital zircon U-Pb age and Lu-Hf provenance analysis. Groups 1 and 2 are interpreted to be a continuation of the extensive Permian accretionary complexes of West Gondwana and have a depositional age of c. 255 Ma, with volcaniclastic input from the extensive silicic volcanism of the Choiyoi Province. Accretion of the LeMay Group to the continental margin developed during the mid-Triassic, potentially related to the Peninsula Orogeny and an episode of flat-slab subduction of the proto-Pacific plate. Group 3 is only identified from an island to the west of Alexander Island and has a mid-Cretaceous depositional age and provenance akin to offshore sequences from Thurston Island. A para-autochthonous origin is suggested, with mid-Cretaceous accretion associated with the melange belts of central Alexander Island. Group 4 is also a distinct unit with an Early Jurassic depositional age and a source more closely related to the Antarctic Peninsula.</t>
  </si>
  <si>
    <t>[Riley, Teal R. R.; Burton-Johnson, Alex] British Antarctic Survey, Cambridge, England; [Millar, Ian L. L.] British Geol Survey, Nottingham, England; [Carter, Andrew] Birkbeck Univ London, Dept Earth &amp; Planetary Sci, London, England; [Flowerdew, Michael J. J.] Madingley Rise, CASP, Cambridge, England; [Bastias, Joaquin] Trinity Coll Dublin, Dept Geol, Dublin, Ireland; [Bastias, Joaquin] Univ St Tomas, Escuela Geol, Fac Ingn, Santiago, Chile; [Storey, Craig D. D.] Univ Portsmouth, Sch Environm Geog &amp; Geosci, Portsmouth, England; [Castillo, Paula] Westfal Wilhelms Univ, Inst Geol &amp; Palaontol, Munster, Germany; [Whitehouse, Martin J. J.] Swedish Museum Nat Hist, Stockholm, Sweden</t>
  </si>
  <si>
    <t>UK Research &amp; Innovation (UKRI); Natural Environment Research Council (NERC); NERC British Antarctic Survey; UK Research &amp; Innovation (UKRI); Natural Environment Research Council (NERC); NERC British Geological Survey; University of London; Birkbeck University London; University of Cambridge; Trinity College Dublin; University of Portsmouth; University of Munster; Swedish Museum of Natural History</t>
  </si>
  <si>
    <t>Riley, TR (corresponding author), British Antarctic Survey, Cambridge, England.</t>
  </si>
  <si>
    <t>trr@bas.ac.uk</t>
  </si>
  <si>
    <t>Chew, David M/B-7828-2008; Millar, Ian L/F-1541-2010; Bastias, Joaquin/A-6995-2016; Carter, Andrew/C-1371-2008</t>
  </si>
  <si>
    <t>Chew, David M/0000-0002-6940-1035; Bastias, Joaquin/0000-0001-6678-3173; Carter, Andrew/0000-0002-0090-5868; Riley, Teal/0000-0002-3333-5021; Storey, Craig/0000-0002-4945-7381; Burton-Johnson, Alex/0000-0003-2208-0075; Flowerdew, Michael/0000-0002-9710-2593; Millar, Ian Lawson/0000-0002-9117-7025</t>
  </si>
  <si>
    <t>Natural Environmental Research Council; Instituto Antartico Chileno (INACH) [RT-06-14]; Swiss National Science Foundation [P500PN_202847]; Swiss National Science Foundation (SNF) [P500PN_202847] Funding Source: Swiss National Science Foundation (SNF)</t>
  </si>
  <si>
    <t>Natural Environmental Research Council(UK Research &amp; Innovation (UKRI)Natural Environment Research Council (NERC)); Instituto Antartico Chileno (INACH); Swiss National Science Foundation(Swiss National Science Foundation (SNSF)); Swiss National Science Foundation (SNF)(Swiss National Science Foundation (SNSF))</t>
  </si>
  <si>
    <t>This study is part of the British Antarctic Survey Polar Science for Planet Earth programme, funded by the Natural Environmental Research Council. Bastias received funding from the Instituto Antartico Chileno (INACH, project RT-06-14) and the Swiss National Science Foundation (project P500PN_202847). Mark Evans prepared samples for zircon separation, Kerstin Linden and Heejin Jeon provided support at the NordSIMS facility. This is NordSIMS contribution number 724. This paper has benefited from the constructive and detailed reviews of Sebastian Cao and an anonymous referee.</t>
  </si>
  <si>
    <t>e2022TC007578</t>
  </si>
  <si>
    <t>10.1029/2022TC007578</t>
  </si>
  <si>
    <t>9T9JA</t>
  </si>
  <si>
    <t>WOS:000947336000001</t>
  </si>
  <si>
    <t>Selbesoglu, MO; Bakirman, T; Vassilev, O; Ozsoy, B</t>
  </si>
  <si>
    <t>Selbesoglu, Mahmut Oguz; Bakirman, Tolga; Vassilev, Oleg; Ozsoy, Burcu</t>
  </si>
  <si>
    <t>Mapping of Glaciers on Horseshoe Island, Antarctic Peninsula, with Deep Learning Based on High-Resolution Orthophoto</t>
  </si>
  <si>
    <t>Antarctica; deep learning; Horseshoe; glacier; orthophoto</t>
  </si>
  <si>
    <t>Antarctica plays a key role in the hydrological cycle of the Earth's climate system, with an ice sheet that is the largest block of ice that reserves Earth's 90% of total ice volume and 70% of fresh water. Furthermore, the sustainability of the region is an important concern due to the challenges posed by melting glaciers that preserve the Earth's heat balance by interacting with the Southern Ocean. Therefore, the monitoring of glaciers based on advanced deep learning approaches offers vital outcomes that are of great importance in revealing the effects of global warming. In this study, recent deep learning approaches were investigated in terms of their accuracy for the segmentation of glacier landforms in the Antarctic Peninsula. For this purpose, high-resolution orthophotos were generated based on UAV photogrammetry within the Sixth Turkish Antarctic Expedition in 2022. Segformer, DeepLabv3+ and K-Net deep learning methods were comparatively analyzed in terms of their accuracy. The results showed that K-Net provided efficient results with 99.62% accuracy, 99.58% intersection over union, 99.82% precision, 99.76% recall and 99.79% F1-score. Visual inspections also revealed that K-Net was able to preserve the fine details around the edges of the glaciers. Our proposed deep-learning-based method provides an accurate and sustainable solution for automatic glacier segmentation and monitoring.</t>
  </si>
  <si>
    <t>[Selbesoglu, Mahmut Oguz] Istanbul Tech Univ, Dept Geomat, TR-34469 Istanbul, Turkiye; [Bakirman, Tolga] Yildiz Tech Univ, Dept Geomat, TR-34220 Istanbul, Turkiye; [Vassilev, Oleg] Bulgarian Antarctic Inst, 15 Tsar Osvoboditel Blvd, Sofia 1504, Bulgaria; [Ozsoy, Burcu] TUBITAK Marmara Res Ctr, Polar Res Inst, TR-41470 Kocaeli, Turkiye</t>
  </si>
  <si>
    <t>Istanbul Technical University; Yildiz Technical University; Turkiye Bilimsel ve Teknolojik Arastirma Kurumu (TUBITAK)</t>
  </si>
  <si>
    <t>Selbesoglu, MO (corresponding author), Istanbul Tech Univ, Dept Geomat, TR-34469 Istanbul, Turkiye.</t>
  </si>
  <si>
    <t>Ozsoy, Burcu/AAH-5348-2020; SELBESOĞLU, Mahmut Oğuz/AAJ-2569-2021; Bakirman, Tolga/C-3959-2015</t>
  </si>
  <si>
    <t>Ozsoy, Burcu/0000-0003-4320-1796; SELBESOĞLU, Mahmut Oğuz/0000-0002-1132-3978; Bakirman, Tolga/0000-0001-7828-9666; Vassilev, Oleg/0000-0002-8407-8416</t>
  </si>
  <si>
    <t>Scientific and Technological Research Council of Turkey (TUBITAK), 1071 program [121N033]; TUBITAK project under the 1001 program [118Y322]</t>
  </si>
  <si>
    <t>Scientific and Technological Research Council of Turkey (TUBITAK), 1071 program(Turkiye Bilimsel ve Teknolojik Arastirma Kurumu (TUBITAK)); TUBITAK project under the 1001 program(Turkiye Bilimsel ve Teknolojik Arastirma Kurumu (TUBITAK))</t>
  </si>
  <si>
    <t>This study was funded by the Scientific and Technological Research Council of Turkey (TUBITAK), 1071 program, project no: 121N033. The GNSS measurements used in this study were obtained with the support of the TUBITAK project under the 1001 program, project no: 118Y322.</t>
  </si>
  <si>
    <t>10.3390/drones7020072</t>
  </si>
  <si>
    <t>9Q6YQ</t>
  </si>
  <si>
    <t>WOS:000945107700001</t>
  </si>
  <si>
    <t>Arrieche, D; Cabrera-Pardo, JR; San-Martin, A; Carrasco, H; Taborga, L</t>
  </si>
  <si>
    <t>Arrieche, Dioni; Cabrera-Pardo, Jaime R.; San-Martin, Aurelio; Carrasco, Hector; Taborga, Lautaro</t>
  </si>
  <si>
    <t>Natural Products from Chilean and Antarctic Marine Fungi and Their Biomedical Relevance</t>
  </si>
  <si>
    <t>MARINE DRUGS</t>
  </si>
  <si>
    <t>marine natural products; marine fungi; Chilean marine fungi; biological activities</t>
  </si>
  <si>
    <t>SECONDARY METABOLITES; ACID-DERIVATIVES</t>
  </si>
  <si>
    <t>Fungi are a prolific source of bioactive molecules. During the past few decades, many bioactive natural products have been isolated from marine fungi. Chile is a country with 6435 Km of coastline along the Pacific Ocean and houses a unique fungal biodiversity. This review summarizes the field of fungal natural products isolated from Antarctic and Chilean marine environments and their biological activities.</t>
  </si>
  <si>
    <t>[Arrieche, Dioni; Taborga, Lautaro] Univ Tecn Feder Santa Maria, Dept Quim, Lab Prod Nat, Ave Espana 1680, Valparaiso 2340000, Chile; [Cabrera-Pardo, Jaime R.] Univ Bio Bio, Dept Quim, Lab Quim Aplicada &amp; Sustentable LabQAS, Ave Collao 1202, Concepcion 4030000, Chile; [San-Martin, Aurelio] Univ Magallanes, Fac Ciencias Nat, Dept Ciencias &amp; Recursos Nat, Ave Bulnes 01855, Punta Arenas 6200112, Chile; [Carrasco, Hector] Univ Autonoma Chile, Fac Ingn, Inst Ciencias Quim &amp; Aplicadas, Grp QBAB, Llano Subercaseaux 2801, Santiago 8900000, Chile</t>
  </si>
  <si>
    <t>Universidad Tecnica Federico Santa Maria; Universidad del Bio-Bio; Universidad de Magallanes; Universidad Autonoma de Chile</t>
  </si>
  <si>
    <t>Taborga, L (corresponding author), Univ Tecn Feder Santa Maria, Dept Quim, Lab Prod Nat, Ave Espana 1680, Valparaiso 2340000, Chile.;Carrasco, H (corresponding author), Univ Autonoma Chile, Fac Ingn, Inst Ciencias Quim &amp; Aplicadas, Grp QBAB, Llano Subercaseaux 2801, Santiago 8900000, Chile.</t>
  </si>
  <si>
    <t>hector.carrasco@uautonoma.cl; lautaro.taborga@usm.cl</t>
  </si>
  <si>
    <t>Carrasco, Hector/0000-0002-2594-1697; Cabrera-Pardo, Jaime R./0000-0001-6978-581X</t>
  </si>
  <si>
    <t>Instituto Antartico Chileno (INACH) [RT_16-21]</t>
  </si>
  <si>
    <t>Instituto Antartico Chileno (INACH)</t>
  </si>
  <si>
    <t>Instituto Antartico Chileno (INACH) RT_16-21.</t>
  </si>
  <si>
    <t>1660-3397</t>
  </si>
  <si>
    <t>MAR DRUGS</t>
  </si>
  <si>
    <t>Mar. Drugs</t>
  </si>
  <si>
    <t>10.3390/md21020098</t>
  </si>
  <si>
    <t>Chemistry, Medicinal; Pharmacology &amp; Pharmacy</t>
  </si>
  <si>
    <t>Pharmacology &amp; Pharmacy</t>
  </si>
  <si>
    <t>9L6BC</t>
  </si>
  <si>
    <t>WOS:000941632200001</t>
  </si>
  <si>
    <t>Astudillo-Barraza, D; Oses, R; Henríquez-Castillo, C; Wong, CMVL; Pérez-Donoso, JM; Purcarea, C; Fukumasu, H; Fierro-Vásquez, N; Pérez, PA; Lavin, P</t>
  </si>
  <si>
    <t>Astudillo-Barraza, David; Oses, Romulo; Henriquez-Castillo, Carlos; Vui Ling Wong, Clemente Michael; Perez-Donoso, Jose M.; Purcarea, Cristina; Fukumasu, Heidge; Fierro-Vasquez, Natalia; Perez, Pablo A. A.; Lavin, Paris</t>
  </si>
  <si>
    <t>Apoptotic Induction in Human Cancer Cell Lines by Antimicrobial Compounds from Antarctic Streptomyces fildesensis (INACH3013)</t>
  </si>
  <si>
    <t>FERMENTATION-BASEL</t>
  </si>
  <si>
    <t>Streptomyces fildesensis; cytotoxic; antimicrobial; anticancer; apoptosis; mitochondrial membrane permeability; caspases</t>
  </si>
  <si>
    <t>STAPHYLOCOCCUS-AUREUS; ACTINOMYCIN; STABILITY; ACTINOBACTERIA; METABOLITE; INHIBITORS; MECHANISM</t>
  </si>
  <si>
    <t>The Antarctic Streptomyces fildesensis has been recognized for its production of antimicrobial compounds with interesting biological activities against foodborne bacteria and multi-resistant strains, but not for its potential antiproliferative activity and mechanisms involved. Two bioactive ethyl acetate extract (EAE) fractions were purified via thin-layer chromatography and High-Performance Liquid Chromatography (HPLC), showing that orange-colored compounds displayed antimicrobial activity against pathogenic bacteria even after shock thermal treatment. The UV-VIS features of the active compounds, the TLC assay with actinomycin-D pure standard, Fourier transform infrared (FTIR) spectra and the ANTISMASH analysis support the presence of actinomycin-like compounds. We demonstrated that S. fildesensis displays antiproliferative activity against human tumor cell lines, including human breast cancer (MCF-7), prostate cancer (PC-3), colon cancer (HT-29) and non-tumoral colon epithelial cells (CoN). The half-maximal effective concentrations (EC50) ranged from 3.98 mu g/mL to 0.1 mu g/mL. Our results reveal that actinomycin-like compounds of S. fildesensis induced apoptosis mediated by caspase activation, decreasing the mitochondrial membrane potential and altering the cell morphology in all tumoral and non-tumoral cell lines analyzed. These findings confirm the potential of the psychrotolerant Antarctic S. fildesensis species as a promising source for obtaining potential novel anticancer compounds.</t>
  </si>
  <si>
    <t>[Astudillo-Barraza, David] Univ Valparaiso, Escuela Med, Ctr Invest Biomed CIB, Ave Hontaneda 2664, Valparaiso 2340000, Chile; [Oses, Romulo] Univ Atacama, Ctr Reg Invest &amp; Desarrollo Sustentable Atacama CR, Ave Copayapu 485, Copiapo 1780000, Chile; [Henriquez-Castillo, Carlos] Univ Catolica Norte, Fac Ciencias Mar, Dept Acuicultura, Lab Fisiol &amp; Genet Marina FIGEMA, Larrondo 1281, Coquimbo 1781421, Chile; [Henriquez-Castillo, Carlos] Ctr Estudios Avanzados Zonas Aridas CEAZA, Larrondo 1281, Coquimbo 1781421, Chile; [Vui Ling Wong, Clemente Michael] Univ Malaysia Sabah, Biotechnol Res Inst, Jalan UMS, Kota Kinabalu 88400, Sabah, Malaysia; [Perez-Donoso, Jose M.] Univ Andres Bello, Fac Biol Sci, Ctr Bioinformat &amp; Integrat Biol CBIB, BioNanotechnol &amp; Microbiol Lab, Republ 330, Santiago 8370146, Chile; [Purcarea, Cristina] Romanian Acad, Inst Biol Bucharest, 296 Splaiul Independentei, Bucharest 060031, Romania; [Fukumasu, Heidge] Univ Sao Paulo, Fac Anim Sci &amp; Food Engn, Dept Vet Med, BR-13635105 Pirassununga, SP, Brazil; [Fierro-Vasquez, Natalia; Lavin, Paris] Univ Antofagasta, Fac Ciencias Mar &amp; Recursos Biol, Dept Biotecnol, Antofgasta 1240300, Chile; [Perez, Pablo A. A.] Univ Catolica Norte, Fac Ciencias, Dept Ciencias Farmaceut, Antofagasta 1240000, Chile; [Lavin, Paris] Inst Antofagasta, Lab Complej Microbiana &amp; Ecol Func, Antofgasta 1240000, Chile</t>
  </si>
  <si>
    <t>Universidad de Valparaiso; Universidad de Atacama; Universidad Catolica del Norte; Universiti Malaysia Sabah; Universidad Andres Bello; Institute of Biology Bucharest; Romanian Academy of Sciences; Universidade de Sao Paulo; Universidad de Antofagasta; Universidad Catolica del Norte</t>
  </si>
  <si>
    <t>Lavin, P (corresponding author), Univ Antofagasta, Fac Ciencias Mar &amp; Recursos Biol, Dept Biotecnol, Antofgasta 1240300, Chile.;Lavin, P (corresponding author), Inst Antofagasta, Lab Complej Microbiana &amp; Ecol Func, Antofgasta 1240000, Chile.</t>
  </si>
  <si>
    <t>paris.lavin@uantof.cl</t>
  </si>
  <si>
    <t>Wong, Clemente Michael Vui Ling/M-8372-2013; Fukumasu, Heidge/B-3866-2013; Purcarea, Cristina/HKO-6092-2023</t>
  </si>
  <si>
    <t>Wong, Clemente Michael Vui Ling/0000-0003-3431-8896; Fukumasu, Heidge/0000-0002-3265-5090; Lavin, Paris/0000-0002-8893-526X; Purcarea, Cristina/0000-0001-5784-8545</t>
  </si>
  <si>
    <t>Instituto Antartico Chileno (INACH) [MG_05-14, RT_20-19]; Fondecyt [11190754]; Ministry of Education of Chile [2095, 20992]; Universidad de Antofagasta, Chile [VRII-No1308]; Agencia Nacional de Investigacion y Desarrollo (ANID) [CLAP R20F0008]; Yayasan Penyelidikan Antartika Sultan Mizan (YPASM) [LPS2110]</t>
  </si>
  <si>
    <t>Instituto Antartico Chileno (INACH); Fondecyt(Comision Nacional de Investigacion Cientifica y Tecnologica (CONICYT)CONICYT FONDECYT); Ministry of Education of Chile; Universidad de Antofagasta, Chile; Agencia Nacional de Investigacion y Desarrollo (ANID); Yayasan Penyelidikan Antartika Sultan Mizan (YPASM)</t>
  </si>
  <si>
    <t>This research was funded by Instituto Antartico Chileno (INACH), grant numbers MG_05-14 and No RT_20-19. This work was also partially supported by Fondecyt Iniciacion grant No 11190754 (National Agency of Research and Development, ANID) and by grants ATA No 2095 and ATA No 20992 of the Ministry of Education of Chile, VRII-No1308 project Iniciacion de la Investigacion de Nuevos Investigadores de la Universidad de Antofagasta, Chile, Agencia Nacional de Investigacion y Desarrollo (ANID) -CLAP R20F0008 and Yayasan Penyelidikan Antartika Sultan Mizan (YPASM) (UMS code LPS2110).</t>
  </si>
  <si>
    <t>2311-5637</t>
  </si>
  <si>
    <t>FERMENTATION</t>
  </si>
  <si>
    <t>10.3390/fermentation9020129</t>
  </si>
  <si>
    <t>Biotechnology &amp; Applied Microbiology; Food Science &amp; Technology</t>
  </si>
  <si>
    <t>9H9JU</t>
  </si>
  <si>
    <t>WOS:000939140600001</t>
  </si>
  <si>
    <t>Prokhorova, U; Alekseev, G; Vyazilova, A</t>
  </si>
  <si>
    <t>Prokhorova, Uliana; Alekseev, Genrikh; Vyazilova, Anastasia</t>
  </si>
  <si>
    <t>Regional and Remote Influence on the Sea Ice in the Kara Sea</t>
  </si>
  <si>
    <t>climate change; sea ice; Kara Sea; tropic SST; remote influence</t>
  </si>
  <si>
    <t>VARIABILITY; ATLANTIC</t>
  </si>
  <si>
    <t>This article examines the relationship between interannual changes in the sea ice extent and thickness in the Kara Sea with climate change in the region and with sea surface temperature in the tropical North Atlantic. The data from observations at meteorological stations, ERA5 reanalysis, and data on the sea ice from the AARI website for 1979-2021 were used. The growth of ice in winter is most influenced by air temperature and downward long-wave radiation. In summer, interannual changes in sea ice extent are closely related to air temperature. The remote influence of the sea surface temperature anomalies in the tropics of the North Atlantic on the summer (July-September) sea ice in the Kara Sea is discovered 33-35 months later. A significant correlation between climate and sea ice anomalies can serve as the basis for predicting up to four years ahead.</t>
  </si>
  <si>
    <t>[Prokhorova, Uliana; Alekseev, Genrikh; Vyazilova, Anastasia] Arctic &amp; Antarctic Res Inst, St Petersburg 199397, Russia</t>
  </si>
  <si>
    <t>Alekseev, G (corresponding author), Arctic &amp; Antarctic Res Inst, St Petersburg 199397, Russia.</t>
  </si>
  <si>
    <t>alexgv@aari.ru</t>
  </si>
  <si>
    <t>Prokhorova, Uliana/0000-0002-7600-4089</t>
  </si>
  <si>
    <t>RSF [23-47-10003]</t>
  </si>
  <si>
    <t>RSF(Russian Science Foundation (RSF))</t>
  </si>
  <si>
    <t>The study was carried out in accordance with the objectives of the RSF project 23-47-10003.</t>
  </si>
  <si>
    <t>10.3390/jmse11020254</t>
  </si>
  <si>
    <t>9K9ZI</t>
  </si>
  <si>
    <t>WOS:000941217500001</t>
  </si>
  <si>
    <t>Pismeniuk, A; Semenov, P; Veremeeva, A; He, W; Kozachek, A; Malyshev, S; Shatrova, E; Lodochnikova, A; Streletskaya, I</t>
  </si>
  <si>
    <t>Pismeniuk, Anfisa; Semenov, Petr; Veremeeva, Alexandra; He, Wei; Kozachek, Anna; Malyshev, Sergei; Shatrova, Elizaveta; Lodochnikova, Anastasiia; Streletskaya, Irina</t>
  </si>
  <si>
    <t>Geochemical Features of Ground Ice from the Faddeevsky Peninsula Eastern Coast (Kotelny Island, East Siberian Arctic) as a Key to Understand Paleoenvironmental Conditions of Its Formation</t>
  </si>
  <si>
    <t>LAND</t>
  </si>
  <si>
    <t>ground ice; ice wedges; paleoclimate; stable isotope; dissolved organic matter; methane; Faddeevsky; East Siberian Arctic</t>
  </si>
  <si>
    <t>DISSOLVED ORGANIC-MATTER; DMITRY LAPTEV STRAIT; FLUORESCENCE SPECTROSCOPY; PERMAFROST CARBON; LATE PLEISTOCENE; SEA; WEDGES; ISOTOPE; CLIMATE; RECONSTRUCTION</t>
  </si>
  <si>
    <t>Understanding paleoenvironmental conditions of the permafrost formation allows us to estimate the permafrost carbon pool and its behavior upon thawing in a changing climate. In order to classify different types of ground ice and to reconstruct paleoenvironments, we examined geochemical data of ice wedges (IWs), tabular ground ice (TGI), and lens ice from the eastern coast of the Faddeevsky Peninsula (East Siberian Arctic). We analyzed isotope and ion composition, molecular composition of the gas phase, bulk biogeochemical parameters and dissolved organic matter (DOM) composition in ground ice samples. IWs formed in the Late Pleistocene under the coldest winter conditions and in the Holocene in proximity to the sea. The Holocene IWs have the highest mean d-excess (11-13 parts per thousand) and a heavier isotope composition by an average of 6 parts per thousand compared with the Late Pleistocene IWs. We observe predominance of sea-salt fractions in ion composition of the Holocene IWs, while the Late Pleistocene IW shows enrichment in non-sea-salt component of SO42- (nssSO(4)(2-)), which is probably associated with mineral leaching of deposits. Higher dissolved organic carbon (DOC) content in the Late Pleistocene IW (to 17.7 mg/L) may indicate more favorable vegetation conditions or lower degree of organic matter mineralization compared to Holocene IWs and TGI. CH4 concentrations were relatively low with a maximum value of 2.27 mu mol/L. DOM composition, supposed to record the paleoenvironment of the freezing process, was for the first time tried as a biomarker for paleoenvironmental reconstructions of ground ice formation. Parallel factor (PARAFAC) analysis of EEM (Excitation-Emission matrix) of fluorescent DOM decomposes four components: P1-P3, which are related to allochthonous humic-like constituents, and P4, which is relevant to autochthonous fraction associated with microbial activity. The distribution of fluorescent DOM tracked the variability in both paleoclimate conditions of the IW formation (discriminating the Holocene and the Late Pleistocene IWs) and types of ground ice (IW and TGI), which demonstrates the potential of the used approach.</t>
  </si>
  <si>
    <t>[Pismeniuk, Anfisa; Streletskaya, Irina] Lomonosov Moscow State Univ, Fac Geog, Dept Cryolitol &amp; Glaciol, Moscow 119991, Russia; [Pismeniuk, Anfisa; Semenov, Petr; Malyshev, Sergei; Shatrova, Elizaveta; Lodochnikova, Anastasiia] All Russia Inst Geol &amp; Mineral Resources World Oce, St Petersburg 190121, Russia; [Veremeeva, Alexandra] Russian Acad Sci, Inst Physicochem &amp; Biol Problems Soil Sci, Pushchino 142290, Russia; [He, Wei] China Univ Geosci Beijing, Sch Water Resources &amp; Environm, Beijing 100083, Peoples R China; [Kozachek, Anna] Arctic &amp; Antarctic Res Inst, Climate &amp; Environm Res Lab, St Petersburg 199397, Russia</t>
  </si>
  <si>
    <t>Lomonosov Moscow State University; Russian Academy of Sciences; Pushchino Scientific Center for Biological Research (PSCBI) of the Russian Academy of Sciences; Institute of Physicohemical &amp; Biological Problems of Soil Science; China University of Geosciences; Arctic &amp; Antarctic Research Institute</t>
  </si>
  <si>
    <t>Pismeniuk, A (corresponding author), Lomonosov Moscow State Univ, Fac Geog, Dept Cryolitol &amp; Glaciol, Moscow 119991, Russia.;Pismeniuk, A (corresponding author), All Russia Inst Geol &amp; Mineral Resources World Oce, St Petersburg 190121, Russia.</t>
  </si>
  <si>
    <t>apismeniuk@geogr.msu.ru</t>
  </si>
  <si>
    <t>Semenov, Petr/AAL-8711-2020; Veremeeva, Alexandra/J-6506-2016</t>
  </si>
  <si>
    <t>Semenov, Petr/0000-0002-2758-6975; Veremeeva, Alexandra/0000-0002-6716-9260</t>
  </si>
  <si>
    <t>Russian Science Foundation [22-27-00731]; Research Program GM 1.5 The cryosphere evolution under climate change and anthropogenic impact [121051100164-0]</t>
  </si>
  <si>
    <t>Russian Science Foundation(Russian Science Foundation (RSF)); Research Program GM 1.5 The cryosphere evolution under climate change and anthropogenic impact</t>
  </si>
  <si>
    <t>This research was supported by the Russian Science Foundation, grant number 22-27-00731. Ion analysis was funded by Research Program GM 1.5 The cryosphere evolution under climate change and anthropogenic impact No 121051100164-0.</t>
  </si>
  <si>
    <t>2073-445X</t>
  </si>
  <si>
    <t>LAND-BASEL</t>
  </si>
  <si>
    <t>Land</t>
  </si>
  <si>
    <t>10.3390/land12020324</t>
  </si>
  <si>
    <t>Environmental Studies</t>
  </si>
  <si>
    <t>9L0NQ</t>
  </si>
  <si>
    <t>WOS:000941255100001</t>
  </si>
  <si>
    <t>Bracegirdle, J; Olsen, SSH; Teng, M; Tran, KC; Amsler, CD; McClintock, JB; Baker, BJ</t>
  </si>
  <si>
    <t>Bracegirdle, Joe; Olsen, Stine S. H.; Teng, Michael N.; Tran, Kim C.; Amsler, Charles D.; McClintock, James B.; Baker, Bill J.</t>
  </si>
  <si>
    <t>Neosuberitenone, a New Sesterterpenoid Carbon Skeleton; New Suberitenones; and Bioactivity against Respiratory Syncytial Virus, from the Antarctic Sponge Suberites sp.</t>
  </si>
  <si>
    <t>antiviral; RSV; porifera; sesquiterpene; suberitane; ansellane</t>
  </si>
  <si>
    <t>Respiratory syncytial virus (RSV) is a highly contagious human pathogen that poses a significant threat to children under the age of two, and there is a current need for new small molecule treatments. The Antarctic sponge Suberites sp. is a known source of sesterterpenes, and following an NMR-guided fractionation procedure, it was found to produce several previously unreported metabolites. Neosuberitenone (1), with a new carbon scaffold herein termed the 'neosuberitane' backbone, six suberitenone derivatives (2-7), an ansellane-type terpenoid (8), and a highly degraded sesterterpene (9), as well as previously reported suberitenones A (10) and B (11), were characterized. The structures of all of the isolated metabolites including absolute configurations are proposed on the basis of NMR, HRESIMS, optical rotation, and XRD data. The biological activities of the metabolites were evaluated in a range of infectious disease assays. Suberitenones A, B, and F (3) were found to be active against RSV, though, along with other Suberites sp. metabolites, they were inactive in bacterial and fungal screens. None of the metabolites were cytotoxic for J774 macrophages or A549 adenocarcinoma cells. The selectivity of suberitenones A, B, and F for RSV among other infectious agents is noteworthy.</t>
  </si>
  <si>
    <t>[Bracegirdle, Joe; Olsen, Stine S. H.; Baker, Bill J.] Univ S Florida, Dept Chem, 4202 E Fowler Ave,CHE205, Tampa, FL 33620 USA; [Teng, Michael N.; Tran, Kim C.] Univ S Florida, Dept Internal Med, Tampa, FL 33612 USA; [Amsler, Charles D.; McClintock, James B.] Univ Alabama Birmingham, Dept Biol, 1300 Univ Blvd, Birmingham, AL 35233 USA</t>
  </si>
  <si>
    <t>State University System of Florida; University of South Florida; State University System of Florida; University of South Florida; University of Alabama System; University of Alabama Birmingham</t>
  </si>
  <si>
    <t>Baker, BJ (corresponding author), Univ S Florida, Dept Chem, 4202 E Fowler Ave,CHE205, Tampa, FL 33620 USA.</t>
  </si>
  <si>
    <t>bjbaker@usf.edu</t>
  </si>
  <si>
    <t>Bracegirdle, Joe/0000-0001-7725-3477</t>
  </si>
  <si>
    <t>National Science Foundation [PLR-1341333, PLR-1341339, DMR-1644779]; State of Florida; NIH [AI154922, AT010939]</t>
  </si>
  <si>
    <t>National Science Foundation(National Science Foundation (NSF)); State of Florida; NIH(United States Department of Health &amp; Human ServicesNational Institutes of Health (NIH) - USA)</t>
  </si>
  <si>
    <t>The research in Antarctica was funded by the National Science Foundation awards PLR-1341333 (CDA and JBM) and PLR-1341339 (BJB); a portion of this work was performed in the McKnight Brain Institute at the National High Magnetic Field Laboratory's Advanced Magnetic Resonance Imaging and Spectroscopy (AMRIS) Facility, supported by the National Science Foundation Cooperative Agreement DMR-1644779 and the State of Florida. ESKAPE pathogen screening was supported by NIH grant AI154922 and Candida screening by NIH grant AT010939.</t>
  </si>
  <si>
    <t>10.3390/md21020107</t>
  </si>
  <si>
    <t>9L4XY</t>
  </si>
  <si>
    <t>WOS:000941554300001</t>
  </si>
  <si>
    <t>Li, ZC; Pei, XZ; Pei, L; Liu, CJ; Xu, LL; Li, RB; Lin, H; Wang, M; Ji, S; Qin, L; Yang, YJ; Wang, M; Zhao, SW; Chen, YX</t>
  </si>
  <si>
    <t>Li, Zuochen; Pei, Xianzhi; Pei, Lei; Liu, Chengjun; Xu, Lili; Li, Ruibao; Lin, Hao; Wang, Mao; Ji, Shang; Qin, Li; Yang, Yajie; Wang, Meng; Zhao, Shaowei; Chen, Youxin</t>
  </si>
  <si>
    <t>Petrogenesis and Geochronology of A1-Type Rhyolites in the Late Late Triassic of the East Kunlun Orogenic Belt: Constraints on the End of the Paleo-Tethys Orogenic Event</t>
  </si>
  <si>
    <t>MINERALS</t>
  </si>
  <si>
    <t>geochronology; geochemistry; east Kunlun orogenic belt; petrogenesis; rhyolites; Paleo-Tethys ocean</t>
  </si>
  <si>
    <t>A-TYPE GRANITES; NORTHERN TIBETAN PLATEAU; CALC-ALKALINE; GEOCHEMICAL CHARACTERISTICS; TECTONIC IMPLICATIONS; ANTARCTIC PENINSULA; CONTINENTAL-CRUST; SOUTHERN MARGIN; VOLCANIC-ROCKS; MAFIC DIKES</t>
  </si>
  <si>
    <t>The rhyolites which are widely exposed to the northern margin of the East Kunlun orogenic belt were chosen as a research object to discern the post-orogenic tectonic evolution of the East Kunlun orogenic belt and reconstruct the post-collision orogenic processes of the Buqingshan- A'nyemaqen Ocean. We researched zircon U-Pb ages and geochemistry characteristics of the Late Triassic rhyolites in the eastern segment of the East Kunlun Orogenic Belt in the northern Tibetan Plateau. Zircon U-Pb dating yields coeval ages of 200.4 +/- 1.4 Ma and 202.8 +/- 1.2 Ma for the Keri rhyolites of the East Kunlun Orogenic Belt, indicating that the volcanic rocks were formed in the Late Triassic Rhaetian-Early Jurassic Hettangian. The Keri rhyolite is a product of the late magmatism of the Elashan Formation volcanic rocks. The rhyolites include rhyolitic brecciated tuff lavas and rhyolitic tuff lavas. The rhyolites are peraluminous and are high-K calc-alkaline, with high contents of SiO2, K2O, TFe2O3, and low P2O5 contents. The A/CNK ratios range from 0.97 to 1.09, indicating that the rhyolites are metaluminous to weakly peraluminous. The chondrite-normalized rare earth element (REE) distribution shows a significant negative Eu anomaly and low total REE concentrations. All samples are depleted in high field strength elements (HFSEs, e.g., Eu, Sr, Ti, and P), heavy rare earth elements (HREEs), and enriched in large ion lithophile elements (LILEs, e.g., Rb, Zr, Nd, Th, and U) and light rare earth elements (LREEs). The Keri rhyolite has the characteristics of A(1)-type magmatic rock, formed in an anorogenic environment after the closure of the Paleo-Tethys Ocean, and was the product of late magmatism in the Elashan Formation volcanic rocks.</t>
  </si>
  <si>
    <t>[Li, Zuochen; Pei, Xianzhi; Pei, Lei; Liu, Chengjun; Xu, Lili; Li, Ruibao; Lin, Hao; Wang, Mao; Ji, Shang; Qin, Li; Yang, Yajie; Wang, Meng; Zhao, Shaowei; Chen, Youxin] Changan Univ, Sch Earth Sci &amp; Resources, Key Lab Western Chinas Mineral Resources &amp; Geol En, Minist Educ, Xian 710054, Peoples R China; [Li, Zuochen; Pei, Xianzhi; Pei, Lei; Liu, Chengjun; Xu, Lili; Li, Ruibao; Wang, Meng; Zhao, Shaowei; Chen, Youxin] Xian Key Lab Mineralizat &amp; Efficient Utilizat Crit, Xian 710054, Peoples R China</t>
  </si>
  <si>
    <t>Chang'an University</t>
  </si>
  <si>
    <t>Li, ZC; Pei, XZ (corresponding author), Changan Univ, Sch Earth Sci &amp; Resources, Key Lab Western Chinas Mineral Resources &amp; Geol En, Minist Educ, Xian 710054, Peoples R China.;Li, ZC; Pei, XZ (corresponding author), Xian Key Lab Mineralizat &amp; Efficient Utilizat Crit, Xian 710054, Peoples R China.</t>
  </si>
  <si>
    <t>lizuochen@chd.edu.cn; peixzh@sina.com</t>
  </si>
  <si>
    <t>Li, Zuochen/F-5476-2012; ji, shang/IQT-3344-2023; Xu, Lili/GYJ-8139-2022</t>
  </si>
  <si>
    <t>Li, Zuochen/0000-0003-3808-955X</t>
  </si>
  <si>
    <t>2075-163X</t>
  </si>
  <si>
    <t>MINERALS-BASEL</t>
  </si>
  <si>
    <t>Minerals</t>
  </si>
  <si>
    <t>10.3390/min13020290</t>
  </si>
  <si>
    <t>Geochemistry &amp; Geophysics; Mineralogy; Mining &amp; Mineral Processing</t>
  </si>
  <si>
    <t>9K6YV</t>
  </si>
  <si>
    <t>WOS:000941011900001</t>
  </si>
  <si>
    <t>Lombardi, C; Kuklinski, P; Spirandelli, E; Bruzzone, G; Raiteri, G; Bordone, A; Mazzoli, C; Correa, ML; van Geldern, R; Plasseraud, L; Thomas, J; Marin, F</t>
  </si>
  <si>
    <t>Lombardi, Chiara; Kuklinski, Piotr; Spirandelli, Edoardo; Bruzzone, Giorgio; Raiteri, Giancarlo; Bordone, Andrea; Mazzoli, Claudio; Correa, Matthias Lopez; van Geldern, Robert; Plasseraud, Laurent; Thomas, Jerome; Marin, Frederic</t>
  </si>
  <si>
    <t>Antarctic Bioconstructional Bryozoans from Terra Nova Bay (Ross Sea): Morphology, Skeletal Structures and Biomineralization</t>
  </si>
  <si>
    <t>Bryozoa; Antarctica; calcifying ecosystem; growth check lines; zooid morphometrics; skeletal organic matrix (SOM); seawater stable isotopes; climate change</t>
  </si>
  <si>
    <t>SOUTHERN-OCEAN; ISOTOPE-RATIO; ICE LOSSES; GROWTH; CARBON; MATRICES; CHITIN; SHELF; WATER; VARIABILITY</t>
  </si>
  <si>
    <t>Among Antarctic bryozoans, some species are able to develop calcitic bioconstructions promoting habitat complexity, but the processes leading to biomineral formation are mostly unknown. The present work investigated three Antarctic bryozoans, from morphological to skeletal features, including the organic matrix associated with the skeleton (SOM). Cellarinella nutti Rogick, 1956 and Reteporella frigida Waters, 1904 were collected in November 2018 from a shallow site (25 m) and Cellarinella njegovanae Rogick, 1956 from a deep site (110 m) at Terra Nova Bay (Ross Sea, Antarctica). Both Cellarinella species showed 5-6 growth check lines (gcl) on their laminae. The morphometrical characterization conducted on the growth bands (gb) and zooids, within the band across bands, revealed a variability in length with time (C. nutti: from 4099 mu m for gb1 to 1449 mu m for gb6; C. njegovanae: from 1974 mu m for gb 3 to 7127 mu m for gb2). Zooid length varied within gb, from the proximal to the distal part of the bands, but differences also occurred across bands. The shortest zooids (similar to 625 mu m) were found at the proximal part and the longest (similar to 1190 mu m) in the middle part of the gb in C. nutti, whereas in C. njegovanae the shortest zooids (similar to 660 mu m) were found in the distal part and the longest (similar to 1190 mu m) in the proximal part of the gb. Micro-CT analyses indicated the ratio of basal zooidal walls (RbwT gcl/gb) ranged from 3.0 to 4.9 in C. nutti and from 2.3 to 5.9 in C. njegovanae, whereas Reteporella frigida did not form any gcl on either side of the colony. Preliminary characterizations of the SOM for the three species evidenced a mixture of proteins and polysaccharides with properties similar to those of better-known biominerals, in terms of quantity and electrophoretic behavior. In addition, a lectin fingerprint has been established for the first time in bryozoans, displaying the presence of chitin or chitin-related saccharides. Understanding the complexity of the processes regulating skeleton formation is a key aspect in comprehending the adaptation of bioconstructional ecosystems and the survival of the associated biodiversity under the future ocean.</t>
  </si>
  <si>
    <t>[Lombardi, Chiara; Raiteri, Giancarlo; Bordone, Andrea] Italian Natl Agcy New Technol, Energy &amp; Sustainable Econ Dev ENEA, Marine Environm Res Ctr S Teresa, I-19032 Lerici, Italy; [Kuklinski, Piotr] Polish Acad Sci, Inst Oceanol, Dept Marine Ecol, PL-81712 Sopot, Poland; [Spirandelli, Edoardo; Bruzzone, Giorgio] Italian Natl Res Council CNR, Inst Marine Engn, I-16149 Genoa, Italy; [Mazzoli, Claudio] Univ Padua, Dept Geosci, I-35131 Padua, Italy; [Correa, Matthias Lopez] CNR ISMAR, Via Gobetti 101, I-40129 Bologna, Italy; [Correa, Matthias Lopez; van Geldern, Robert] Friedrich Alexander Univ Erlangen Nurnberg, GeoZentrum Nordbayern, D-91054 Erlangen, Germany; [Plasseraud, Laurent] Univ Burgundy Franche Comte, Inst Mol Chem, ICMUB UMR CNRS 6302, F-21078 Dijon, Franche Comte, France; [Thomas, Jerome; Marin, Frederic] Univ Bourgogne Franche Comte UBFC, UMR CNRS Biogeosci 6282, Batiment Sci Gabriel, F-21000 Dijon, France</t>
  </si>
  <si>
    <t>Italian National Agency New Technical Energy &amp; Sustainable Economics Development; Polish Academy of Sciences; Institute of Oceanology of the Polish Academy of Sciences; Consiglio Nazionale delle Ricerche (CNR); Istituto di Ingegneria del Mare (INM-CNR); Istituto di Neuroscienze (IN-CNR); University of Padua; Consiglio Nazionale delle Ricerche (CNR); Istituto di Scienze Marine (ISMAR-CNR); University of Erlangen Nuremberg; Universite de Bourgogne; Centre National de la Recherche Scientifique (CNRS); Universite de Bourgogne</t>
  </si>
  <si>
    <t>Lombardi, C (corresponding author), Italian Natl Agcy New Technol, Energy &amp; Sustainable Econ Dev ENEA, Marine Environm Res Ctr S Teresa, I-19032 Lerici, Italy.</t>
  </si>
  <si>
    <t>chiara.lombardi@enea.it</t>
  </si>
  <si>
    <t>Mazzoli, Claudio/H-9651-2015; van Geldern, Robert/D-3731-2012; Lopez Correa, Matthias/A-2477-2011</t>
  </si>
  <si>
    <t>Mazzoli, Claudio/0000-0002-0374-8415; van Geldern, Robert/0000-0003-2786-2893; PLASSERAUD, Laurent/0000-0002-7870-1881; MARIN, Frederic/0000-0001-8319-1735; Thomas, Jerome/0000-0002-1602-4416; Lopez Correa, Matthias/0000-0002-6996-1876</t>
  </si>
  <si>
    <t>10.3390/min13020246</t>
  </si>
  <si>
    <t>9J1LJ</t>
  </si>
  <si>
    <t>WOS:000939957200001</t>
  </si>
  <si>
    <t>Lindqvist, H; Dominguez, T; Dragoy, R; Ding, YP; Burri, L</t>
  </si>
  <si>
    <t>Lindqvist, Hanna; Dominguez, Tonje; Dragoy, Ragnhild; Ding, Yunpeng; Burri, Lena</t>
  </si>
  <si>
    <t>Comparison of Fish, Krill and Flaxseed as Omega-3 Sources to Increase the Omega-3 Index in Dogs</t>
  </si>
  <si>
    <t>VETERINARY SCIENCES</t>
  </si>
  <si>
    <t>docosahexaenoic acid; dog; eicosapentaenoic acid; krill meal; omega-3 index; premium dog food</t>
  </si>
  <si>
    <t>POLYUNSATURATED FATTY-ACIDS; ALPHA-LINOLENIC ACID; DOCOSAHEXAENOIC ACID; RISK-FACTOR; LONG-CHAIN; SUPPLEMENTATION; OMEGA-3-FATTY-ACIDS; BRAIN; PHOSPHOLIPIDS; TRIGLYCERIDE</t>
  </si>
  <si>
    <t>Simple Summary For pets, as for humans, dietary inclusion of long-chain omega-3 fatty acids is recommended for disease prevention and improved health. However, many diets for dogs do not contain sufficient amounts of these fatty acids and fall short of achieving high blood omega-3 levels. This is reflected in the diagnostic health tool called Omega-3 Index (O3I). In this study, O3I levels were measured at baseline in 45 dogs fed a commercial premium diet and compared to O3I levels reached when the dogs were fed with diets containing different omega-3 sources at low inclusion levels, i.e., fish meal/oil, flaxseed cake and krill meal. After four weeks of treatment, the data showed that the highest O3I increase was observed in the 3% krill meal group, accompanied by the lowest arachidonic acid to eicosapentaenoic acid ratio as a measure for immunomodulatory effects. Hence, by using the O3I, this study provides an option for dog owners to measure the impact their pet food has on their dogs' health and if needed, how to adjust it with the right omega-3 supplement. (1) Background: it is only the longer chain omega-3 polyunsaturated fatty acids (n-3 PUFAs), eicosapentaenoic acid (20:5n-3, EPA), and docosahexaenoic acid (22:6n-3, DHA) and not the shorter chain alpha-linolenic acid (ALA, 18:3n-3) that have been linked to health benefits. (2) Methods: 45 dogs divided into three groups were first given premium dry food for 38 days (baseline). The O3I was then used as a diagnostic tool to provide a measure of the sum of EPA + DHA in red blood cell membranes given as a percentage of all fatty acids. The dogs were subsequently fed with either krill meal (krill), fishmeal/oil (fish) or flaxseed cake (flax) included in raw food providing daily 416 mg EPA + DHA (971 mg ALA), 513 mg EPA + DHA (1027 mg ALA) and 1465 mg ALA (122 mg EPA + DHA), respectively. (3) Results: the average baseline O3I level of all dogs was low (1.36%), warranting n-3 supplementation. After four weeks, O3I levels were significantly increased in the krill (from 1.36 +/- 0.44 to 2.36 +/- 0.39%) and fish (from 1.35 +/- 0.22 to 1.9 +/- 0.35%) groups (p &lt; 0.001). No significant modification of the O3I was detected in the flax animals. (4) Conclusions: only marine n-3 PUFAs resulted in a significantly increased O3I, with dietary krill meal providing the highest increase.</t>
  </si>
  <si>
    <t>[Lindqvist, Hanna] Swedish Univ Agr Sci, Fac Vet Med &amp; Anim Sci, Dept Anim Environm &amp; Hlth, S-53223 Skara, Sweden; [Dominguez, Tonje; Dragoy, Ragnhild; Ding, Yunpeng; Burri, Lena] Aker BioMarine Antarctic AS, N-1366 Lysaker, Norway</t>
  </si>
  <si>
    <t>Swedish University of Agricultural Sciences</t>
  </si>
  <si>
    <t>Burri, L (corresponding author), Aker BioMarine Antarctic AS, N-1366 Lysaker, Norway.</t>
  </si>
  <si>
    <t>lena.burri@akerbiomarine.com</t>
  </si>
  <si>
    <t>Lindqvist, Hanna/C-1796-2016</t>
  </si>
  <si>
    <t>Lindqvist, Hanna/0000-0003-0161-3717; Dragoy, Ragnhild/0000-0001-8655-1222; , Lena/0000-0002-0099-504X; Dominguez, Tonje Elisabeth/0000-0001-7802-0309</t>
  </si>
  <si>
    <t>2306-7381</t>
  </si>
  <si>
    <t>VET SCI</t>
  </si>
  <si>
    <t>Vet. Sci.</t>
  </si>
  <si>
    <t>10.3390/vetsci10020162</t>
  </si>
  <si>
    <t>Veterinary Sciences</t>
  </si>
  <si>
    <t>9M1GZ</t>
  </si>
  <si>
    <t>WOS:000941987700001</t>
  </si>
  <si>
    <t>Nikolaeva, V; Gordeev, E</t>
  </si>
  <si>
    <t>Nikolaeva, Vera; Gordeev, Evgeny</t>
  </si>
  <si>
    <t>SPAM: Solar Spectrum Prediction for Applications and Modeling</t>
  </si>
  <si>
    <t>solar spectrum; modeling; FUV; EUV; X-ray; aeronomy</t>
  </si>
  <si>
    <t>AURORAL IONOSPHERE MODEL; X-RAY VARIATIONS; EXTREME-ULTRAVIOLET; IRRADIANCE VARIABILITY; FLIGHT CALIBRATION; EUV; CYCLE; ATMOSPHERE; RADIATION; DENSITY</t>
  </si>
  <si>
    <t>Solar Spectrum Prediction for Applications and Modeling (SPAM) is a new empirical model of solar X-ray, extreme ultraviolet and far ultraviolet radiation flux at the top of the Earth's atmosphere. The model is based on 14 years of daily averaged TIMED spacecraft measurements from 2002 to 2016, when its sensors were regularly calibrated. We used a second-order parametrization of the irradiance spectrum by a single parameter-the F-10.7 index-which is a reliable and consistently observed measure of solar activity. The SPAM model consists of two submodels for general and specific use. The first is the Solar-SPAM model of the photon energy flux in the first 190 spectral bands of 1 nm each, which can be used for a wide range of applications in different fields of research. The second model, Aero-SPAM, is designed specifically for aeronomic research and provides a photon flux for 37 specific wavelength intervals (20 wave bands and 16 separate spectral lines within the range of 5-105 nm, and an additional 121.5 nm Ly-alpha line), which play a major role in the photoionization of atmospheric gas particles. We provide the full set of parameterization coefficients that allows for the immediate implementation of the model for research and applications. In addition, we used the AeroSPAM model to build a ready-to-use numerical application for calculating the photoionization rates of the main atmospheric components N-2, O-2, O, N and NO with known absorption and ionization cross sections.</t>
  </si>
  <si>
    <t>[Nikolaeva, Vera] Arctic &amp; Antarctic Res Inst, St Petersburg 199397, Russia; [Nikolaeva, Vera] Russian Acad Sci, Pushkov Inst Terr Magnetism Ionosphere &amp; Radio Wav, Moscow 142191, Russia; [Gordeev, Evgeny] St Petersburg State Univ, Earths Phys Dept, St Petersburg 199034, Russia</t>
  </si>
  <si>
    <t>Arctic &amp; Antarctic Research Institute; Russian Academy of Sciences; Saint Petersburg State University</t>
  </si>
  <si>
    <t>Nikolaeva, V (corresponding author), Arctic &amp; Antarctic Res Inst, St Petersburg 199397, Russia.;Nikolaeva, V (corresponding author), Russian Acad Sci, Pushkov Inst Terr Magnetism Ionosphere &amp; Radio Wav, Moscow 142191, Russia.;Gordeev, E (corresponding author), St Petersburg State Univ, Earths Phys Dept, St Petersburg 199034, Russia.</t>
  </si>
  <si>
    <t>nikolaeva.vera@gmail.com; evgeny.i.gordeev@spbu.ru</t>
  </si>
  <si>
    <t>; Gordeev, Evgeny/H-8222-2013</t>
  </si>
  <si>
    <t>Nikolaeva, Vera/0000-0003-4987-6452; Gordeev, Evgeny/0000-0002-2687-7287</t>
  </si>
  <si>
    <t>Russian Science Foundation [19-77-10016]; Ministry of Science and Higher Education of the Russian Federation [20-72-10023]; [075-15-2021-583]</t>
  </si>
  <si>
    <t>Russian Science Foundation(Russian Science Foundation (RSF)); Ministry of Science and Higher Education of the Russian Federation;</t>
  </si>
  <si>
    <t>SPAM development and results analysis were supported by the Russian Science Foundation grant 20-72-10023. Software development was carried out within the framework of Russian Science Foundation grant 19-77-10016. SPAM application for the upper atmosphere was supported by the Ministry of Science and Higher Education of the Russian Federation under agreement 075-15-2021-583.</t>
  </si>
  <si>
    <t>10.3390/atmos14020226</t>
  </si>
  <si>
    <t>9H4EK</t>
  </si>
  <si>
    <t>WOS:000938785800001</t>
  </si>
  <si>
    <t>Espel, D; Coux, C; Pertierra, LR; Eymar-Dauphin, P; Lembrechts, JJ; Renault, D</t>
  </si>
  <si>
    <t>Espel, Diane; Coux, Camille; Pertierra, Luis R.; Eymar-Dauphin, Pauline; Lembrechts, Jonas J.; Renault, David</t>
  </si>
  <si>
    <t>Functional Niche Partitioning Occurs over Body Size but Not Nutrient Reserves nor Melanism in a Polar Carabid Beetle along an Altitudinal Gradient</t>
  </si>
  <si>
    <t>INSECTS</t>
  </si>
  <si>
    <t>Amblystogenium pacificum; Carabidae; functional diversity; French sub-Antarctic islands; thermal tolerance; melanism; dimorphism</t>
  </si>
  <si>
    <t>COMMUNITY RESPONSES; ADALIA-BIPUNCTATA; THERMAL MELANISM; 2-SPOT LADYBIRD; DIVERSITY; COLEOPTERA; TEMPERATURE; COMPETITION; CLIMATE; LIFE</t>
  </si>
  <si>
    <t>Simple Summary When exposed to gradual stresses such as climate warming, species with high plasticity may develop different growth types (morphotypes) adapted to specific ranges of the temperature spectrum, thereby securing their survival in various scenarios. Amblystogenium pacificum is a carabid beetle endemic to the sub-Antarctic Crozet Islands that has two distinctive morphotypes based on body coloration. Here, we measured functional traits related to morphology and biochemical reserves to test whether they were related to morphotype, sex, and altitude (as a proxy for a temperature gradient). We also tested whether distinct functional niches (trait profiles) could be identified based on morphotype, sex, and altitude. We found a positive correlation between altitude and body size as well as higher protein and sugar reserves in females than in males. The body size profile showed the clearest functional response of A. pacificum along the altitudinal gradient, even though darker morphotypes tended to be smaller and more constrained at higher altitudes and females showed limited trait variations at the highest altitude. Hence, our results show mitigated responses of A. pacificum in the temperature-size relationships such that further trait measurements are necessary before using this as a model case to investigate population range shifts in relation to global changes. Phenotypic plasticity can favor the emergence of different morphotypes specialized in specific ranges of environmental conditions. The existence of intraspecific partitioning confers resilience at the species scale and can ultimately determine species survival in a context of global changes. Amblystogenium pacificum is a carabid beetle endemic to the sub-Antarctic Crozet Islands, and it has two distinctive morphotypes based on body coloration. For this study, A. pacificum specimens of functional niches were sampled along an altitudinal gradient (as a proxy for temperature), and some morphological and biochemical traits were measured. We used an FAMD multivariate analysis and linear mixed-effects models to test whether these traits were related to morphotype, altitude, and sexual dimorphism. We then calculated and compared the functional niches at different altitudes and tested for niche partitioning through a hypervolume approach. We found a positive hump-shaped correlation between altitude and body size as well as higher protein and sugar reserves in females than in males. Our functional hypervolume results suggest that the main driver of niche partitioning along the altitudinal gradient is body size rather than morphotype or sex, even though darker morphotypes tended to be more functionally constrained at higher altitudes and females showed limited trait variations at the highest altitude.</t>
  </si>
  <si>
    <t>[Espel, Diane; Renault, David] Univ Rennes, CNRS, ECOBIO Ecosyst Biodivers Evolut, UMR 6553, F-35000 Rennes, France; [Coux, Camille] Univ Lille, Inst Pasteur Lille, Ctr Infect &amp; Immun Lille, CNRS,Inserm,CHU Lille,U1019,UMR 9017,CIIL, F-59000 Lille, France; [Coux, Camille] Univ Montpellier, CEFE, CNRS, EPHE,IRD, F-34000 Montpellier, France; [Pertierra, Luis R.] Univ Pretoria, Dept Plant &amp; Soil Sci, ZA-0002 Pretoria, South Africa; [Eymar-Dauphin, Pauline] Univ Lyon 1, CNRS, LEHNA Lab Ecol Hydrosyst Nat &amp; Anthropises, UMR 5023, F-69100 Villeurbanne, France; [Lembrechts, Jonas J.] Univ Antwerp, Res Grp Plants &amp; Ecosyst PLECO, B-2610 Antwerp, Belgium</t>
  </si>
  <si>
    <t>Universite de Rennes; Centre National de la Recherche Scientifique (CNRS); CNRS - Institute of Ecology &amp; Environment (INEE); Institut National de la Sante et de la Recherche Medicale (Inserm); Centre National de la Recherche Scientifique (CNRS); Pasteur Network; Universite de Lille; Institut Pasteur Lille; CHU Lille; Universite PSL; Ecole Pratique des Hautes Etudes (EPHE); Institut Agro; Montpellier SupAgro; CIRAD; Centre National de la Recherche Scientifique (CNRS); Institut de Recherche pour le Developpement (IRD); Universite Paul-Valery; Universite de Montpellier; University of Pretoria; Centre National de la Recherche Scientifique (CNRS); CNRS - Institute of Ecology &amp; Environment (INEE); Universite Claude Bernard Lyon 1; University of Antwerp</t>
  </si>
  <si>
    <t>Renault, D (corresponding author), Univ Rennes, CNRS, ECOBIO Ecosyst Biodivers Evolut, UMR 6553, F-35000 Rennes, France.</t>
  </si>
  <si>
    <t>david.renault@univ-rennes1.fr</t>
  </si>
  <si>
    <t>Pertierra, Luis R./K-3727-2017; Lembrechts, Jonas/E-7651-2014</t>
  </si>
  <si>
    <t>Pertierra, Luis R./0000-0002-2232-428X; RENAULT, David/0000-0003-3644-1759; Lembrechts, Jonas/0000-0002-1933-0750</t>
  </si>
  <si>
    <t>ASICS project [ANR-20-EBI5-0004]; French Polar Institute Paul-Emile Victor [136-SUBANTECO]; ASICS BiodivERsa South Africa; Agence Nationale de la Recherche (ANR) [ANR-20-EBI5-0004] Funding Source: Agence Nationale de la Recherche (ANR)</t>
  </si>
  <si>
    <t>ASICS project; French Polar Institute Paul-Emile Victor; ASICS BiodivERsa South Africa; Agence Nationale de la Recherche (ANR)(Agence Nationale de la Recherche (ANR))</t>
  </si>
  <si>
    <t>This research was funded by the ASICS project (ANR-20-EBI5-0004, BiodivERsA, BiodivClim call 2019-2020) and the French Polar Institute Paul-Emile Victor (project 136-SUBANTECO). LPR co-author was funded through the ASICS BiodivERsa South Africa that was provided by the Department of Science and Innovation of the government of South Africa.</t>
  </si>
  <si>
    <t>2075-4450</t>
  </si>
  <si>
    <t>Insects</t>
  </si>
  <si>
    <t>10.3390/insects14020123</t>
  </si>
  <si>
    <t>9H7UE</t>
  </si>
  <si>
    <t>WOS:000939032400001</t>
  </si>
  <si>
    <t>Shi, T; Li, YJ; Wang, ZM; Wang, YF; Wang, B; Shi, DY</t>
  </si>
  <si>
    <t>Shi, Ting; Li, Yan-Jing; Wang, Ze-Min; Wang, Yi-Fei; Wang, Bo; Shi, Da-Yong</t>
  </si>
  <si>
    <t>New Pyrroline Isolated from Antarctic Krill-Derived Actinomycetes Nocardiopsis sp. LX-1 Combining with Molecular Networking</t>
  </si>
  <si>
    <t>molecular networking; Antarctic krill; Nocardiopsis sp; LX-1; pyrroline; nocarpyrroline A; antimicrobial activity</t>
  </si>
  <si>
    <t>NATURAL-PRODUCTS; BACTERIA</t>
  </si>
  <si>
    <t>Antarctic krill (Euphausia superba) of the Euphausiidae family comprise one of the largest biomasses in the world and play a key role in the Antarctic marine ecosystem. However, the study of E. superba-derived microbes and their secondary metabolites has been limited. Chemical investigation of the secondary metabolites of the actinomycetes Nocardiopsis sp. LX-1 (in the family of Nocardiopsaceae), isolated from E. superba, combined with molecular networking, led to the identification of 16 compounds a-p (purple nodes in the molecular network) and the isolation of one new pyrroline, nocarpyrroline A (1), along with 11 known compounds 2-12. The structure of the new compound 1 was elucidated by extensive spectroscopic investigation. Compound 2 exhibited broad-spectrum antibacterial activities against A. hydrophila, D. chrysanthemi, C. terrigena, X. citri pv. malvacearum and antifungal activity against C. albicans in a conventional broth dilution assay. The positive control was ciprofloxacin with the MIC values of &lt;0.024 mu M, 0.39 mu M, 0.39 mu M, 0.39 mu M, and 0.20 mu M, respectively. Compound 1 and compounds 7, 10, and 11 displayed antifungal activities against F. fujikuroi and D. citri, respectively, in modified agar diffusion test. Prochloraz was used as positive control and showed the inhibition zone radius of 17 mm and 15 mm against F. fujikuroi and D. citri, respectively. All the annotated compounds a-p by molecular networking were first discovered from the genus Nocardiopsis. Nocarpyrroline A (1) features an unprecedented 4,5-dihydro-pyrrole-2-carbonitrile substructure, and it is the first pyrroline isolated from the genus Nocardiopsis. This study further demonstrated the guiding significance of molecular networking in the research of microbial secondary metabolites.</t>
  </si>
  <si>
    <t>[Shi, Ting; Li, Yan-Jing; Wang, Yi-Fei; Wang, Bo] Shandong Univ Sci &amp; Technol, Coll Chem &amp; Biol Engn, Qingdao 266590, Peoples R China; [Shi, Ting; Wang, Ze-Min; Shi, Da-Yong] Shandong Univ, Inst Microbial Technol, State Key Lab Microbial Technol, Qingdao 266237, Peoples R China</t>
  </si>
  <si>
    <t>Shandong University of Science &amp; Technology; Shandong University</t>
  </si>
  <si>
    <t>Wang, B (corresponding author), Shandong Univ Sci &amp; Technol, Coll Chem &amp; Biol Engn, Qingdao 266590, Peoples R China.;Shi, DY (corresponding author), Shandong Univ, Inst Microbial Technol, State Key Lab Microbial Technol, Qingdao 266237, Peoples R China.</t>
  </si>
  <si>
    <t>wb@sdust.edu.cn; shidayong@sdu.edu.cn</t>
  </si>
  <si>
    <t>Shi, Ting/AIC-4674-2022</t>
  </si>
  <si>
    <t>Shi, Ting/0000-0003-1394-3000; Shi, Dayong/0000-0001-8941-5285</t>
  </si>
  <si>
    <t>10.3390/md21020127</t>
  </si>
  <si>
    <t>9J1HZ</t>
  </si>
  <si>
    <t>WOS:000939948400001</t>
  </si>
  <si>
    <t>Buonocore, C; Giugliano, R; Della Sala, G; Esposito, FP; Tedesco, P; Folliero, V; Galdiero, M; Franci, G; de Pascale, D</t>
  </si>
  <si>
    <t>Buonocore, Carmine; Giugliano, Rosa; Della Sala, Gerardo; Palma Esposito, Fortunato; Tedesco, Pietro; Folliero, Veronica; Galdiero, Massimiliano; Franci, Gianluigi; de Pascale, Donatella</t>
  </si>
  <si>
    <t>Evaluation of Antimicrobial Properties and Potential Applications of Pseudomonas gessardii M15 Rhamnolipids towards Multiresistant Staphylococcus aureus</t>
  </si>
  <si>
    <t>PHARMACEUTICS</t>
  </si>
  <si>
    <t>rhamnolipids; biosurfactants; MRSA; S; aureus; biofilm; SEM; wound dressing</t>
  </si>
  <si>
    <t>EPIDEMIOLOGY; BIOFILMS</t>
  </si>
  <si>
    <t>Staphylococcus aureus is a Gram-positive opportunistic human pathogen responsible for severe infections and thousands of deaths annually, mostly due to its multidrug-resistant (MDR) variants. The cell membrane has emerged as a promising new therapeutic target, and lipophilic molecules, such as biosurfactants, are currently being utilized. Herein, we evaluated the antimicrobial activity of a rhamnolipids mixture produced by the Antarctic marine bacterium Pseudomonas gessardii M15. We demonstrated that our mixture has bactericidal activity in the range of 12.5-50 mu g/mL against a panel of clinical MDR isolates of S. aureus, and that the mixture eradicated the bacterial population in 30 min at MIC value, and in 5 min after doubling the concentration. We also tested abilities of RLs to interfere with biofilm at different stages and determined that RLs can penetrate biofilm and kill the bacteria at sub-MICs values. The mixture was then used to functionalize a cotton swab to evaluate the prevention of S. aureus proliferation. We showed that by using 8 mu g of rhamnolipids per swab, the entire bacterial load is eradicated, and just 0.5 mu g is sufficient to reduce the growth by 99.99%. Our results strongly indicate the possibility of using this mixture as an additive for wound dressings for chronic wounds.</t>
  </si>
  <si>
    <t>[Buonocore, Carmine; Della Sala, Gerardo; Palma Esposito, Fortunato; Tedesco, Pietro; de Pascale, Donatella] Stn Zool Anton Dohrn, Dept Ecosustainable Marine Biotechnol, Via Ammiraglio Acton 55, I-80133 Naples, Italy; [Buonocore, Carmine] Inst Biochem &amp; Cell Biol, Natl Res Council, I-80131 Naples, Italy; [Giugliano, Rosa; Folliero, Veronica; Galdiero, Massimiliano] Univ Campania Luigi Vanvitelli, Dept Expt Med, I-80138 Naples, Italy; [Franci, Gianluigi] Univ Salerno, Dept Med Surg &amp; Dent Scuola Med Salernitana, I-84081 Baronissi, Italy</t>
  </si>
  <si>
    <t>Stazione Zoologica Anton Dohrn di Napoli; Universita della Campania Vanvitelli; University of Salerno</t>
  </si>
  <si>
    <t>de Pascale, D (corresponding author), Stn Zool Anton Dohrn, Dept Ecosustainable Marine Biotechnol, Via Ammiraglio Acton 55, I-80133 Naples, Italy.;Franci, G (corresponding author), Univ Salerno, Dept Med Surg &amp; Dent Scuola Med Salernitana, I-84081 Baronissi, Italy.</t>
  </si>
  <si>
    <t>gfranci@unisa.it; donatella.depascale@szn.it</t>
  </si>
  <si>
    <t>Tedesco, Pietro/AAB-5740-2021; Della Sala, Gerardo/K-1805-2018; Franci, Gianluigi/AAC-6841-2022</t>
  </si>
  <si>
    <t>Della Sala, Gerardo/0000-0001-8957-3259; Palma Esposito, Fortunato/0000-0002-3768-4712; Franci, Gianluigi/0000-0003-3321-4331; Tedesco, Pietro/0000-0003-0165-5386; Giugliano, Rosa/0000-0001-9923-3194; Galdiero, Massimiliano/0000-0002-1576-6290; FOLLIERO, Veronica/0000-0002-7406-9882; Buonocore, Carmine/0000-0002-8327-954X</t>
  </si>
  <si>
    <t>[H2020-FNR-11-2020: SECRETED: 101000794]</t>
  </si>
  <si>
    <t>This research was partially funded by H2020-FNR-11-2020: SECRETED: 101000794.</t>
  </si>
  <si>
    <t>1999-4923</t>
  </si>
  <si>
    <t>Pharmaceutics</t>
  </si>
  <si>
    <t>10.3390/pharmaceutics15020700</t>
  </si>
  <si>
    <t>9K6AL</t>
  </si>
  <si>
    <t>WOS:000940948100001</t>
  </si>
  <si>
    <t>Chernyshev, AV; Polyakova, NE</t>
  </si>
  <si>
    <t>Chernyshev, Alexei V.; Polyakova, Neonila E.</t>
  </si>
  <si>
    <t>Distribution and Phylogenetic Position of the Antarctic Ribbon Worm Heteronemertes longifissa (Nemertea, Pilidiophora)</t>
  </si>
  <si>
    <t>benthos; nemerteans; larvae; bipolar distribution</t>
  </si>
  <si>
    <t>SPECIES COMPLEX NEMERTEA; TAXONOMY; CLASSIFICATION; PROBOSCIS; SOFTWARE; GENUS; TAXA; NOV</t>
  </si>
  <si>
    <t>To date, a total of 23 valid species of heteronemerteans belonging to 15 genera have been recorded in Antarctic and Subantarctic waters. The ribbon worm Heteronemertes longifissa (Hubrecht, 1887) is the only heteronemertean species reported to have bipolar distribution, but this statement is doubtful. The phylogenetic relationships of H. longifissa to other heteronemerteans remain uncertain. A genetic analysis of specimens from Antarctica has shown that the name H. longifissa refers to two sibling species with an uncorrected p-distance of 5.3% in COI. These species differ in body color: one is whitish, and the other is grayish-pink. The species with the whitish body has been reliably identified from off the Norway coast (as Cerebratulus sp. NemBar1383 (BOLD: ACM5920)), i.e., it has a bipolar distribution. A molecular phylogenetic analysis of Lineidae based on five gene markers (COI, 16S, 18S, 28S, and histone H3) has shown the genus Heteronemertes to belong to Lineage D of Clade 2 sensu Kajihara et al., 2022 (crown Lineidae). The phylogenetic positions of four more species of unidentified lineids are currently under discussion.</t>
  </si>
  <si>
    <t>[Chernyshev, Alexei V.; Polyakova, Neonila E.] Russian Acad Sci, AV Zhirmunsky Natl Sci Ctr Marine Biol, Far Eastern Branch, ul Palchevskogo 17, Vladivostok 690041, Russia</t>
  </si>
  <si>
    <t>Russian Academy of Sciences; National Scientific Center of Marine Biology, Far East Branch of the Russian Academy of Sciences</t>
  </si>
  <si>
    <t>Chernyshev, AV (corresponding author), Russian Acad Sci, AV Zhirmunsky Natl Sci Ctr Marine Biol, Far Eastern Branch, ul Palchevskogo 17, Vladivostok 690041, Russia.</t>
  </si>
  <si>
    <t>nemertea1969@gmail.com</t>
  </si>
  <si>
    <t>Polyakova, Neonila/AAN-7948-2020; Chernyshev, Alexei/A-7195-2014</t>
  </si>
  <si>
    <t>Polyakova, Neonila/0000-0002-4304-1270; Chernyshev, Alexei/0000-0002-2203-3001</t>
  </si>
  <si>
    <t>10.3390/w15040809</t>
  </si>
  <si>
    <t>9M1NW</t>
  </si>
  <si>
    <t>WOS:000942005700001</t>
  </si>
  <si>
    <t>Lu, SY; Zhang, N; Wang, DH; Shi, GT; Ma, TM; Ma, HM; An, CL; Li, YS</t>
  </si>
  <si>
    <t>Lu, Siyu; Zhang, Nan; Wang, Danhe; Shi, Guitao; Ma, Tianming; Ma, Hongmei; An, Chunlei; Li, Yuansheng</t>
  </si>
  <si>
    <t>Spatial Variations of Fabric and Microstructure of Blue Ice Cores at the Shear Margin of Dalk Glacier, Antarctica</t>
  </si>
  <si>
    <t>ice core; fabric; microstructure; glacial shear margin; Dalk Glacier</t>
  </si>
  <si>
    <t>POLYCRYSTALLINE ICE; TAYLOR GLACIER; TEMPERATE ICE; STREAM B; SHEET; FLOW; DEFORMATION; PLASTICITY; EVOLUTION; ISOTOPES</t>
  </si>
  <si>
    <t>The study of the fabric and microstructure of ice at the shear margin of the Antarctic ice sheet is of great significance for understanding the ice flow and its contributions to sea level rise. In this study, twenty-three one-meter-long ice cores were drilled from blue ice areas at the shear margin of the Dalk Glacier, Antarctica. The ice fabric and microstructure of these ice cores are analyzed using a G50 fabric analyzer. This study shows that the shallow ice cores in this region present a cluster fabric as a consequence of shear stress. The grain size decreases following the direction of the ice flow towards the exposed bedrock at the end of the glacier, due to the blocking and squeezing by the bedrock. The formation mechanism of the shallow ice layers is that the ice from the original accumulation area flows here, lifted by the bedrock and shaped by the summer ablation and denudation. The basal ice at the shear margin of the Dalk Glacier is strongly rubbed by the bedrock and demonstrates a cluster fabric. The analysis of stable water isotopes shows a weak negative correlation between shallow ice fabric and stable water isotopes with depth. Bedrock topography and shear stress have a greater influence on grain microstructure among different ice cores over long distances at shear margins.</t>
  </si>
  <si>
    <t>[Lu, Siyu; Zhang, Nan; Li, Yuansheng] Jilin Univ, Inst Polar Sci &amp; Engn, Coll Construct Engn, Polar Res Ctr, Changchun 130021, Peoples R China; [Lu, Siyu; Ma, Hongmei; An, Chunlei; Li, Yuansheng] Polar Res Inst China, Shanghai 200136, Peoples R China; [Wang, Danhe; Shi, Guitao] East China Normal Univ, Sch Geog Sci, Key Lab Geog Informat Sci, Shanghai 200241, Peoples R China; [Ma, Tianming] Univ Sci &amp; Technol China, Sch Earth &amp; Space Sci, Hefei 230026, Peoples R China</t>
  </si>
  <si>
    <t>Jilin University; Polar Research Institute of China; East China Normal University; Chinese Academy of Sciences; University of Science &amp; Technology of China, CAS</t>
  </si>
  <si>
    <t>Zhang, N; Li, YS (corresponding author), Jilin Univ, Inst Polar Sci &amp; Engn, Coll Construct Engn, Polar Res Ctr, Changchun 130021, Peoples R China.;Li, YS (corresponding author), Polar Res Inst China, Shanghai 200136, Peoples R China.</t>
  </si>
  <si>
    <t>znan@jlu.edu.cn; liyuansheng@pric.org.cn</t>
  </si>
  <si>
    <t>An, Chunlei/0000-0002-8579-2400; Ma, Tianming/0000-0001-5908-2846; Shi, Guitao/0000-0003-1702-6322</t>
  </si>
  <si>
    <t>10.3390/w15040728</t>
  </si>
  <si>
    <t>9M1NI</t>
  </si>
  <si>
    <t>WOS:000942004200001</t>
  </si>
  <si>
    <t>Moraes, MM; Mendes, TT; Borges, L; Marques, AL; Núñez-Espinosa, C; Gonçalves, DAP; Simoes, CB; Vieira, TS; Ladeira, RVP; Lourenço, TGB; Ribeiro, DV; Hatanaka, E; Heller, D; Arantes, RME</t>
  </si>
  <si>
    <t>Moraes, Michele M.; Mendes, Thiago T.; Borges, Leandro; Marques, Alice L.; Nunez-Espinosa, Cristian; Goncalves, Dawit A. P.; Simoes, Carolina B.; Vieira, Tales S.; Ladeira, Roberto V. P.; Lourenco, Talita G. B.; Ribeiro, Danielle V.; Hatanaka, Elaine; Heller, Debora; Arantes, Rosa M. E.</t>
  </si>
  <si>
    <t>A 7-Week Summer Camp in Antarctica Induces Fluctuations on Human Oral Microbiome, Pro-Inflammatory Markers and Metabolic Hormones Profile</t>
  </si>
  <si>
    <t>catecholamines; cytokines; human microbiome phyla; inflammation; markers; oral microbiome; polar; stress-related responses</t>
  </si>
  <si>
    <t>ENDOTHELIAL GROWTH-FACTOR; HUMAN ADIPOSE-TISSUE; THYROID-HORMONE; INTERLEUKIN-8 PRODUCTION; SALIVARY MARKERS; IMMUNE FUNCTION; EXPRESSION; EXERCISE; LEPTIN; COLD</t>
  </si>
  <si>
    <t>Antarctic camps pose psychophysiological challenges related to isolated, confined, and extreme (ICE) conditions, including meals composed of sealed food. ICE conditions can influence the microbiome and inflammatory responses. Seven expeditioners took part in a 7-week Antarctic summer camp (Nelson Island) and were evaluated at Pre-Camp (i.e., at the beginning of the ship travel), Camp-Initial (i.e., 4th and 5th day in camp), Camp-Middle (i.e., 19th-20th, and 33rd-34th days), Camp-Final (i.e., 45th-46th day), and at the Post-Camp (on the ship). At the Pre-Camp, Camp-Initial, and Camp-Final, we assessed microbiome and inflammatory markers. Catecholamines were accessed Pre- and Post-Camp. Heart rate variability (HRV), leptin, thyroid stimulating hormone (TSH), and thyroxine (T4) were accessed at all time points. Students' t-tests or repeated-measures analysis of variance (one or two-way ANOVA) followed by Student-Newman-Keuls (post hoc) were used for parametric analysis. Kruskal-Wallis test was applied for non-parametric analysis. Microbiome analysis showed a predominance of Pseudomonadota (34.01%), Bacillota (29.82%), and Bacteroidota (18.54%), followed by Actinomycetota (5.85%), and Fusobacteria (5.74%). Staying in a long-term Antarctic camp resulted in microbiome fluctuations with a reduction in Pseudomonadota-a microbial signature of disease. However, the pro-inflammatory marker leptin and IL-8 tended to increase, and the angiogenic factor VEGF was reduced during camp. These results suggest that distinct Antarctic natural environments and behavioral factors modulate oral microbiome and inflammation.</t>
  </si>
  <si>
    <t>[Moraes, Michele M.; Arantes, Rosa M. E.] Univ Fed Minas Gerais, Inst Biol Sci, Dept Pathol, BR-31270901 Belo Horizonte, MG, Brazil; [Moraes, Michele M.; Ladeira, Roberto V. P.; Arantes, Rosa M. E.] Univ Fed Minas Gerais, Fac Med, Ctr Newborn Screening &amp; Genet Diag, NUPAD FM UFMG, BR-30130100 Belo Horizonte, MG, Brazil; [Mendes, Thiago T.] Univ Fed Bahia, Fac Educ, Dept Phys Educ, BR-40170110 Salvador, BA, Brazil; [Borges, Leandro; Hatanaka, Elaine] Univ Cruzeiro, Interdisciplinary Program Hlth Sci, BR-01506000 Sao Paulo, SP, Brazil; [Marques, Alice L.] Univ Fed Rural Rio De Janeiro, Postgrad Program Social Sci Dev Culture &amp; Soc, BR-23890000 Rio de Janeiro, RJ, Brazil; [Nunez-Espinosa, Cristian] Univ Magallanes, Sch Med, Punta Arenas 6200000, Chile; [Nunez-Espinosa, Cristian] Univ Magallanes, Ctr Asistencial Docente &amp; Invest, Austral Integrat Neurophysiol Grp, Punta Arenas 6200000, Chile; [Nunez-Espinosa, Cristian] Interuniv Ctr Hlth Aging, Punta Arenas 6200000, Chile; [Goncalves, Dawit A. P.; Simoes, Carolina B.; Vieira, Tales S.] Univ Fed Minas Gerais, Sch Phys Educ Physiotherapy &amp; Occupat Therapy, Exercise Physiol Lab, BR-31270901 Belo Horizonte, MG, Brazil; [Goncalves, Dawit A. P.; Simoes, Carolina B.] Univ Fed Minas Gerais, Sports Training Ctr, Sch Phys Educ Physiotherapy &amp; Occupat Therapy, BR-31270901 Belo Horizonte, MG, Brazil; [Lourenco, Talita G. B.] Univ Fed Rio De Janeiro, Inst Microbiol Paulo De Goes, Oral Microbiol Lab, BR-21941902 Rio De Janeiro, RJ, Brazil; [Ribeiro, Danielle V.; Heller, Debora] Hosp Israelita Albert Einstein, BR-05652900 Sao Paulo, SP, Brazil; [Ribeiro, Danielle V.; Heller, Debora] Univ Cruzeiro Sul, Postgrad Studies Dent, Sao Paulo, SP, Brazil; [Heller, Debora] UT Hlth San Antonio, Sch Dent, Dept Periodontol, San Antonio, TX 78229 USA</t>
  </si>
  <si>
    <t>Universidade Federal de Minas Gerais; Universidade Federal de Minas Gerais; Universidade Federal da Bahia; Universidade Federal Rural do Rio de Janeiro (UFRRJ); Universidad de Magallanes; Universidad de Magallanes; Universidade Federal de Minas Gerais; Universidade Federal de Minas Gerais; Universidade Federal do Rio de Janeiro; Hospital Israelita Albert Einstein; Universidade Cruzeiro do Sul; University of Texas System; University of Texas Health Science Center at San Antonio</t>
  </si>
  <si>
    <t>Arantes, RME (corresponding author), Univ Fed Minas Gerais, Inst Biol Sci, Dept Pathol, BR-31270901 Belo Horizonte, MG, Brazil.;Arantes, RME (corresponding author), Univ Fed Minas Gerais, Fac Med, Ctr Newborn Screening &amp; Genet Diag, NUPAD FM UFMG, BR-30130100 Belo Horizonte, MG, Brazil.</t>
  </si>
  <si>
    <t>rosa.esteves.arantes@gmail.com</t>
  </si>
  <si>
    <t>Borges, Leandro/B-6257-2015; Lourenço, Talita/ABA-2686-2021; Hatanaka, Elaine/AFL-1791-2022; MORAES, MICHELE/W-4042-2019; Gonçalves, Dawit A/S-3648-2016; Núñez-Espinosa, Cristian A/ADF-6181-2022; ARANTES, ROSA MARIA ESTEVES/C-5749-2013; Mendes, Thiago/H-6000-2012</t>
  </si>
  <si>
    <t>Borges, Leandro/0000-0002-9755-2535; Lourenço, Talita/0000-0003-0966-3620; Hatanaka, Elaine/0000-0002-9716-1163; MORAES, MICHELE/0000-0003-4707-6099; Núñez-Espinosa, Cristian A/0000-0002-9896-7062; ARANTES, ROSA MARIA ESTEVES/0000-0003-1428-9717; Mendes, Thiago/0000-0003-1644-4020; Sambrano Vieira, Tales/0000-0003-1382-321X</t>
  </si>
  <si>
    <t>CNPq/MCTIC/CAPES/FNDCT/PROANTAR [442645/2018-0]; Fundacao de Amparo a Pesquisa do Estado de Minas Gerais (FAPEMIG) [AEC-00017-18, CDS- PPM 000304/16, CBB- APQ-01419-14, DAPG- APQ-01268-21, APQ-02960-22]; Pro-Reitoria de Pesquisa da Universidade Federal de Minas Gerais (PRPq UFMG); Conselho Nacional de Desenvolvimento Cientifico e Tecnologico (CNPq) [311976/2021-2]; Coordenacao de Aperfeicoamento de Pessoal de Nivel Superior-Brasil (CAPES) [001, 88887.321687/2019-00, 88882.314890/2013-01]</t>
  </si>
  <si>
    <t>CNPq/MCTIC/CAPES/FNDCT/PROANTAR; Fundacao de Amparo a Pesquisa do Estado de 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Superior-Brasil (CAPES)(Coordenacao de Aperfeicoamento de Pessoal de Nivel Superior (CAPES))</t>
  </si>
  <si>
    <t>This research was funded by CNPq/MCTIC/CAPES/FNDCT/PROANTAR under Grant [442645/2018-0]; Fundacao de Amparo a Pesquisa do Estado de Minas Gerais (FAPEMIG) under Grant [AEC-00017-18; CDS- PPM 000304/16; CBB- APQ-01419-14; DAPG- APQ-01268-21 and APQ-02960-22] and Pro-Reitoria de Pesquisa da Universidade Federal de Minas Gerais (PRPq UFMG). RMEA received a research fellowship from Conselho Nacional de Desenvolvimento Cientifico e Tecnologico (CNPq) under Grant [311976/2021-2]. This study was financed in part by the Coordenacao de Aperfeicoamento de Pessoal de Nivel Superior-Brasil (CAPES)-Finance Code 001 (MMM post-doctoral fellowship, CAPES/BRASIL under Grant [88887.321687/2019-00]; LB post-doctoral fellowship, CAPES/BRASIL under Grant [88882.314890/2013-01]).</t>
  </si>
  <si>
    <t>10.3390/microorganisms11020339</t>
  </si>
  <si>
    <t>9L4WK</t>
  </si>
  <si>
    <t>WOS:000941550300001</t>
  </si>
  <si>
    <t>Kun, E; Medveczky, A</t>
  </si>
  <si>
    <t>Kun, Emma; Medveczky, Attila</t>
  </si>
  <si>
    <t>Multiwavelength Analysis of the IceCube Neutrino Source Candidate Blazar PKS 1424+240</t>
  </si>
  <si>
    <t>SYMMETRY-BASEL</t>
  </si>
  <si>
    <t>multimessenger astronomy; blazars; VLBI radio astronomy; high-energy gamma rays; high-energy cosmic neutrinos</t>
  </si>
  <si>
    <t>RADIO STRUCTURE; COSMIC-RAYS; BLACK-HOLE; ENERGY; SPECTRUM; JET</t>
  </si>
  <si>
    <t>The true nature of sources of cosmic neutrinos recorded by the Antarctic IceCube Neutrino Detector is still an enigma of high-energy astrophysics. Time-integrated neutrino source searches with the 10 years of IceCube data unfolded neutrino hot-spots of the sky; among them, one is associated with the blazar PKS 1424+240, which is the third most significant neutrino source candidate in the Northern sky. In this paper, we analyze VLBI radio data of PKS 1424+240 taken with the Very Large Baseline Array at 15 GHz as part of the MOJAVE Survey. We generate the adaptively binned gamma-ray light curve of the source, employing Fermi-LAT data between 100 MeV and 300 GeV. We find that the VLBI jet components maintain quasi-stationary core separations at 15 GHz. We find a quiescence and a perturbed phase of the VLBI core of PKS 1424+240, based on that its Doppler factor increased tenfold after 2016 compared to the quiescence phase. We do not find elevated gamma-ray activity after 2016, while archive Swift-XRT measurements show a highly increased 0.3-10 keV X-ray flux in the beginning of 2017. Substantial increase of the activity of the radio core might help us to identify episodes of particle acceleration in lepto-hadronic blazar jets that eventually lead to the emission of high-energy neutrinos.</t>
  </si>
  <si>
    <t>[Kun, Emma] Ruhr Univ Bochum, Fac Phys &amp; Astron, Theoret Phys Plasma Astroparticle Phys 4, D-44780 Bochum, Germany; [Kun, Emma] Ruhr Univ Bochum, Astron Inst, Fac Phys &amp; Astron, D-44780 Bochum, Germany; [Kun, Emma] Ruhr Univ Bochum, Ruhr Astroparticle &amp; Plasma Phys Ctr RAPP Ctr, D-44780 Bochum, Germany; [Kun, Emma] Konkoly Observ Budapest, ELKH Res Ctr Astron &amp; Earth Sci, Konkoly Thege Miklosut 15-17, H-1121 Budapest, Hungary; [Kun, Emma] MTA Ctr Excellence, Konkoly Thege Miklosut 15-17, H-1121 Budapest, Hungary; [Medveczky, Attila] Eotvos Lorand Univ, Dept Astron, Pazmany Peter Setany 1-A, H-1117 Budapest, Hungary</t>
  </si>
  <si>
    <t>Ruhr University Bochum; Ruhr University Bochum; Ruhr University Bochum; Hungarian Research Network; Hungarian Academy of Sciences; HUN-REN Research Centre for Astronomy &amp; Earth Sciences; Eotvos Lorand University</t>
  </si>
  <si>
    <t>Kun, E (corresponding author), Ruhr Univ Bochum, Fac Phys &amp; Astron, Theoret Phys Plasma Astroparticle Phys 4, D-44780 Bochum, Germany.;Kun, E (corresponding author), Ruhr Univ Bochum, Astron Inst, Fac Phys &amp; Astron, D-44780 Bochum, Germany.;Kun, E (corresponding author), Ruhr Univ Bochum, Ruhr Astroparticle &amp; Plasma Phys Ctr RAPP Ctr, D-44780 Bochum, Germany.;Kun, E (corresponding author), Konkoly Observ Budapest, ELKH Res Ctr Astron &amp; Earth Sci, Konkoly Thege Miklosut 15-17, H-1121 Budapest, Hungary.;Kun, E (corresponding author), MTA Ctr Excellence, Konkoly Thege Miklosut 15-17, H-1121 Budapest, Hungary.</t>
  </si>
  <si>
    <t>kun.emma@csfk.org</t>
  </si>
  <si>
    <t>Kun, Emma/AAJ-6527-2020; Kun, Emma/C-2602-2015</t>
  </si>
  <si>
    <t>Kun, Emma/0000-0003-2769-3591</t>
  </si>
  <si>
    <t>German Science Foundation DFG, via the Collaborative Research Center [SFB1491]; Hungarian Academy of Sciences</t>
  </si>
  <si>
    <t>German Science Foundation DFG, via the Collaborative Research Center(German Research Foundation (DFG)); Hungarian Academy of Sciences(Hungarian Academy of Sciences)</t>
  </si>
  <si>
    <t>Authors thank the anonymous referee for helpful suggestions about the pre-sentation of this work. E.K. acknowledges support from the German Science Foundation DFG, via the Collaborative Research Center SFB1491: Cosmic Interacting Matters-from Source to Signal. E.K.thanks the Hungarian Academy of Sciences for its Premium Postdoctoral Scholarship. This papermakes use of publicly available Fermi-LAT data provided online by the https://fermi.gsfc.nasa.gov/ssc/data/access/ (accessed on 17 June 2021) Fermi Science Support Center. On behalf of Project'fermi-agn', we give thanks for the usage of the ELKH Cloud that significantly helped us achievingthe results published in this paper. This research made use of data from the MOJAVE database that ismaintained by the MOJAVE team (Lister et al., 2018).</t>
  </si>
  <si>
    <t>2073-8994</t>
  </si>
  <si>
    <t>Symmetry-Basel</t>
  </si>
  <si>
    <t>10.3390/sym15020270</t>
  </si>
  <si>
    <t>9M2HF</t>
  </si>
  <si>
    <t>WOS:000942056900001</t>
  </si>
  <si>
    <t>Pacchini, S; Piva, E; Schumann, S; Irato, P; Pellegrino, D; Santovito, G</t>
  </si>
  <si>
    <t>Pacchini, Sara; Piva, Elisabetta; Schumann, Sophia; Irato, Paola; Pellegrino, Daniela; Santovito, Gianfranco</t>
  </si>
  <si>
    <t>An Experimental Study on Antioxidant Enzyme Gene Expression in Trematomus newnesi (Boulenger, 1902) Experimentally Exposed to Perfluoro-Octanoic Acid</t>
  </si>
  <si>
    <t>ANTIOXIDANTS</t>
  </si>
  <si>
    <t>Antarctic fish; perfluoroalkyl substances; PFOA; oxidative stress; antioxidant defence system</t>
  </si>
  <si>
    <t>MITOCHONDRIAL DYSFUNCTION; OXIDATIVE STRESS</t>
  </si>
  <si>
    <t>Antarctica is the continent with the lowest local human impact; however, it is susceptible to pollution from external sources. Emerging pollutants such as perfluoroalkyl substances pose an increasing threat to this environment and therefore require more in-depth investigations to understand their environmental fate and biological impacts. The present study focuses on expression analysis at the transcriptional level of genes coding for four antioxidant enzymes (sod1, sod2, gpx1, and gpx4) in the liver and kidney of an Antarctic fish species, Trematomus newnesi (Boulenger, 1902). mRNA levels were also assessed in fish exposed to 1.5 mu g/L of perfluoro-octanoic acid for 10 days. The kidney showed a higher level of expression than the liver in wildlife specimens. In the liver, the treatment induced an increase in gene expression for all the considered enzymes, whereas in the kidney, it induced a general decrease. The obtained results advance the scientific community's understanding of how the potential future presence of anthropogenic contaminants in the Southern Ocean can affect the antioxidant system of Antarctic fishes. The presence of pollutants belonging to the perfluoroalkyl substances in the Southern Ocean needs to be continuously monitored in parallel with this type of research.</t>
  </si>
  <si>
    <t>[Pacchini, Sara; Piva, Elisabetta; Schumann, Sophia; Irato, Paola; Santovito, Gianfranco] Univ Padua, Dept Biol, I-35131 Padua, Italy; [Pellegrino, Daniela] Univ Calabria, Dept Biol Ecol &amp; Earth Sci, I-87036 Arcavacata Di Rende, Italy</t>
  </si>
  <si>
    <t>University of Padua; University of Calabria</t>
  </si>
  <si>
    <t>Santovito, G (corresponding author), Univ Padua, Dept Biol, I-35131 Padua, Italy.</t>
  </si>
  <si>
    <t>gianfranco.santovito@unipd.it</t>
  </si>
  <si>
    <t>Pacchini, Sara/JVZ-1594-2024; Piva, Elisabetta/JNR-7048-2023; Santovito, Gianfranco/ABB-9484-2021</t>
  </si>
  <si>
    <t>Pacchini, Sara/0000-0001-5430-2301; Piva, Elisabetta/0009-0002-9005-256X; Santovito, Gianfranco/0000-0001-8260-7006; IRATO, PAOLA/0000-0002-8066-0775; Schumann, Sophia/0000-0001-7468-9013; Pellegrino, Daniela/0000-0002-9815-5195</t>
  </si>
  <si>
    <t>Italian National Program for Antarctic Research (PNRA) [2018/B2Z1.01]</t>
  </si>
  <si>
    <t>This research was supported by the Italian National Program for Antarctic Research (PNRA) (project identification code: 2018/B2Z1.01).</t>
  </si>
  <si>
    <t>2076-3921</t>
  </si>
  <si>
    <t>ANTIOXIDANTS-BASEL</t>
  </si>
  <si>
    <t>Antioxidants</t>
  </si>
  <si>
    <t>10.3390/antiox12020352</t>
  </si>
  <si>
    <t>Biochemistry &amp; Molecular Biology; Chemistry, Medicinal; Food Science &amp; Technology</t>
  </si>
  <si>
    <t>Biochemistry &amp; Molecular Biology; Pharmacology &amp; Pharmacy; Food Science &amp; Technology</t>
  </si>
  <si>
    <t>9F9QN</t>
  </si>
  <si>
    <t>WOS:000937797400001</t>
  </si>
  <si>
    <t>López, D; Sanhueza, C; Salvo-Garrido, H; Bascunan-Godoy, L; Bravo, LA</t>
  </si>
  <si>
    <t>Lopez, Dariel; Sanhueza, Carolina; Salvo-Garrido, Haroldo; Bascunan-Godoy, Luisa; Bravo, Leon A.</t>
  </si>
  <si>
    <t>How Does Diurnal and Nocturnal Warming Affect the Freezing Resistance of Antarctic Vascular Plants?</t>
  </si>
  <si>
    <t>PLANTS-BASEL</t>
  </si>
  <si>
    <t>asymmetric warming; climate change; Colobanthus quitensis; Deschampsia antarctica; freezing resistance; night temperature; supercooling</t>
  </si>
  <si>
    <t>COLD-ACCLIMATION; DESCHAMPSIA-ANTARCTICA; COLOBANTHUS-QUITENSIS; WINTER SURVIVAL; DEACCLIMATION; PROTEINS; SENSITIVITY; TOLERANCE; STRESS; CBF</t>
  </si>
  <si>
    <t>The Antarctic Peninsula has rapidly warmed up in past decades, and global warming has exhibited an asymmetric trend; therefore, it is interesting to understand whether nocturnal or diurnal warming is the most relevant for plant cold deacclimation. This study aimed to evaluate the effect of diurnal and nocturnal warming on Antarctic vascular plant's freezing resistance under laboratory conditions. This was studied by measuring the lethal temperature for 50% of tissue (LT50), ice nucleation temperature (INT), and freezing point (FP) on Deschampsia antarctica and Colobanthus quitensis plants. Additionally, soluble carbohydrates content and dehydrin levels were analyzed during nocturnal and diurnal temperatures increase. Nocturnal warming led to a 7 degrees C increase in the LT50 of D. antarctica and reduced dehydrin-like peptide expression. Meanwhile, C. quitensis warmed plants reduce their LT50 to about 3.6 degrees C. Both species reduce their sucrose content by more than 28% in warming treatments. Therefore, nocturnal warming leads to cold deacclimation in both plant species, while C. quitensis plants are also cold-deacclimated upon warm days. This suggests that even when the remaining freezing resistance of both species allows them to tolerate summer freezing events, C. quitensis can reach its boundaries of freezing vulnerability in the near future if warming in the Antarctic Peninsula progress.</t>
  </si>
  <si>
    <t>[Lopez, Dariel; Bravo, Leon A.] Univ La Frontera, Fac Ciencias Agr &amp; Medioambiente, Dept Ciencias Agron &amp; Recursos Nat, Temuco 4811230, Chile; [Lopez, Dariel; Bravo, Leon A.] Univ La Frontera, Ctr Plant Soil Interact &amp; Nat Resources Biotechno, Temuco 4811230, Chile; [Sanhueza, Carolina; Bascunan-Godoy, Luisa] Univ Concepcion, Fac Ciencias Nat &amp; Oceanograf, Dept Bot, Lab Fisiol Vegetal, Concepcion 4030000, Chile; [Salvo-Garrido, Haroldo] Ctr Genom Nutr Agroacuicola Ciencia Plantas, Temuco 4781158, Chile</t>
  </si>
  <si>
    <t>Universidad de La Frontera; Universidad de La Frontera; Universidad de Concepcion</t>
  </si>
  <si>
    <t>Bravo, LA (corresponding author), Univ La Frontera, Fac Ciencias Agr &amp; Medioambiente, Dept Ciencias Agron &amp; Recursos Nat, Temuco 4811230, Chile.;Bravo, LA (corresponding author), Univ La Frontera, Ctr Plant Soil Interact &amp; Nat Resources Biotechno, Temuco 4811230, Chile.</t>
  </si>
  <si>
    <t>leon.bravo@ufrontera.cl</t>
  </si>
  <si>
    <t>Bravo, León/AAO-8437-2020; Sanhueza, Carolina/JQW-9959-2023; Godoy, Luisa Bascunan/AAF-2978-2019; Sanhueza, Carolina/AAG-7456-2019</t>
  </si>
  <si>
    <t>Bravo, León/0000-0003-4705-4842; Godoy, Luisa Bascunan/0000-0001-8346-7295; Sanhueza, Carolina/0000-0002-1564-2490; Lopez, Dariel/0000-0001-7615-9331</t>
  </si>
  <si>
    <t>ANID: Fondecyt [1151173]; Scholarship Program/BECA DE DOCTORADO NACIONAL [2017-21170470]; NEXER-UFRO [NXR17-0002]; INACH [RT 18-18]</t>
  </si>
  <si>
    <t>ANID: Fondecyt; Scholarship Program/BECA DE DOCTORADO NACIONAL; NEXER-UFRO; INACH</t>
  </si>
  <si>
    <t>This research was funded by ANID: Fondecyt 1151173 and Scholarship Program/BECA DE DOCTORADO NACIONAL/2017-21170470; NEXER-UFRO NXR17-0002; and INACH RT 18-18.</t>
  </si>
  <si>
    <t>2223-7747</t>
  </si>
  <si>
    <t>Plants-Basel</t>
  </si>
  <si>
    <t>10.3390/plants12040806</t>
  </si>
  <si>
    <t>9J9XZ</t>
  </si>
  <si>
    <t>WOS:000940531500001</t>
  </si>
  <si>
    <t>Gao, L; Zhao, Y; Yang, ZY; Pei, JL; Zhang, SH; Liu, XC; Tong, YB; Liu, JM; Bastías, J</t>
  </si>
  <si>
    <t>Gao, Liang; Zhao, Yue; Yang, Zhenyu; Pei, Junling; Zhang, Shuan-Hong; Liu, Xiaochun; Tong, Yabo; Liu, Jian-Min; Bastias, Joaquin</t>
  </si>
  <si>
    <t>Plate Rotation of the Northern Antarctic Peninsula Since the Late Cretaceous: Implications for the Tectonic Evolution of the Scotia Sea Region</t>
  </si>
  <si>
    <t>JOURNAL OF GEOPHYSICAL RESEARCH-SOLID EARTH</t>
  </si>
  <si>
    <t>Antarctic Peninsula; paleomagnetism; magmatism; Scotia Sea; Phoenix Plate</t>
  </si>
  <si>
    <t>SOUTH SHETLAND ISLANDS; KING GEORGE ISLAND; U-PB GEOCHRONOLOGY; GEOMAGNETIC SECULAR VARIATION; WEST-ANTARCTICA; DRAKE PASSAGE; SUBDUCTION HISTORY; PALEOMAGNETIC DATA; LIVINGSTON ISLAND; ARC MAGMATISM</t>
  </si>
  <si>
    <t>Plate reconstructions provide basic constraints on the tectonic evolution of the Antarctic Peninsula but they are limited by a scarcity of paleomagnetic data. Here, using a combination of new and published paleomagnetic data and geological evidence, we present an updated reconstruction of the plate rotation and spatio-temporal history of magmatism of the northern Antarctic Peninsula since similar to 90 Ma. The Phoenix Plate-Antarctic Peninsula convergence variation and back-arc extension of the Scotia Plate are correlated to five distinct plate rotation periods. The initiation of the ancestral South Sandwich subduction zone and the late Paleocene separation between the Antarctic Peninsula and South America may be explained by the small- and large-scale clockwise rotation of the Antarctic Peninsula starting at similar to 80 and 62 Ma, respectively. Furthermore, we have identified five pulses of magmatism, which are correlated to the Phoenix Plate-Antarctic Peninsula convergence rates. The Antarctic Peninsula plate rotation fits well with the process observed in the Phoenix Plate subduction, long-term variation of the magmatism and tectonic evolution in the Scotia Sea, clarifying the relationship between these geological events.</t>
  </si>
  <si>
    <t>[Gao, Liang; Zhao, Yue] China Univ Geosci, Key Lab Marine Mineral Resources &amp; Polar Geol, Minist Educ, Beijing, Peoples R China; [Gao, Liang; Zhao, Yue] China Univ Geosci, Sch Ocean Sci, Beijing, Peoples R China; [Gao, Liang; Zhao, Yue; Yang, Zhenyu; Pei, Junling; Zhang, Shuan-Hong; Liu, Xiaochun; Tong, Yabo; Liu, Jian-Min] Tecton Reconstruct Minist Land &amp; Resources, Key Lab Paleomagnetism, Beijing, Peoples R China; [Zhao, Yue; Pei, Junling; Zhang, Shuan-Hong; Liu, Xiaochun; Tong, Yabo; Liu, Jian-Min] Chinese Acad Geol Sci, Inst Geomech, Beijing, Peoples R China; [Yang, Zhenyu] Capital Normal Univ, Coll Resources Environm &amp; Tourism, Beijing, Peoples R China; [Bastias, Joaquin] Trinity Coll Dublin, Sch Nat Sci, Dept Geol, Dublin, Ireland; [Bastias, Joaquin] Univ Andres Bello, Fac Ingn, Carrera Geol, Santiago, Chile</t>
  </si>
  <si>
    <t>China University of Geosciences; China Geological Survey; Institute of Geomechanics, Chinese Academy of Geological Sciences; Chinese Academy of Geological Sciences; Capital Normal University; Trinity College Dublin; Universidad Andres Bello</t>
  </si>
  <si>
    <t>Gao, L (corresponding author), China Univ Geosci, Key Lab Marine Mineral Resources &amp; Polar Geol, Minist Educ, Beijing, Peoples R China.;Gao, L (corresponding author), China Univ Geosci, Sch Ocean Sci, Beijing, Peoples R China.;Gao, L (corresponding author), Tecton Reconstruct Minist Land &amp; Resources, Key Lab Paleomagnetism, Beijing, Peoples R China.</t>
  </si>
  <si>
    <t>lgao@live.cn</t>
  </si>
  <si>
    <t>Bastias, Joaquin/A-6995-2016; Lifu, Hou/ITT-5464-2023; Zhang, Shuan-Hong/G-6488-2010</t>
  </si>
  <si>
    <t>Bastias, Joaquin/0000-0001-6678-3173; Zhang, Shuan-Hong/0000-0002-2177-9039; Pei, Junling/0000-0003-4046-3432; Gao, Liang/0000-0003-3741-9377</t>
  </si>
  <si>
    <t>Antarctic Administration of China; Polar Research Institute of China; Instituto Antartico Chileno (INACH); Universidad de Magallanes; Natural Science Foundation of China (NSFC) [2018YFC1406904]; National Key R&amp;D Program of China [265QZ2021013]; Fundamental Research Funds for the Central Universities [B20011]; 111 project [P500PN_202847]; Swiss National Science Foundation [RT-06-14]; Instituto Antartico Chileno (INACH); [42076223]; [41930218]; Swiss National Science Foundation (SNF) [P500PN_202847] Funding Source: Swiss National Science Foundation (SNF)</t>
  </si>
  <si>
    <t>Antarctic Administration of China; Polar Research Institute of China; Instituto Antartico Chileno (INACH); Universidad de Magallanes; Natural Science Foundation of China (NSFC)(National Natural Science Foundation of China (NSFC)); National Key R&amp;D Program of China; Fundamental Research Funds for the Central Universities(Fundamental Research Funds for the Central Universities); 111 project(Ministry of Education, China - 111 Project); Swiss National Science Foundation(Swiss National Science Foundation (SNSF)); Instituto Antartico Chileno (INACH); ; ; Swiss National Science Foundation (SNF)(Swiss National Science Foundation (SNSF))</t>
  </si>
  <si>
    <t>We are grateful for the support from the Antarctic Administration of China, the Polar Research Institute of China, the Instituto Antartico Chileno (INACH), and the Universidad de Magallanes. We thank all members of the 31st (2014-2015) and 35th (2018-2019) Chinese National Antarctic Research Expeditions, and crews of Aquiles and Betanzos for their help during the fieldwork. We appreciate the constructive suggestions of Editor Mark J. Dekkers, Associate Editor Daniel Pastor-Galan, Teal R. Riley, Claus-Dieter Hillenbrand, and an anonymous reviewer. Special thanks are due to Jose Retamales, Marcelo Leppe, Hugo Llerena Chavez, Juan Carlos Tapia Aldas, and Ian W. D. Dalziel for their support during the Antarctic expedition. This paper was supported by the Natural Science Foundation of China (NSFC) (41930218), the National Key R&amp;D Program of China (2018YFC1406904), the Natural Science Foundation of China (NSFC) (42076223), the Fundamental Research Funds for the Central Universities (No. 265QZ2021013), and the 111 project (B20011). JB was funded by the Instituto Antartico Chileno (INACH, project RT-06-14), and the Swiss National Science Foundation (Project P500PN_202847).</t>
  </si>
  <si>
    <t>2169-9313</t>
  </si>
  <si>
    <t>2169-9356</t>
  </si>
  <si>
    <t>J GEOPHYS RES-SOL EA</t>
  </si>
  <si>
    <t>J. Geophys. Res.-Solid Earth</t>
  </si>
  <si>
    <t>e2022JB026110</t>
  </si>
  <si>
    <t>10.1029/2022JB026110</t>
  </si>
  <si>
    <t>9D4VK</t>
  </si>
  <si>
    <t>WOS:000936097700001</t>
  </si>
  <si>
    <t>Polichtchouk, I; Van Niekerk, A; Wedi, N</t>
  </si>
  <si>
    <t>Polichtchouk, Inna; Van Niekerk, Annelize; Wedi, Nils</t>
  </si>
  <si>
    <t>Resolved Gravity Waves in the Extratropical Stratosphere: Effect of Horizontal Resolution Increase from O(10) to O(1) km</t>
  </si>
  <si>
    <t>JOURNAL OF THE ATMOSPHERIC SCIENCES</t>
  </si>
  <si>
    <t>Atmosphere; Gravity waves; Stratospheric circulation; Orographic effects; Numerical weather prediction; forecasting; Mesoscale models</t>
  </si>
  <si>
    <t>GENERAL-CIRCULATION; PARAMETERIZATION; DRAG; TEMPERATURE; CONVECTION; SURFACE</t>
  </si>
  <si>
    <t>Global ECMWF IFS simulations with horizontal grid spacings of 1, 4, and 9 km are used to assess gravity wave forcing (GWF) in the extratropical stratosphere. Results with important implications for GWF parameterizations at high and intermediate resolutions are presented. A doubling in the zonal-mean resolved GWF is observed when the horizontal resolution is increased from 9 to 1 km. Small-scale gravity waves with horizontal wavelengths &lt; 100 km dominate this increase. Over most regions, excluding the polar night jet in the Antarctic spring, the total (resolved + parameterized) GWF at 9 km (4 km) is underestimated by up to 30% (15%). This implies that the parameterization of GWF is still required at 9 and 4 km horizontal resolutions. Despite the small land area in the Southern Hemisphere (SH), the resolved orographic and nonorographic GWF contribute equally to the total GWF in the SH at 1 km resolution. This is not reflected in the partitioning of the parameterized GWF, which has a significantly larger nonorographic contribution at 9 km. As a result, a zonal-mean momentum budget analysis reveals that the total GWF contributes one-third of SH springtime polar vortex deceleration at 1 km, whereas the contribution is as much as 50% at 9 km. This suggests that a rebalancing of the parameterized nonorographic and orographic GWF is required.</t>
  </si>
  <si>
    <t>[Polichtchouk, Inna; Van Niekerk, Annelize; Wedi, Nils] European Ctr Medium Range Weather Forecasts, Reading, England; [Van Niekerk, Annelize] Met Off, Exeter, England</t>
  </si>
  <si>
    <t>European Centre for Medium-Range Weather Forecasts (ECMWF); Met Office - UK</t>
  </si>
  <si>
    <t>Polichtchouk, I (corresponding author), European Ctr Medium Range Weather Forecasts, Reading, England.</t>
  </si>
  <si>
    <t>inna.polichtchouk@ecmwf.int</t>
  </si>
  <si>
    <t>Polichtchouk, Inna/0000-0002-8943-4993</t>
  </si>
  <si>
    <t>DOE Office of Science User Facility [DE-AC05-00OR22725]</t>
  </si>
  <si>
    <t>DOE Office of Science User Facility(United States Department of Energy (DOE))</t>
  </si>
  <si>
    <t>This research used resources of the Oak Ridge Leadership Computing Facility (OLCF), which is a DOE Office of Science User Facility supported under Contract DE-AC05-00OR22725. IP and AVN would like to acknowledge discussions at the International Space Science Institute (ISSI), Bern, with members of the ISSI team New Quantitative Constraints on Orographic Gravity Wave Stress and Drag. The authors thank the three anonymous reviewers for their helpful comments that have improved this manuscript.</t>
  </si>
  <si>
    <t>0022-4928</t>
  </si>
  <si>
    <t>1520-0469</t>
  </si>
  <si>
    <t>J ATMOS SCI</t>
  </si>
  <si>
    <t>J. Atmos. Sci.</t>
  </si>
  <si>
    <t>10.1175/JAS-D-22-0138.1</t>
  </si>
  <si>
    <t>8Z2WP</t>
  </si>
  <si>
    <t>WOS:000933245300007</t>
  </si>
  <si>
    <t>Sala, S; Micke, SK; Flematti, GR</t>
  </si>
  <si>
    <t>Sala, Samuele; Micke, Scott K.; Flematti, Gavin R.</t>
  </si>
  <si>
    <t>Marine Natural Products from Flora and Fauna of the Western Australian Coast: Taxonomy, Isolation and Biological Activity</t>
  </si>
  <si>
    <t>MOLECULES</t>
  </si>
  <si>
    <t>secondary metabolites; marine natural products; flora; fauna; Western Australia</t>
  </si>
  <si>
    <t>SPONGE PHORBAS SP; KELP ECKLONIA-RADIATA; DIBENZO-P-DIOXINS; STRUCTURE ELUCIDATION; BROWN ALGA; A-D; ABSOLUTE-CONFIGURATION; ECHINOSULFONIC ACIDS; CYTOTOXIC MACROLIDES; CRYSTAL-STRUCTURE</t>
  </si>
  <si>
    <t>Marine natural products occurring along the Western Australian coastline are the focus of this review. Western Australia covers one-third of the Australian coast, from tropical waters in the far north of the state to cooler temperate and Antarctic waters in the south. Over 40 years of research has resulted in the identification of a number of different types of secondary metabolites including terpenoids, alkaloids, polyketides, fatty acid derivatives, peptides and arsenic-containing natural products. Many of these compounds have been reported to display a variety of bioactivities. A description of the compound classes and their associated bioactivities from marine organisms found along the Western Australian coastline is presented.</t>
  </si>
  <si>
    <t>[Sala, Samuele; Micke, Scott K.; Flematti, Gavin R.] Univ Western Australia, Sch Mol Sci, Crawley, WA 6009, Australia; [Sala, Samuele] Murdoch Univ, Australian Natl Phenome Ctr, Harry Perkins Bldg, Perth, WA 6150, Australia; [Sala, Samuele] Murdoch Univ, Ctr Computat &amp; Syst Med, Hlth Futures Inst, Harry Perkins Bldg, Perth, WA 6150, Australia</t>
  </si>
  <si>
    <t>University of Western Australia; Murdoch University; Murdoch University</t>
  </si>
  <si>
    <t>Flematti, GR (corresponding author), Univ Western Australia, Sch Mol Sci, Crawley, WA 6009, Australia.</t>
  </si>
  <si>
    <t>gavin.flematti@uwa.edu.au</t>
  </si>
  <si>
    <t>Flematti, Gavin R/J-2018-2012</t>
  </si>
  <si>
    <t>Flematti, Gavin/0000-0003-2545-6939; Sala, Samuele/0000-0003-2971-646X</t>
  </si>
  <si>
    <t>Australian Government Research Training Program (RTP) scholarship</t>
  </si>
  <si>
    <t>Australian Government Research Training Program (RTP) scholarship(Australian GovernmentDepartment of Industry, Innovation and Science)</t>
  </si>
  <si>
    <t>Samuele Sala and Scott K. Micke would like to acknowledge financial support from an Australian Government Research Training Program (RTP) scholarship.</t>
  </si>
  <si>
    <t>1420-3049</t>
  </si>
  <si>
    <t>Molecules</t>
  </si>
  <si>
    <t>10.3390/molecules28031452</t>
  </si>
  <si>
    <t>8Y7NL</t>
  </si>
  <si>
    <t>WOS:000932881500001</t>
  </si>
  <si>
    <t>Goncalves, VN; Lirio, JM; Coria, SH; Lopes, FAC; Convey, P; de Oliveira, FS; Carvalho-Silva, M; Camara, PEAS; Rosa, LH</t>
  </si>
  <si>
    <t>Goncalves, Vivian N. N.; Lirio, Juan M. M.; Coria, Silvia H. H.; Lopes, Fabyano A. C.; Convey, Peter; de Oliveira, Fabio S.; Carvalho-Silva, Micheline; Camara, Paulo E. A. S.; Rosa, Luiz H. H.</t>
  </si>
  <si>
    <t>Soil Fungal Diversity and Ecology Assessed Using DNA Metabarcoding along a Deglaciated Chronosequence at Clearwater Mesa, James Ross Island, Antarctic Peninsula</t>
  </si>
  <si>
    <t>Antarctica; extremophiles; environmental DNA; fungi; metabarcoding; taxonomy</t>
  </si>
  <si>
    <t>LAKE-SEDIMENTS; SP-NOV; COMMUNITIES; PLANT</t>
  </si>
  <si>
    <t>Simple Summary We characterized the fungal organisms present in soils at James Ross Island, north-east Antarctic Peninsula, using DNA metabarcoding. Taxa detected included members of the widespread phyla Ascomycota, Basidiomycota and Mortierellomycota. Additionally, the uncommon phyla Chytridiomycota, Rozellomycota, Monoblepharomycota, Zoopagomycota and Basidiobolomycota were detected. Unknown fungi and taxa identified at generic and specific levels dominated the assemblages. The fungal sequence assemblages displayed high diversity and richness, and moderate dominance, and included taxa known to play saprophytic, pathogenic and symbiotic functions. Soils of Clearwater Mesa contain a complex fungal community, including fungal groups considered rare in Antarctica, dominated by cold-adapted cosmopolitan, endemic, saprotrophic and phytopathogenic taxa. We studied the fungal diversity present in soils sampled along a deglaciated chronosequence from para- to periglacial conditions on James Ross Island, north-east Antarctic Peninsula, using DNA metabarcoding. A total of 88 amplicon sequence variants (ASVs) were detected, dominated by the phyla Ascomycota, Basidiomycota and Mortierellomycota. The uncommon phyla Chytridiomycota, Rozellomycota, Monoblepharomycota, Zoopagomycota and Basidiobolomycota were detected. Unknown fungi identified at higher hierarchical taxonomic levels (Fungal sp. 1, Fungal sp. 2, Spizellomycetales sp. and Rozellomycotina sp.) and taxa identified at generic and specific levels (Mortierella sp., Pseudogymnoascus sp., Mortierella alpina, M. turficola, Neoascochyta paspali, Penicillium sp. and Betamyces sp.) dominated the assemblages. In general, the assemblages displayed high diversity and richness, and moderate dominance. Only 12 of the fungal ASVs were detected in all chronosequence soils sampled. Sequences representing saprophytic, pathogenic and symbiotic fungi were detected. Based on the sequence diversity obtained, Clearwater Mesa soils contain a complex fungal community, including the presence of fungal groups generally considered rare in Antarctica, with dominant taxa recognized as cold-adapted cosmopolitan, endemic, saprotrophic and phytopathogenic fungi. Clearwater Mesa ecosystems are impacted by the effects of regional climatic changes, and may provide a natural observatory to understand climate change effects over time.</t>
  </si>
  <si>
    <t>[Goncalves, Vivian N. N.; Rosa, Luiz H. H.] Univ Fed Minas Gerais, Dept Microbiol, BR-31270901 Belo Horizonte, Brazil; [Lirio, Juan M. M.; Coria, Silvia H. H.] Inst Antart Argentino, 25 Mayo 1143,B1650HMK, Buenos Aires, Argentina; [Lopes, Fabyano A. C.] Univ Fed Tocantins, Lab Microbiol, BR-77500000 Porto Nacl, Brazil; [Convey, Peter] NERC, British Antarctic Survey, High Cross,Madingley Rd, Cambridge CB3 0ET, England; [Convey, Peter] Univ Johannesburg, Dept Zool, POB 524, ZA-2006 Auckland Pk, South Africa; [Convey, Peter] Univ Austral Chile, Millennium Inst Biodivers Antarctic &amp; Subantarct E, BASE, Valdivia 5090000, Chile; [Convey, Peter] Cape Horn Int Ctr CHIC, Ohiggins 310, Puerto Williams 6350000, Chile; [de Oliveira, Fabio S.; Camara, Paulo E. A. S.] Univ Fed Minas Gerais, Dept Geog, BR-31270901 Belo Horizonte, Brazil; [Carvalho-Silva, Micheline] Univ Brasilia, Dept Bot, BR-70297400 Brasilia, Brazil; [Rosa, Luiz H. H.] Univ Fed Minas Gerais, Inst Ciencias Biol, Lab Microbiol Polar &amp; Conexoes Tropicais, BR-31270901 Belo Horizonte, Brazil</t>
  </si>
  <si>
    <t>Universidade Federal de Minas Gerais; Instituto Antartico Argentino; Universidade Federal do Tocantins (UFT); UK Research &amp; Innovation (UKRI); Natural Environment Research Council (NERC); NERC British Antarctic Survey; University of Johannesburg; Universidad Austral de Chile; Universidade Federal de Minas Gerais; Universidade de Brasilia; Universidade Federal de Minas Gerais</t>
  </si>
  <si>
    <t>Rosa, LH (corresponding author), Univ Fed Minas Gerais, Dept Microbiol, BR-31270901 Belo Horizonte, Brazil.;Rosa, LH (corresponding author), Univ Fed Minas Gerais, Inst Ciencias Biol, Lab Microbiol Polar &amp; Conexoes Tropicais, BR-31270901 Belo Horizonte, Brazil.</t>
  </si>
  <si>
    <t>lhrosa@icb.ufmg.br</t>
  </si>
  <si>
    <t>Lopes, Fabyano/F-7558-2018; Camara, Paulo/GPP-2054-2022; Convey, Peter/AAV-5728-2020</t>
  </si>
  <si>
    <t>Lopes, Fabyano/0000-0002-4565-9103; Camara, Paulo/0000-0002-3944-996X; Convey, Peter/0000-0001-8497-9903; Silva, Micheline/0000-0002-2389-3804; Goncalves, Vivian/0000-0002-3980-4722</t>
  </si>
  <si>
    <t>CNPq; CAPES; FNDCT; FAPEMIG; INCT Criosfera; PROANTAR; NERC; British Antarctic Survey's 'Biodiversity, Evolution and Adaptation'</t>
  </si>
  <si>
    <t>CNPq(Conselho Nacional de Desenvolvimento Cientifico e Tecnologico (CNPQ)); CAPES(Coordenacao de Aperfeicoamento de Pessoal de Nivel Superior (CAPES)); FNDCT; FAPEMIG(Fundacao de Amparo a Pesquisa do Estado de Minas Gerais (FAPEMIG)); INCT Criosfera; PROANTAR; NERC(UK Research &amp; Innovation (UKRI)Natural Environment Research Council (NERC)); British Antarctic Survey's 'Biodiversity, Evolution and Adaptation'</t>
  </si>
  <si>
    <t>This study received financial support from CNPq, CAPES, FNDCT, FAPEMIG, INCT Criosfera, PROANTAR. P. Convey is supported by NERC core funding of the British Antarctic Survey's 'Biodiversity, Evolution and Adaptation' Team. We thank Instituto Antartico Argentino for logistical and financial support for the field campaign in Antarctica during the 2020/21 austral summer and Lagos Group Team for their help in the field.</t>
  </si>
  <si>
    <t>10.3390/biology12020275</t>
  </si>
  <si>
    <t>9H5KZ</t>
  </si>
  <si>
    <t>WOS:000938872900001</t>
  </si>
  <si>
    <t>Villalón, A; Muñoz, C; Muñoz, J; Rivera, M</t>
  </si>
  <si>
    <t>Villalon, Ariel; Munoz, Carlos; Munoz, Javier; Rivera, Marco</t>
  </si>
  <si>
    <t>Fixed-Switching-Frequency Modulated Model Predictive Control for Islanded AC Microgrid Applications</t>
  </si>
  <si>
    <t>MATHEMATICS</t>
  </si>
  <si>
    <t>AC microgrid; fixed-switching-frequency modulated model predictive control; voltage source inverter; power sharing; droop control</t>
  </si>
  <si>
    <t>CURRENT CONTROL STRATEGY; VOLTAGE CONTROL; INVERTERS; OPERATION</t>
  </si>
  <si>
    <t>In this paper, a fixed-switching-frequency modulated model predictive control ((MPC)-P-2) is established for a two-level three-phase voltage source inverter (VSI) working in an islanded AC microgrid. These small-scale power systems are composed by two or more VSIs which interface DGs, controlling the voltage amplitude and frequency in the system, and simultaneously sharing the load active and reactive power. Generally, these operational characteristics are achieved using hierarchical linear control loops, but with challenging limitations such as slow transient reaction to disturbances and high proneness to be affected by parameter modifications. Model predictive control may solve these issues. Nevertheless, the most used and developed predictive control scheme, the finite-set model predictive control (FS-MPC), presents the drawback of having the harmonic spectrum spread over all the frequencies. This brings issues with coupling between the different hierarchical control levels of the whole microgrid system, and eventually, when designing the filters for main-grid connection. This paper aims to solve these issues by developing the fixed-switching-frequency (MPC)-P-2 working with higher-level control loops for operation in an islanded AC microgrid. These advantages are proved in an AC microgrid configuration where methodology for paralleling multiple (MPC)-P-2-regulated VSIs is described, with rapid transient response, inherent stability, and fully decentralised operation of individual VSIs, achieving proper load power sharing, eliminating circular currents, and proper waveforms for output currents and capacitor voltages. All these achievements have been confirmed via simulation and experimental verification.</t>
  </si>
  <si>
    <t>[Villalon, Ariel] Univ Talca, Fac Engn, Engn Syst Doctoral Program, Campus Curico, Curico 3344158, Chile; [Munoz, Carlos; Munoz, Javier; Rivera, Marco] Univ Talca, Fac Engn, Dept Elect Engn, Campus Curico, Curico 3344158, Chile; [Munoz, Carlos] Univ Jaen, Dept Ingn Elect, Campus Lagunillas S-N,Bldg A3, Jaen 23071, Spain</t>
  </si>
  <si>
    <t>Universidad de Talca; Universidad de Talca; Universidad de Jaen</t>
  </si>
  <si>
    <t>Villalón, A (corresponding author), Univ Talca, Fac Engn, Engn Syst Doctoral Program, Campus Curico, Curico 3344158, Chile.;Muñoz, J (corresponding author), Univ Talca, Fac Engn, Dept Elect Engn, Campus Curico, Curico 3344158, Chile.</t>
  </si>
  <si>
    <t>avillalon@utalca.cl</t>
  </si>
  <si>
    <t>Munoz, Carlos/0009-0002-0516-0698; Villalon, Ariel/0000-0002-8061-7777; Munoz, Javier/0000-0003-1508-5281; Rivera, Marco/0000-0002-4353-2088</t>
  </si>
  <si>
    <t>CONICYT [PFCHA/Doctorado Becas Chile/2019-2119025]; Agencia Nacional de Investigacion y Desarrollo (ANID) FONDECYT Regular grant [1191028]; Centre for Multidisciplinary Research on Smart and Sustainable Energy Technologies for Sub-Antarctic Regions under Climate Crisis [ANID/ATE220023]</t>
  </si>
  <si>
    <t>CONICYT(Comision Nacional de Investigacion Cientifica y Tecnologica (CONICYT)); Agencia Nacional de Investigacion y Desarrollo (ANID) FONDECYT Regular grant; Centre for Multidisciplinary Research on Smart and Sustainable Energy Technologies for Sub-Antarctic Regions under Climate Crisis</t>
  </si>
  <si>
    <t>This research was funded by CONICYT PFCHA/Doctorado Becas Chile/2019-2119025 and the Agencia Nacional de Investigacion y Desarrollo (ANID) FONDECYT Regular grant number 1191028. The work was also supported by Centre for Multidisciplinary Research on Smart and Sustainable Energy Technologies for Sub-Antarctic Regions under Climate Crisis ANID/ATE220023.</t>
  </si>
  <si>
    <t>2227-7390</t>
  </si>
  <si>
    <t>MATHEMATICS-BASEL</t>
  </si>
  <si>
    <t>10.3390/math11030672</t>
  </si>
  <si>
    <t>8Y7ZR</t>
  </si>
  <si>
    <t>WOS:000932913600001</t>
  </si>
  <si>
    <t>Pal, S; Hobara, Y; Shvets, A; Schnoor, PW; Hayakawa, M; Koloskov, O</t>
  </si>
  <si>
    <t>Pal, Sujay; Hobara, Yasuhide; Shvets, Alexander; Schnoor, Peter Wilhelm; Hayakawa, Masashi; Koloskov, Oleksandr</t>
  </si>
  <si>
    <t>First Detection of Global Ionospheric Disturbances Associated with the Most Powerful Gamma Ray Burst GRB221009A</t>
  </si>
  <si>
    <t>GRB221009A; Brightest Gamma Ray Burst; Global Ionospheric Disturbance; VLF; LF radio signals</t>
  </si>
  <si>
    <t>GEOMAGNETIC STORM; VLF; SIMULATION; MAGNETAR</t>
  </si>
  <si>
    <t>We present the first report of global ionospheric disturbances due to the most powerful Gamma Ray Burst GRB221009A occurred on 9 October 2022. Very Low Frequency (VLF) and Low Frequency (LF) sub-ionospheric radio signals are used to diagnose the effect of the GRB on the lower ionosphere. Both daytime and nighttime effects are analyzed in VLF and LF bands. The magnitude of VLF signal perturbations varied with the propagation condition (day/night), path length, and frequency of the signal. The recovery times for the VLF/LF signals to get back to their pre-GRB levels varied from 2-60 min. Radio signals reflected from the E-region ionosphere for nighttime VLF signals and daytime LF signals showed greater effects compared to the daytime VLF signals reflected from the lower parts of the D-region.</t>
  </si>
  <si>
    <t>[Pal, Sujay] Srikrishna Coll, Dept Phys, Bagula 741502, India; [Hobara, Yasuhide] Univ Electrocommun UEC, Grad Sch Informat &amp; Engn, Tokyo 1828585, Japan; [Hobara, Yasuhide] UEC, Ctr Space Sci &amp; Radio Engn, Tokyo 1828585, Japan; [Hobara, Yasuhide; Shvets, Alexander] UEC, Res Ctr Realizing Sustainable Soc, 1-5-1 Chofugaoka, Tokyo 1828585, Japan; [Schnoor, Peter Wilhelm] Kiel Long Wave Monitor, D-24159 Kiel, Germany; [Hayakawa, Masashi] Hayakawa Inst Seismo Electromagnet Co Ltd Hi SEM, UEC Alliance Ctr, Tokyo 1828585, Japan; [Hayakawa, Masashi] UEC, Adv &amp; Wireless Commun Res Ctr, Tokyo 1828585, Japan; [Koloskov, Oleksandr] Univ New Brunswick, Dept Phys, Fredericton, NB E3B 5A3, Canada; [Koloskov, Oleksandr] Minist Educ &amp; Sci Ukraine, State Inst Natl Antarctic Sci Ctr, UA-01601 Kiev, Ukraine; [Koloskov, Oleksandr] Natl Acad Sci Ukraine, Inst Radio Astron, UA-61002 Kharkiv, Ukraine</t>
  </si>
  <si>
    <t>University of Electro-Communications - Japan; University of Electro-Communications - Japan; University of Electro-Communications - Japan; University of Electro-Communications - Japan; University of New Brunswick; Ministry of Education &amp; Science of Ukraine; State Institution National Antarctic Scientific Center; National Academy of Sciences Ukraine; Institute of Radio Astronomy of the National Academy of Sciences of Ukraine</t>
  </si>
  <si>
    <t>Hobara, Y (corresponding author), Univ Electrocommun UEC, Grad Sch Informat &amp; Engn, Tokyo 1828585, Japan.;Hobara, Y (corresponding author), UEC, Ctr Space Sci &amp; Radio Engn, Tokyo 1828585, Japan.;Hobara, Y (corresponding author), UEC, Res Ctr Realizing Sustainable Soc, 1-5-1 Chofugaoka, Tokyo 1828585, Japan.</t>
  </si>
  <si>
    <t>hobara@ee.uec.ac.jp</t>
  </si>
  <si>
    <t>Koloskov, Oleksandr/ABB-4631-2020</t>
  </si>
  <si>
    <t>Koloskov, Oleksandr/0000-0001-8921-3851; Pal, Sujay/0000-0003-1742-9535</t>
  </si>
  <si>
    <t>Science and Engineering Research Board (SERB), India [SIR/2022/000586]; State Institution National Antarctic Research Center; Nippon Foundation; University of Electro-Communications</t>
  </si>
  <si>
    <t>Science and Engineering Research Board (SERB), India(Department of Science &amp; Technology (India)Science Engineering Research Board (SERB), India); State Institution National Antarctic Research Center; Nippon Foundation(Nippon Foundation); University of Electro-Communications</t>
  </si>
  <si>
    <t>Authors acknowledge the ESA's Solar Orbiter mission for the STIX data usedin the paper. The authors also acknowledge the staff/scientists/researchers associated with the Supersid network for producing the VLF data. S. Pal acknowledges the support from the Science and Engineering Research Board (SERB), India through the SIRE Fellowship SIR/2022/000586. S.Pal is also grateful to Hobara for hosting him during the SIRE fellowship duration at the University of Electro Communications. A.S. expresses gratitude to Yuri Yampolsky for the idea of VLF measurements at the Ukrainian station Akademik Vernadsky and the State Institution National Antarctic Research Center for supporting and providing such measurements. A.S. is also grateful to the Nippon Foundation, the University of Electro-Communications for their support of his stay and the opportunity to continue his work in Japan. Y.H. also thanks M. Iijima and T. Eguchi for helping UEC's VLF observations in YMG and NSB.</t>
  </si>
  <si>
    <t>10.3390/atmos14020217</t>
  </si>
  <si>
    <t>9H3IP</t>
  </si>
  <si>
    <t>WOS:000938729000001</t>
  </si>
  <si>
    <t>Vargas, CA; Caneva, A; Solano, JM; Gulisano, AM; Villalobos, J</t>
  </si>
  <si>
    <t>Vargas, Carlos A.; Caneva, Alexander; Solano, Juan M.; Gulisano, Adriana M.; Villalobos, Jaime</t>
  </si>
  <si>
    <t>Evidencing Fluid Migration of the Crust during the Seismic Swarm by Using 1D Magnetotelluric Monitoring</t>
  </si>
  <si>
    <t>apparent resistivity; earthquakes; magnetotellurics; electromagnetic anomalies; Antarctic Peninsula; Seymour-Marambio Island; Orca submarine volcano</t>
  </si>
  <si>
    <t>MAGNETIC-FIELD MEASUREMENTS; FRACTAL ANALYSIS; GUAM EARTHQUAKE; PRECURSORS; PREDICTION; DISTURBANCES; EMISSIONS; SIGNALS; TIME; ANTARCTICA</t>
  </si>
  <si>
    <t>We applied multi-temporal 1D magnetotelluric (MT) surveys to identify space-time anomalies of apparent resistivity (rho(a)) in the upper lithosphere in the Antarctic Peninsula (the border between the Antarctic and the Shetland plates). We used time series over several weeks of the natural Earth's electric and magnetic fields registered at one MT station of the Universidad Nacional de Colombia (RSUNAL) located at Seymour-Marambio Island, Antarctica. We associated resistivity anomalies with contrasting earthquake activity. Anomalies of rho a were detected almost simultaneously with the beginning of a seismic crisis in the Bransfield Strait, south of King George Island (approximately 85.000 events were reported close to the Orca submarine volcano, with focal depths &lt; 20 km and M-WW &lt; 6.9). We explained the origin of these anomalies in response to fluid migration near the place of the fractures linked with the seismic swarm, which could promote disturbances of the pore pressure field that reached some hundreds of km away.</t>
  </si>
  <si>
    <t>[Vargas, Carlos A.; Caneva, Alexander; Solano, Juan M.] Univ Nacl Colombia, Dept Geosci, Bogota 111321, Colombia; [Gulisano, Adriana M.] Inst Antartico Argentino, Direcc Nacl Antartico, B1650HMK, Buenos Aires, Argentina; [Gulisano, Adriana M.] Univ Buenos Aires, Inst Astron &amp; Fis Espacio, CONICET, C1053ABH, Buenos Aires, Argentina; [Gulisano, Adriana M.] Univ Buenos Aires, Fac Ciencias Exactas &amp; Nat, Dept Fis, C1053ABH, Buenos Aires, Argentina; [Villalobos, Jaime] Univ Nacl Colombia, Dept Phys, Bogota 111321, Colombia</t>
  </si>
  <si>
    <t>Universidad Nacional de Colombia; Instituto Antartico Argentino; Instituto de Astronomia y Fisica del Espacio (IAFE); Consejo Nacional de Investigaciones Cientificas y Tecnicas (CONICET); University of Buenos Aires; University of Buenos Aires; Universidad Nacional de Colombia</t>
  </si>
  <si>
    <t>Caneva, A (corresponding author), Univ Nacl Colombia, Dept Geosci, Bogota 111321, Colombia.</t>
  </si>
  <si>
    <t>acanevar@unal.edu.co</t>
  </si>
  <si>
    <t>Vargas, Carlos A./AAF-4520-2020; Gulisano, AM/HTQ-2717-2023; Gulisano, Adriana M./AAD-9554-2021</t>
  </si>
  <si>
    <t>Vargas, Carlos A./0000-0002-5027-9519; Gulisano, Adriana M./0000-0002-2234-4432</t>
  </si>
  <si>
    <t>10.3390/app13042683</t>
  </si>
  <si>
    <t>9H4PC</t>
  </si>
  <si>
    <t>WOS:000938814100001</t>
  </si>
  <si>
    <t>Wang, JY; Xu, GJ; Chen, LQ; Chen, K</t>
  </si>
  <si>
    <t>Wang, Jiayu; Xu, Guojie; Chen, Liqi; Chen, Kui</t>
  </si>
  <si>
    <t>Atmospheric Particle Number Concentrations and New Particle Formation over the Southern Ocean and Antarctica: A Critical Review</t>
  </si>
  <si>
    <t>Southern Ocean; Antarctica; number concentration; size distribution; new particle formation</t>
  </si>
  <si>
    <t>CONDENSATION NUCLEI CCN; KING SEJONG STATION; SIZE DISTRIBUTIONS; BOUNDARY-LAYER; FORMATION MECHANISMS; SEASONAL-VARIATIONS; FORMATION EVENTS; SULFURIC-ACID; FORMATION NPF; GROWTH-RATE</t>
  </si>
  <si>
    <t>The Southern Ocean (SO) and Antarctica play important roles in the global climate. The new particle formation (NPF) alters the availability of cloud condensation nuclei (CCN), leading to impacts on the cloud reflectance and global radiative budget. In this review, we introduce the common instruments for measuring particle number concentration (PNC) and particle number size distribution (PNSD). Based on the observations over the Antarctic and some Antarctic research stations, we explored spatial and temporal characteristics of PNCs and PNSDs. From the SO to the interior of the Antarctic, the total PNCs show a decreasing trend, and the total PNCs present an obvious seasonal cycle, with the low concentration in winter (June-August) and the high concentration in summer (December-February). By summarizing the research progress over the SO and Antarctica, we discuss possible precursors of the NPF: sulfuric acid (H2SO4, SA), methanesulfonic acid (CH3S(O)(2)OH, MSA), dimethyl sulfide ((CH3)(2)S, DMS), iodic acid (HIO3, IA), iodous acid (HIO2), ammonia (NH3), dimethylamine ((CH3)(2)NH, DMA), highly oxygenated organic molecules (HOMs) and other organics with low vapor pressure. We also explore several possible nucleation mechanisms: ion-induced nucleation of H2SO4 and NH3, H2SO4-amines, H2SO4-DMA-H2O, H2SO4-MSA-DMA, IA-MSA, IA-DMA, heterogeneous IA-organics nucleation mechanisms and environmental conditions required for the NPF. NPF is one of the main sources of CCN in the remote marine boundary layer, such as the SO and Antarctica. Thus, we discuss the contribution of NPF to CCN and the indirect impacts of NPF on climate. Through this review, we could better understand the PNC and NPF over the SO and Antarctica and their impacts on the global climate.</t>
  </si>
  <si>
    <t>[Wang, Jiayu; Xu, Guojie] Nanjing Univ Informat Sci &amp; Technol, Key Lab Aerosol Cloud Precipitat, China Meteorol Adm, Nanjing 210044, Peoples R China; [Chen, Liqi] Jimei Univ, Polar &amp; Marine Res Inst, Coll Harbor &amp; Coastal Engn, Xiamen 361021, Peoples R China; [Chen, Kui] Nanjing Univ Informat Sci &amp; Technol, Emergency Management Sch, Nanjing 210044, Peoples R China</t>
  </si>
  <si>
    <t>Nanjing University of Information Science &amp; Technology; China Meteorological Administration; Jimei University; Nanjing University of Information Science &amp; Technology</t>
  </si>
  <si>
    <t>Xu, GJ (corresponding author), Nanjing Univ Informat Sci &amp; Technol, Key Lab Aerosol Cloud Precipitat, China Meteorol Adm, Nanjing 210044, Peoples R China.</t>
  </si>
  <si>
    <t>guojiexu@nuist.edu.cn</t>
  </si>
  <si>
    <t>Xu, Guojie/E-8772-2012</t>
  </si>
  <si>
    <t>Chen, Kui/0000-0002-4092-297X</t>
  </si>
  <si>
    <t>National Natural Science Foundation of China [42006190]; Key Laboratory of Global Change and Marine-Atmospheric Chemistry; Ministry of Natural Resources (MNR) [GCMAC1811]; Chinese Projects for Investigations and Assessments of the Arctic and Antarctic [CHINARE2010-2020]; Chinese International Cooperation Projects from the Ministry of Science and Technology (MOST) [2009DFA22920]</t>
  </si>
  <si>
    <t>National Natural Science Foundation of China(National Natural Science Foundation of China (NSFC)); Key Laboratory of Global Change and Marine-Atmospheric Chemistry; Ministry of Natural Resources (MNR); Chinese Projects for Investigations and Assessments of the Arctic and Antarctic; Chinese International Cooperation Projects from the Ministry of Science and Technology (MOST)</t>
  </si>
  <si>
    <t>The authors gratefully acknowledge the National Natural Science Foundation of China (Grant nos. 42006190); the open fund by the Key Laboratory of Global Change and Marine-Atmospheric Chemistry, Ministry of Natural Resources (MNR) (Grant nos. GCMAC1811); the Chinese Projects for Investigations and Assessments of the Arctic and Antarctic (Grant nos. CHINARE2010-2020) and Chinese International Cooperation Projects (Grant nos. 2009DFA22920) from the Ministry of Science and Technology (MOST).</t>
  </si>
  <si>
    <t>10.3390/atmos14020402</t>
  </si>
  <si>
    <t>9H3TQ</t>
  </si>
  <si>
    <t>WOS:000938757800001</t>
  </si>
  <si>
    <t>Kwok, CF; Qian, GQ; Kuleshov, Y</t>
  </si>
  <si>
    <t>Kwok, Chun-Fung; Qian, Guoqi; Kuleshov, Yuriy</t>
  </si>
  <si>
    <t>Analyzing Error Bounds for Seasonal-Trend Decomposition of Antarctica Temperature Time Series Involving Missing Data</t>
  </si>
  <si>
    <t>imputation; local polynomial regression; smoothing; time series; trend extraction</t>
  </si>
  <si>
    <t>EMPIRICAL MODE DECOMPOSITION; SINGULAR SPECTRUM ANALYSIS; MULTIPLE IMPUTATION; REGRESSION; FILTER; ICE</t>
  </si>
  <si>
    <t>In this paper, we study the problem of extracting trends from time series data involving missing values. In particular, we investigate a general class of procedures that impute the missing data and then extract trends using seasonal-trend decomposition based on loess (STL), where loess stands for locally weighted smoothing, a popular tool for describing the regression relationship between two variables by a smooth curve. We refer to them as the imputation-STL procedures. Two results are obtained in this paper. First, we settle a theoretical issue, namely the connection between imputation error and the overall error from estimating the trend. Specifically, we derive the bounds for the overall error in terms of the imputation error. This subsequently facilitates the error analysis of any imputation-STL procedure and justifies its use in practice. Second, we investigate loess-STL, a particular imputation-STL procedure with the imputation also being performed using loess. Through both theoretical arguments and simulation results, we show that loess-STL has the capacity of handling a high proportion of missing data and providing reliable trend estimates if the underlying trend is smooth and the missing data are dispersed over the time series. In addition to mathematical derivations and simulation study, we apply our loess-STL procedure to profile radiosonde records of upper air temperature at 22 Antarctic research stations covering the past 50 years. For purpose of illustration, we present in this paper only the results for Novolazaravskaja station which has temperature records with more than 8.4% dispersed missing values at 8 pressure levels from October/1969 to March/2011.</t>
  </si>
  <si>
    <t>[Kwok, Chun-Fung; Qian, Guoqi] Univ Melbourne, Sch Math &amp; Stat, Parkville, Vic 3010, Australia; [Kuleshov, Yuriy] Bur Meteorol, Docklands, Vic 3008, Australia; [Kuleshov, Yuriy] Royal Melbourne Inst Technol RMIT Univ, SPACE Res Ctr, Sch Sci, Melbourne, Vic 3000, Australia</t>
  </si>
  <si>
    <t>University of Melbourne; Bureau of Meteorology - Australia; Royal Melbourne Institute of Technology (RMIT); Melbourne Genomics Health Alliance</t>
  </si>
  <si>
    <t>Qian, GQ (corresponding author), Univ Melbourne, Sch Math &amp; Stat, Parkville, Vic 3010, Australia.</t>
  </si>
  <si>
    <t>qguoqi@unimelb.edu.au</t>
  </si>
  <si>
    <t>Kwok, Chun Fung/JKI-2057-2023; Qian, Guoqi/AAB-3953-2022</t>
  </si>
  <si>
    <t>Kwok, Chun Fung/0000-0002-0716-3879; Qian, Guoqi/0000-0003-3818-0564</t>
  </si>
  <si>
    <t>10.3390/atmos14020193</t>
  </si>
  <si>
    <t>9G5UH</t>
  </si>
  <si>
    <t>WOS:000938216900001</t>
  </si>
  <si>
    <t>Beltrán-Sanz, N; Raggio, J; Pintado, A; Dal Grande, F; Sancho, LG</t>
  </si>
  <si>
    <t>Beltran-Sanz, Nuria; Raggio, Jose; Pintado, Ana; Dal Grande, Francesco; Sancho, Leopoldo Garcia</t>
  </si>
  <si>
    <t>Physiological Plasticity as a Strategy to Cope with Harsh Climatic Conditions: Ecophysiological Meta-Analysis of the Cosmopolitan Moss Ceratodon purpureus in the Southern Hemisphere</t>
  </si>
  <si>
    <t>photosynthesis; CO2 exchange; climate; tundra; drylands; Antarctica; bryophytes; cryptogams</t>
  </si>
  <si>
    <t>BIOLOGICAL SOIL CRUST; CHLOROPLAST STRUCTURE; CO2 FIXATION; CONTINUOUS LIGHT; THERMAL-ACCLIMATION; CHLOROPHYLL CONTENT; PLANT RESPIRATION; DARK RESPIRATION; MEMBRANE-LIPIDS; ANTARCTIC MOSS</t>
  </si>
  <si>
    <t>Determining the physiological tolerance ranges of species is necessary to comprehend the limits of their responsiveness under strong abiotic pressures. For this purpose, the cosmopolitan moss Ceratodon purpureus (Hedw.) Brid. is a good model due to its wide geographical distribution throughout different biomes and habitats. In order to disentangle how this species copes with stresses such as extreme temperatures and high radiation, we designed a meta-analysis by including the main photosynthetic traits obtained by gas exchange measurements in three contrasting habitats from the Southern Hemisphere. Our findings highlight that traits such as respiration homeostasis, modulation of the photosynthetic efficiency, adjustment of the optimal temperature, and switching between shade and sun-adapted forms, which are crucial in determining the responsiveness of this species. In fact, these ecophysiological traits are in concordance with the climatic particularities of each habitat. Furthermore, the photosynthetic trends found in our study point out how different Livingston Island (Maritime Antarctica) and Granite Harbour (Continental Antarctica) are for plant life, while the population from the Succulent Karoo Desert (South Africa) shares traits with both Antarctic regions. Altogether, the study highlights the high resilience of C. purpureus under abrupt climate changes and opens new perspectives about the wide spectrum of physiological responses of cryptogams to cope with climate change scenarios.</t>
  </si>
  <si>
    <t>[Beltran-Sanz, Nuria; Raggio, Jose; Pintado, Ana; Sancho, Leopoldo Garcia] Univ Complutense Madrid, Dept Pharmacol Pharmacognosy &amp; Bot, Madrid 28040, Spain; [Dal Grande, Francesco] Univ Padua, Dept Biol, I-35121 Padua, Italy</t>
  </si>
  <si>
    <t>Complutense University of Madrid; University of Padua</t>
  </si>
  <si>
    <t>Beltrán-Sanz, N (corresponding author), Univ Complutense Madrid, Dept Pharmacol Pharmacognosy &amp; Bot, Madrid 28040, Spain.</t>
  </si>
  <si>
    <t>nbeltran@ucm.es</t>
  </si>
  <si>
    <t>SANCHO, LEOPOLDO G/G-9120-2015; Raggio, Jose/H-4167-2015; Dal Grande, Francesco/K-1914-2016</t>
  </si>
  <si>
    <t>Dal Grande, Francesco/0000-0002-1865-6281</t>
  </si>
  <si>
    <t>Spanish Ministry of Science and Innovation [CIM2015-64728-C2-1-R, PID2019-105469RB-C21]</t>
  </si>
  <si>
    <t>Spanish Ministry of Science and Innovation(Spanish Government)</t>
  </si>
  <si>
    <t>This research was funded by the projects CIM2015-64728-C2-1-R and PID2019-105469RB-C21 from the Spanish Ministry of Science and Innovation. Project Director L.G.S.</t>
  </si>
  <si>
    <t>10.3390/plants12030499</t>
  </si>
  <si>
    <t>8U1JD</t>
  </si>
  <si>
    <t>WOS:000929706800001</t>
  </si>
  <si>
    <t>Nsangue, BTN; Tang, H; Zhang, J; Liu, W; Xu, LX; Hu, FX</t>
  </si>
  <si>
    <t>Nsangue, Bruno Thierry Nyatchouba; Tang, Hao; Zhang, Jian; Liu, Wei; Xu, Liuxiong; Hu, Fuxiang</t>
  </si>
  <si>
    <t>Experimental Analysis of the Influence of Gear Design and Catch Weight on the Fluid-Structure Interaction of a Flexible Codend Structure Used in Trawl Fisheries</t>
  </si>
  <si>
    <t>codend structure; Antarctic krill fisheries; energy efficiency; fluttering motions; flow field</t>
  </si>
  <si>
    <t>TURBULENT-FLOW; BOTTOM TRAWL; PERFORMANCE; BEHAVIOR; DENSITY; MOTION; DRAG; TILT; SIZE</t>
  </si>
  <si>
    <t>This study evaluated the behavior of different codend designs to provide the basic information that is relevant for improving the gear selectivity, energy efficiency, to better understand the fish behavior inside the codend, and prevent the probability of the fish escaping. Three different codends were designed from the standard codend commonly used in the Antarctic krill fisheries based on modified Tauti's law and evaluated. The first and the third codends were designed with four-panel and two-panel nettings, respectively, both made of diamond meshes. While, the second one was a four-panel diamond mesh design with cutting ratio 4:1(N [NBNBN]16). We measured the drag force, codend shape, fluttering codend motions, and the flow field inside and behind the different codends composed of different catch weights under various flow velocities in flume tank. The power spectra density was undertaken to analyze the time evolution of measured parameters. The results showed that the drag force and the codend motion increased and decreased, respectively, with the number of net panels and the cutting ratio. Due to the catch weight and flow velocity, which caused significant codend motions and deformation, a complex interaction occurred between the fluid and the structure, and there was a strong correlation between the codend drag, the codend motions, and the turbulent flow inside and behind the codend. The study showed that the use of the four-panel codend with cutting ratio and the two-panel codend resulted in drag reductions of 6.07% and 6.41%, respectively, compared to the standard codend. The velocity reduction and turbulent kinetic energy were lower inside and behind the four-panel codend than inside and behind the two-panel codend, indicating that turbulent flow through the two-panel codend is more important than through the four-panel codend. The results of the power spectral density analysis showed that the drag and codend motions were mainly low frequency in all codends, with another component related to turbulent flow street. In addition, the two-panel codend showed more unstable behavior with more pendulum motion compared to the four-panel codends, resulting in a smaller mesh size in this codend that could affect swimming energy and thus influence fish escape, making it the least selective codend. The results of this study provide fundamental insights useful for understanding and improving the hydrodynamic performance and selectivity of trawls in the Antarctic krill fishery, especially to reveal the masking effects of the number of net panels on codend design.</t>
  </si>
  <si>
    <t>[Nsangue, Bruno Thierry Nyatchouba; Tang, Hao; Zhang, Jian; Liu, Wei; Xu, Liuxiong] Shanghai Ocean Univ, Coll Marine Sci, Shanghai 201306, Peoples R China; [Nsangue, Bruno Thierry Nyatchouba; Tang, Hao; Zhang, Jian; Xu, Liuxiong] Natl Engn Res Ctr Ocean Fisheries, Shanghai 201306, Peoples R China; [Nsangue, Bruno Thierry Nyatchouba; Tang, Hao; Zhang, Jian; Xu, Liuxiong] Minist Agr &amp; Rural Affairs, Key Lab Ocean Fisheries Explorat, Shanghai 201306, Peoples R China; [Nsangue, Bruno Thierry Nyatchouba; Tang, Hao; Zhang, Jian; Xu, Liuxiong] Shanghai Ocean Univ, Minist Educ, Key Lab Sustainable Exploitat Ocean Fisheries Reso, Shanghai 201306, Peoples R China; [Nsangue, Bruno Thierry Nyatchouba; Tang, Hao; Zhang, Jian; Xu, Liuxiong] Shanghai Ocean Univ, Ctr Polar Res, Shanghai 201306, Peoples R China; [Hu, Fuxiang] Tokyo Univ Marine Sci &amp; Technol, Dept Marine Biosci, Tokyo 1088477, Japan</t>
  </si>
  <si>
    <t>Shanghai Ocean University; National Engineering Research Center for Oceanic Fisheries; Ministry of Agriculture &amp; Rural Affairs; Shanghai Ocean University; Shanghai Ocean University; Tokyo University of Marine Science &amp; Technology</t>
  </si>
  <si>
    <t>Tang, H; Zhang, J (corresponding author), Shanghai Ocean Univ, Coll Marine Sci, Shanghai 201306, Peoples R China.;Tang, H; Zhang, J (corresponding author), Natl Engn Res Ctr Ocean Fisheries, Shanghai 201306, Peoples R China.;Tang, H; Zhang, J (corresponding author), Minist Agr &amp; Rural Affairs, Key Lab Ocean Fisheries Explorat, Shanghai 201306, Peoples R China.;Tang, H; Zhang, J (corresponding author), Shanghai Ocean Univ, Minist Educ, Key Lab Sustainable Exploitat Ocean Fisheries Reso, Shanghai 201306, Peoples R China.;Tang, H; Zhang, J (corresponding author), Shanghai Ocean Univ, Ctr Polar Res, Shanghai 201306, Peoples R China.</t>
  </si>
  <si>
    <t>htang@shou.edu.cn; j-zhang@shou.edu.cn</t>
  </si>
  <si>
    <t>xu, liu/KCL-1154-2024</t>
  </si>
  <si>
    <t>Tang, Hao/0000-0002-3393-1683; Zhang, Jian/0000-0002-6887-3049</t>
  </si>
  <si>
    <t>National Natural Science Foundation of China [31902426]; Shanghai Sailing Program [19YF1419800]; Special project for the exploitation and utilization of Antarctic biological resources of Ministry of Agriculture and Rural Affairs [D-8002-18-0097]</t>
  </si>
  <si>
    <t>National Natural Science Foundation of China(National Natural Science Foundation of China (NSFC)); Shanghai Sailing Program; Special project for the exploitation and utilization of Antarctic biological resources of Ministry of Agriculture and Rural Affairs</t>
  </si>
  <si>
    <t>This study was financially sponsored by the National Natural Science Foundation of China (Grant No. 31902426), Shanghai Sailing Program (19YF1419800), and a Special project for the exploitation and utilization of Antarctic biological resources of Ministry of Agriculture and Rural Affairs (D-8002-18-0097).</t>
  </si>
  <si>
    <t>10.3390/app13042505</t>
  </si>
  <si>
    <t>9G4TE</t>
  </si>
  <si>
    <t>WOS:000938146300001</t>
  </si>
  <si>
    <t>Zhu, JP; Xie, AH; Qin, X; Xu, B; Wang, YC</t>
  </si>
  <si>
    <t>Zhu, Jiangping; Xie, Aihong; Qin, Xiang; Xu, Bing; Wang, Yicheng</t>
  </si>
  <si>
    <t>Assessment of Antarctic Amplification Based on a Reconstruction of Near-Surface Air Temperature</t>
  </si>
  <si>
    <t>Antarctic ice sheet; temperature; Antarctic amplification; reconstruction</t>
  </si>
  <si>
    <t>POLAR AMPLIFICATION; CLIMATE-CHANGE; ARCTIC AMPLIFICATION; TRENDS; ICE</t>
  </si>
  <si>
    <t>Polar amplification has been a research focus in climate research in recent decades. However, little attention has been paid to Antarctic amplification (AnA). We have examined the variations in annual and seasonal temperature over the Antarctic Ice Sheet and its amplification based on reconstruction covering the period 2002-2018. The results show the occurrence of annual and seasonal AnA, with an AnA index greater than 1.39 with seasonal differences, and that AnA is strong in the austral winter and spring. Moreover, AnA displays regional differences, with the greatest amplification occurring in East Antarctica, with an AnA index greater than 1.51, followed by West Antarctica. AnA is always absent in the Antarctic Peninsula. In addition, amplification in East Antarctica is most conspicuous in spring, which corresponds to the obvious warming in this season; and the spring amplification signal is weakest for West Antarctica. When considering the influence of the ocean, the AnA becomes obvious, compared to when only the land is considered. Southern Annular Mode (SAM), surface pressure and westerlies work together to affect the temperature change over Antarctica and AnA; and SAM and surface pressure are highly correlated with the temperature change over East Antarctica. The picture reflects the accelerated changes in Antarctic temperature.</t>
  </si>
  <si>
    <t>[Zhu, Jiangping; Xie, Aihong; Qin, Xiang] Chinese Acad Sci, Northwest Inst Ecoenvironm &amp; Resources, State Key Lab Cryospher Sci, Lanzhou 730000, Peoples R China; [Zhu, Jiangping] Univ Chinese Acad Sci, Beijing 100049, Peoples R China; [Xu, Bing] Weather Modificat Off Liaoning Prov, Shenyang 110000, Peoples R China; [Wang, Yicheng] Lanzhou Cent Meteorol Observ, Lanzhou 730000, Peoples R China</t>
  </si>
  <si>
    <t>xieaih@lzb.ac.cn</t>
  </si>
  <si>
    <t>zhu, jiangping/0000-0003-0660-2443</t>
  </si>
  <si>
    <t>This research was funded by the National Natural Science Foundation of China, grant number 42276260 and 41671073, and the 2021 technical support talent project of the Chinese Academy of Sciences.</t>
  </si>
  <si>
    <t>10.3390/atmos14020218</t>
  </si>
  <si>
    <t>9H4QI</t>
  </si>
  <si>
    <t>WOS:000938817400001</t>
  </si>
  <si>
    <t>Liu, HH; Peng, DM; Yang, HJ; Mu, YT; Zhu, YG</t>
  </si>
  <si>
    <t>Liu, Honghong; Peng, Daomin; Yang, Hyun-Joo; Mu, Yongtong; Zhu, Yugui</t>
  </si>
  <si>
    <t>Exploring the evolution of sustainable fisheries development: Focusing on ecological, environmental and management issues</t>
  </si>
  <si>
    <t>ECOLOGICAL INFORMATICS</t>
  </si>
  <si>
    <t>Sustainable fisheries; Bibliometric analysis; Interactive visualization; Research evolution; Ecological and socio-economic objectives; Management</t>
  </si>
  <si>
    <t>CLIMATE-CHANGE; MARINE RESERVES; COMANAGEMENT; PATTERNS; GOVERNANCE; IMPACTS; CERTIFICATION; COOPERATION; FRAMEWORK; SYSTEMS</t>
  </si>
  <si>
    <t>Living marine resources are crucial for guaranteeing food security, meeting nutritional needs, generating employment, and solving other human challenges worldwide. Nevertheless, resource overexploitation and environmental contamination pose serious challenges to the sustainable development of fisheries (SDF). Numerous studies have been conducted in various disciplines worldwide to address these challenges. In this study, we collected 4450 journal articles from the Web of Science Core Collection database to help explain the evolution process, current state of affairs, research hotspots, and trends of research on the SDF. Using biblio-metric tools, VOSviewer, CiteSpace, and Scimago Graphica, a scientometric analysis was conducted to define the knowledge structure by visualizing the co-occurrence network, co-authorship network, co-citation network, and emergence analysis. The findings indicate that the number of publications in this field are expanding rapidly, and key events related to the SDF have influenced publication numbers. Additionally, performance analysis from the author, journal and national perspectives provides scientific information for researchers. The thematic content on the SDF has also changed to emphasize ecosystem structure and its services.</t>
  </si>
  <si>
    <t>[Liu, Honghong; Peng, Daomin; Yang, Hyun-Joo; Mu, Yongtong; Zhu, Yugui] Ocean Univ China, Fisheries Coll, Key Lab Mariculture, Minist Educ, Qingdao 266003, Peoples R China; [Zhu, Yugui] Southern Marine Sci &amp; Engn Guangdong Lab, Guangzhou 511458, Peoples R China</t>
  </si>
  <si>
    <t>Ocean University of China; Southern Marine Science &amp; Engineering Guangdong Laboratory; Southern Marine Science &amp; Engineering Guangdong Laboratory (Guangzhou)</t>
  </si>
  <si>
    <t>Mu, YT; Zhu, YG (corresponding author), Ocean Univ China, Fisheries Coll, Key Lab Mariculture, Minist Educ, Qingdao 266003, Peoples R China.</t>
  </si>
  <si>
    <t>ytmu@ouc.edu.cn; zhuyugui@ouc.edu.cn</t>
  </si>
  <si>
    <t>Peng, Daomin/0000-0003-2814-1350</t>
  </si>
  <si>
    <t>China Agriculture Research System of MOF and MARA; Chinese Arctic and Antarctic Program [JDB20210211]; Key Special Project for Introduced Talents Team of Southern Marine Science and Engineering Guangdong Laboratory (Guangzhou) [GML2019ZD0402]</t>
  </si>
  <si>
    <t>China Agriculture Research System of MOF and MARA; Chinese Arctic and Antarctic Program; Key Special Project for Introduced Talents Team of Southern Marine Science and Engineering Guangdong Laboratory (Guangzhou)</t>
  </si>
  <si>
    <t>This study was supported by China Agriculture Research System of MOF and MARA, the Chinese Arctic and Antarctic Program (JDB20210211) and the Key Special Project for Introduced Talents Team of Southern Marine Science and Engineering Guangdong Laboratory (Guangzhou) (GML2019ZD0402) .</t>
  </si>
  <si>
    <t>1574-9541</t>
  </si>
  <si>
    <t>1878-0512</t>
  </si>
  <si>
    <t>ECOL INFORM</t>
  </si>
  <si>
    <t>Ecol. Inform.</t>
  </si>
  <si>
    <t>10.1016/j.ecoinf.2023.102004</t>
  </si>
  <si>
    <t>8W0JL</t>
  </si>
  <si>
    <t>WOS:000931008700001</t>
  </si>
  <si>
    <t>Li, JL; Xu, BQ; Wang, NL; Yao, P; Xu, XK</t>
  </si>
  <si>
    <t>Li, Jiu-le; Xu, Bai-qing; Wang, Ning-lian; Yao, Ping; Xu, Xiang-ke</t>
  </si>
  <si>
    <t>Late Holocene glacier variations indicated by the δ18O of ice core enclosed gaseous oxygen in the central Tibetan Plateau</t>
  </si>
  <si>
    <t>Ice core air bubble; Stable isotope ratio; Gaseous oxygen; Glacier variation; Late Holocene; Tibetan Plateau</t>
  </si>
  <si>
    <t>ABRUPT CLIMATE-CHANGE; AIR CONTENT; MILLENNIAL-SCALE; ANTARCTIC ICE; ATMOSPHERIC METHANE; CARBON-DIOXIDE; TEMPERATURE; RECORD; FLUCTUATIONS; VARIABILITY</t>
  </si>
  <si>
    <t>The delta O-18 of ice core enclosed gaseous oxygen (delta O-18(bub)) has been widely used for climate reconstruction in polar regions. Yet, less is known about its climatic implication in the mountainous glaciers as the lack of continuous record. Here, we present a long-term, continuous delta O-18(bub) record from the Tanggula glacier in the central Tibetan Plateau (TP). Based on comparisons of its variation with regional climate and glacier changes, we found that there was a good correlation between the variation of the delta O-18(bub) in this alpine ice core and the accumulation and melting of this glacier. The more developed the firn layer on glacier surface, the more positive the delta O-18(bub). Conversely, the more intense the glacier melting, the more negative the delta O-18(bub). Combined with the chronology of ice core enclosed gases, the glacier variations since the late Holocene in the central TP were reconstructed. The result showed that there were four accumulation and three deficit periods of glaciers in this region. The strongest glacier accumulation period was 1610-300 B.C., which corresponds to the Neoglaciation. The most significant melting period was the last 100 years, which corresponds to the recent global warming. The Medieval Warm Period was relatively significant in the central TP. However, during the Little Ice Age, there was no significant glacier accumulation in the central TP, and even short deficit events occurred. Comparisons of the late Holocene glacier variation in the central TP with glacier and climate variations in the TP and the Northern Hemisphere showed that it was closely related to the North Atlantic Oscillation.</t>
  </si>
  <si>
    <t>[Li, Jiu-le; Xu, Bai-qing; Yao, Ping; Xu, Xiang-ke] Chinese Acad Sci, Inst Tibetan Plateau Res, Beijing 100101, Peoples R China; [Li, Jiu-le; Xu, Bai-qing; Xu, Xiang-ke] Chinese Acad Sci, Inst Tibetan Plateau Res, State Key Lab Tibetan Plateau Earth Syst Environm, Beijing 100101, Peoples R China; [Xu, Bai-qing; Wang, Ning-lian; Xu, Xiang-ke] Chinese Acad Sci, CAS Ctr Excellence Tibetan Plateau Earth Sci, Beijing 100101, Peoples R China; [Wang, Ning-lian] Northwest Univ, Coll Urban &amp; Environm Sci, Xian 710069, Peoples R China</t>
  </si>
  <si>
    <t>Chinese Academy of Sciences; Institute of Tibetan Plateau Research, CAS; Chinese Academy of Sciences; Institute of Tibetan Plateau Research, CAS; Chinese Academy of Sciences; Northwest University Xi'an</t>
  </si>
  <si>
    <t>Li, JL (corresponding author), Chinese Acad Sci, Inst Tibetan Plateau Res, Beijing 100101, Peoples R China.;Li, JL (corresponding author), Chinese Acad Sci, Inst Tibetan Plateau Res, State Key Lab Tibetan Plateau Earth Syst Environm, Beijing 100101, Peoples R China.</t>
  </si>
  <si>
    <t>jlli@itpcas.ac.cn; baiqing@itpcas.ac.cn; nlwang@lzb.ac.cn; yaoping@itpcas.ac.cn; xkxu@itpcas.ac.cn</t>
  </si>
  <si>
    <t>National Natural Science Foundation of China [42271312, 41201058]; Strategic Priority Research Program of Chinese Academy of Sciences [XDA20070102]; National Key R&amp;D Program of China [2018YFB1307504]; Science and Technology Program of Tibet Autonomous Region of China [XZ202101ZD0014G]</t>
  </si>
  <si>
    <t>National Natural Science Foundation of China(National Natural Science Foundation of China (NSFC)); Strategic Priority Research Program of Chinese Academy of Sciences(Chinese Academy of Sciences); National Key R&amp;D Program of China; Science and Technology Program of Tibet Autonomous Region of China</t>
  </si>
  <si>
    <t>This study was supported by the National Natural Science Foundation of China (Grant No. 42271312, 41201058), the Strategic Priority Research Program of Chinese Academy of Sciences (Grant No. XDA20070102), the National Key R&amp;D Program of China (Grant No. 2018YFB1307504) and the Science and Technology Program of Tibet Autonomous Region of China (Grant No. XZ202101ZD0014G). We thank all of the field workers for the hard work of ice core collection on the glacier. We also thank Dr. Chenglong ZHANG from Research Center for Eco-Environmental Sciences, Chinese Academy of Sciences for the help of ice core pretreatments in the cold room. Thanks are also given to Dr. Dongmei QU and Dr. Shaopeng GAO of the Institute of Tibetan Plateau Research Chinese Academy of Sciences for their help in the determination of the ice core air bubbles. Thanks also go to two anonymous reviewers and editor whose comments and suggestions have helped greatly improve the manuscript.</t>
  </si>
  <si>
    <t>10.1007/s11629-022-7705-y</t>
  </si>
  <si>
    <t>8M0CA</t>
  </si>
  <si>
    <t>WOS:000924142300003</t>
  </si>
  <si>
    <t>Patmore, RD; Holland, PR; Vreugdenhil, CA; Jenkins, A; Taylor, JR</t>
  </si>
  <si>
    <t>Patmore, Ryan D. D.; Holland, Paul R. R.; Vreugdenhil, Catherine A. A.; Jenkins, Adrian; Taylor, John R. R.</t>
  </si>
  <si>
    <t>Turbulence in the Ice Shelf-Ocean Boundary Current and Its Sensitivity to Model Resolution</t>
  </si>
  <si>
    <t>Ice shelves; Boundary currents; Shear structure; flows; Turbulence; Model comparison; Parameterization</t>
  </si>
  <si>
    <t>INSTABILITY; PARAMETERIZATION; LAYER; STABILITY; ABLATION; DRIVEN; VOLUME; BASE</t>
  </si>
  <si>
    <t>The ice shelf-ocean boundary current has an important control on heat delivery to the base of an ice shelf. Climate and regional models that include a representation of ice shelf cavities often use a coarse grid, and results have a strong dependence on resolution near the ice shelf-ocean interface. This study models the ice shelf-ocean boundary current with a nonhydrostatic z-level configuration at turbulence-permitting resolution (1 m). The z-level model performs well when compared against state-of-the-art large-eddy simulations, showing its capability in representing the correct physics. We show that theoretical results from a one-dimensional model with parameterized turbulence reproduce the z-level model results to a good degree, indicating possible utility as a turbulence closure. The one-dimensional model evolves to a state of marginal instability, and we use the z-level model to demonstrate how this is represented in three dimensions. Instabilities emerge that regulate the strength of the pycnocline and coexist with persistent Ekman rolls, which are identified prior to the flow becoming intermittently unstable. When resolution of the z-level model is degraded to understand the gridscale dependencies, the degradation is dominated by the established problem of excessive numerical diffusion. We show that at intermediate resolutions (2-4 m), the boundary layer structure can be partially recovered by tuning diffusivities. Last, we compare replacing prescribed melting with interactive melting that is dependent on the local ocean conditions. Interactive melting results in a feedback such that the system evolves more slowly, which is exaggerated at lower resolution.</t>
  </si>
  <si>
    <t>[Patmore, Ryan D. D.; Holland, Paul R. R.] British Antarctic Survey, Cambridge, England; [Patmore, Ryan D. D.] Univ Reading, Reading, England; [Vreugdenhil, Catherine A. A.] Univ Melbourne, Melbourne, Australia; [Jenkins, Adrian] Northumbria Univ, Newcastle Upon Tyne, England; [Vreugdenhil, Catherine A. A.; Taylor, John R. R.] Univ Cambridge, Cambridge, England</t>
  </si>
  <si>
    <t>UK Research &amp; Innovation (UKRI); Natural Environment Research Council (NERC); NERC British Antarctic Survey; University of Reading; University of Melbourne; Melbourne Bioinformatics; Northumbria University; University of Cambridge</t>
  </si>
  <si>
    <t>Patmore, RD (corresponding author), British Antarctic Survey, Cambridge, England.;Patmore, RD (corresponding author), Univ Reading, Reading, England.</t>
  </si>
  <si>
    <t>r.d.patmore@reading.ac.uk</t>
  </si>
  <si>
    <t>Jenkins, Adrian/0000-0002-9117-0616; Patmore, Ryan/0000-0002-5571-9229</t>
  </si>
  <si>
    <t>NERC [NE/N010027/1]; NERC [NE/N010027/1, NE/N009746/1] Funding Source: UKRI</t>
  </si>
  <si>
    <t>NERC(UK Research &amp; Innovation (UKRI)Natural Environment Research Council (NERC)); NERC(UK Research &amp; Innovation (UKRI)Natural Environment Research Council (NERC))</t>
  </si>
  <si>
    <t>The authors thank contributions from the wider ISOBL Group for continued discussion and input throughout, including Keith Nicholls, Pete Davis, Irena Vankova, Leo Middleton, Louis Couston, and Josephine Anselin. This research was funded by NERC Standard Grant NE/N010027/1.</t>
  </si>
  <si>
    <t>10.1175/JPO-D-22-0034.1</t>
  </si>
  <si>
    <t>8V3DJ</t>
  </si>
  <si>
    <t>WOS:000930514600009</t>
  </si>
  <si>
    <t>Bisits, JI; Stanley, GJ; Zika, JD</t>
  </si>
  <si>
    <t>Bisits, Josef I. I.; Stanley, Geoffrey J. J.; Zika, Jan D. D.</t>
  </si>
  <si>
    <t>Can We Accurately Quantify a Lateral Diffusivity from a Single Tracer Release?</t>
  </si>
  <si>
    <t>Isopycnal mixing; Mesoscale processes; Tracers</t>
  </si>
  <si>
    <t>EDDY DIFFUSIVITY; MESOSCALE EDDIES; OCEAN; CIRCULATION; DISSIPATION; TRANSPORTS; JETS; HEAT</t>
  </si>
  <si>
    <t>Mixing along sloping isopycnals plays a key role in the transport and uptake of heat and carbon by the ocean. This mixing is quantified by a lateral diffusivity, which can be measured by tracking the lateral spreading of point release tracer patches. We present a definition for the area of a tracer patch, the time derivative of which provides the lateral diffusivity. To accurately estimate the diffusivity, an ensemble mean concentration field of many tracer release experiments is required. We use numerical experiments to quantify how accurately the true lateral diffusivity (obtained from the ensemble mean concentration field) can be estimated from a single tracer release experiment (one ensemble member). To simulate observational campaigns, we also estimate the diffusivity from a single tracer release that is spatially and/or temporally subsampled, quantifying how the error between the estimated diffusivity and the true diffusivity grows as this sampling resolution worsens. We perform these numerical experiments in a two-layer quasigeostrophic model of turbulent flow on a beta plane, using an ensemble of 50 passive tracer release experiments, each initialized as a 2D Gaussian but with differing realizations of the turbulent flow. We find that the diffusivity estimates from the single tracer releases have a relative root-mean-square error (RMSE) of 1.43% from the true diffusivity. Subsampling a single tracer release experiment every 956 km increases the relative RMSE from the true diffusivity to 3.1%; also subsampling every 277 days raises this figure to 6.5%.</t>
  </si>
  <si>
    <t>[Bisits, Josef I. I.; Stanley, Geoffrey J. J.; Zika, Jan D. D.] Univ New South Wales, Sch Math &amp; Stat, Sydney, NSW, Australia; [Bisits, Josef I. I.; Zika, Jan D. D.] Univ New South Wales, Australian Ctr Excellence Antarctic Sci, Sydney, NSW, Australia; [Stanley, Geoffrey J. J.] Univ Victoria, Sch Earth &amp; Ocean Sci, Victoria, BC, Canada; [Zika, Jan D. D.] Univ New South Wales, Sch Math &amp; Stat, UNSW Data Sci Hub, Sydney, NSW, Australia</t>
  </si>
  <si>
    <t>University of New South Wales Sydney; University of New South Wales Sydney; University of Victoria; University of New South Wales Sydney</t>
  </si>
  <si>
    <t>Bisits, JI (corresponding author), Univ New South Wales, Sch Math &amp; Stat, Sydney, NSW, Australia.</t>
  </si>
  <si>
    <t>j.bisits@unsw.edu.au</t>
  </si>
  <si>
    <t>Bisits, Josef/0000-0002-6340-4470; Zika, Jan/0000-0003-3462-3559; Stanley, Geoffrey/0000-0003-4536-8602</t>
  </si>
  <si>
    <t>Australian Research Council [SR200100008, FL150100090, DP190101173]; Banting Postdoctoral Fellowship [180031]; Australian Research Council [SR200100008] Funding Source: Australian Research Council</t>
  </si>
  <si>
    <t>Australian Research Council(Australian Research Council); Banting Postdoctoral Fellowship; Australian Research Council(Australian Research Council)</t>
  </si>
  <si>
    <t>The authors acknowledge support from the Australian Research Council, grant numbers SR200100008 (JIB and JDZ), FL150100090 (GJS), and DP190101173 (JDZ). GJS also acknowledges support from the Banting Postdoctoral Fellowship through funding reference number 180031. We thank two anonymous reviewers for their constructive feedback, which helped improve the manuscript.</t>
  </si>
  <si>
    <t>10.1175/JPO-D-22-0145.1</t>
  </si>
  <si>
    <t>WOS:000930514600010</t>
  </si>
  <si>
    <t>Sands, CJ; Zwerschke, N; Bax, N; Barnes, DKA; Moreau, C; Downey, R; Moreno, B; Held, C; Paulsen, M</t>
  </si>
  <si>
    <t>Sands, Chester J.; Zwerschke, Nadescha; Bax, Narissa; Barnes, David K. A.; Moreau, Camille; Downey, Rachel; Moreno, Bernabe; Held, Christoph; Paulsen, Maria</t>
  </si>
  <si>
    <t>The Growing Potential of Antarctic Blue Carbon</t>
  </si>
  <si>
    <t>OCEANOGRAPHY</t>
  </si>
  <si>
    <t>[Sands, Chester J.; Barnes, David K. A.] British Antarctic Survey, Cambridge, England; [Zwerschke, Nadescha] Greenland Inst Nat Resources, Nuuk, Greenland; [Bax, Narissa] South Atlantic Environm Res Inst, Stanley, Falkland Island; [Bax, Narissa] Univ Tasmania, Inst Marine &amp; Antarctic Studies, Ctr Marine Socioecol, Hobart, Australia; [Moreau, Camille] Univ Libre Bruxelles, Brussels, Belgium; [Downey, Rachel] Australian Natl Univ, Canberra, Australia; [Moreno, Bernabe] Inst Oceanol Polish Acad Sci, Sopot, Poland; [Held, Christoph] Inst Helmholtz Ctr Polar &amp; Marine Res, Alfred Wegener, Bremerhaven, Germany; [Paulsen, Maria] Aahus Univ, Aahus, Denmark</t>
  </si>
  <si>
    <t>UK Research &amp; Innovation (UKRI); Natural Environment Research Council (NERC); NERC British Antarctic Survey; Greenland Institute of Natural Resources; University of Tasmania; Universite Libre de Bruxelles; Australian National University; Polish Academy of Sciences; Institute of Oceanology of the Polish Academy of Sciences; Helmholtz Association; Alfred Wegener Institute, Helmholtz Centre for Polar &amp; Marine Research</t>
  </si>
  <si>
    <t>Sands, CJ (corresponding author), British Antarctic Survey, Cambridge, England.</t>
  </si>
  <si>
    <t>cjsan@bas.ac.uk</t>
  </si>
  <si>
    <t>Downey, Rachel/Q-4156-2019</t>
  </si>
  <si>
    <t>Sands, Chester/0000-0003-1028-0328; Moreau, Camille/0000-0002-0981-7442; Moreno, Bernabe/0000-0002-9751-6307</t>
  </si>
  <si>
    <t>OCEANOGRAPHY SOC</t>
  </si>
  <si>
    <t>ROCKVILLE</t>
  </si>
  <si>
    <t>P.O. BOX 1931, ROCKVILLE, MD USA</t>
  </si>
  <si>
    <t>1042-8275</t>
  </si>
  <si>
    <t>S</t>
  </si>
  <si>
    <t>10.5670/oceanog.2023.s1.5</t>
  </si>
  <si>
    <t>8O0SX</t>
  </si>
  <si>
    <t>WOS:000925555200004</t>
  </si>
  <si>
    <t>Churilova, T; Moiseeva, N; Skorokhod, E; Efimova, T; Buchelnikov, A; Artemiev, V; Salyuk, P</t>
  </si>
  <si>
    <t>Churilova, Tatiana; Moiseeva, Natalia; Skorokhod, Elena; Efimova, Tatiana; Buchelnikov, Anatoly; Artemiev, Vladimir; Salyuk, Pavel</t>
  </si>
  <si>
    <t>Parameterization of Light Absorption of Phytoplankton, Non-Algal Particles and Coloured Dissolved Organic Matter in the Atlantic Region of the Southern Ocean (Austral Summer of 2020)</t>
  </si>
  <si>
    <t>chlorophyll a; light absorption; phytoplankton; non-algal particles; coloured dissolved organic matter; remote sensing; Southern Ocean</t>
  </si>
  <si>
    <t>NORTHERN ANTARCTIC PENINSULA; CHLOROPHYLL-A CONCENTRATION; BRANSFIELD STRAIT; WATERS; ALGORITHMS; PIGMENTS; COEFFICIENTS; VARIABILITY; PHOTOSYNTHESIS; FLUORESCENCE</t>
  </si>
  <si>
    <t>Climate affects the characteristics of the Southern Ocean ecosystem, including bio-optical properties. Remote sensing is a suitable approach for monitoring a rapidly changing ecosystem. Correct remote assessment can be implemented based on a regional satellite algorithm, which requires parameterization of light absorption by all optically active components. The aim of this study is to analyse variability in total chlorophyll a concentration (TChl-a), light absorption by phytoplankton, non-algal particles (NAP), coloured dissolved organic matter (CDOM), and coloured detrital matter (CDM = CDOM+NAP), to parameterize absorption by all components. Bio-optical properties were measured in the austral summer of 2020 according to NASA Protocols (2018). High variability (1-2 orders of magnitude) in TChl-a, absorption of phytoplankton, NAP, CDOM, and CDM was revealed. High variability in both CDOM absorption (uncorrelated with TChl-a) and CDOM share in total non-water absorption, resulting in a shift from phytoplankton to CDOM dominance, caused approximately twofold chlorophyll underestimation by global bio-optical algorithms. The light absorption of phytoplankton (for the visible domain in 1 nm steps), NAP, CDOM, and CDM were parametrized. Relationships between the spectral slope coefficient (S-CDOM/S-CDM) and CDOM (CDM) absorption were revealed. These results can be useful for the development of regional algorithms for Chl-a, CDM, and CDOM monitoring in the Southern Ocean.</t>
  </si>
  <si>
    <t>[Churilova, Tatiana; Moiseeva, Natalia; Skorokhod, Elena; Efimova, Tatiana; Buchelnikov, Anatoly] Russian Acad Sci, AO Kovalevsky Inst Biol Southern Seas, Sevastopol 299011, Russia; [Buchelnikov, Anatoly] Sevastopol State Univ, Lab Mol &amp; Cellular Biophys, Sevastopol 299053, Russia; [Artemiev, Vladimir] Russian Acad Sci, Shirshov Inst Oceanol, Moscow 117997, Russia; [Salyuk, Pavel] Russian Acad Sci, VI Ilichev Pacific Oceanol Inst, Far Eastern Branch, Vladivostok 690041, Russia</t>
  </si>
  <si>
    <t>Russian Academy of Sciences; AO Kovalevsky Institute of Biology of the Southern Seas of RAS (IBSS); Sevastopol State University; Russian Academy of Sciences; Shirshov Institute of Oceanology; Ilichev Pacific Oceanological Institute; Russian Academy of Sciences</t>
  </si>
  <si>
    <t>Churilova, T (corresponding author), Russian Acad Sci, AO Kovalevsky Inst Biol Southern Seas, Sevastopol 299011, Russia.</t>
  </si>
  <si>
    <t>tanya.churilova@ibss-ras.ru</t>
  </si>
  <si>
    <t>Salyuk, Pavel/E-8592-2014; Efimova, Tatiana/X-1355-2019; Skorokhod, Elena Yu./A-6831-2019; Buchelnikov, Anatoly/B-2280-2013; Churilova, Tanya/O-8437-2016</t>
  </si>
  <si>
    <t>Efimova, Tatiana/0000-0003-3908-4160; Skorokhod, Elena Yu./0000-0002-3057-3964; Buchelnikov, Anatoly/0000-0002-1853-4671; Churilova, Tanya/0000-0002-0045-7284</t>
  </si>
  <si>
    <t>10.3390/rs15030634</t>
  </si>
  <si>
    <t>8V1AA</t>
  </si>
  <si>
    <t>WOS:000930370100001</t>
  </si>
  <si>
    <t>Olivetti, V; Balestrieri, ML; Chew, D; Zurli, L; Zattin, M; Pace, D; Drakou, F; Cornamusini, G; Perotti, M</t>
  </si>
  <si>
    <t>Olivetti, Valerio; Balestrieri, Maria Laura; Chew, David; Zurli, Luca; Zattin, Massimiliano; Pace, Donato; Drakou, Foteini; Cornamusini, Gianluca; Perotti, Matteo</t>
  </si>
  <si>
    <t>Ice volume variations and provenance trends in the Oligocene-early Miocene glaciomarine sediments of the Central Ross Sea, Antarctica (DSDP Site 270)</t>
  </si>
  <si>
    <t>Provenance analysis; Apatite and zircon U-Pb dating; Antarctica; Ice-sheet evolution; Late Oligocene glacial event; DSDP Site 270</t>
  </si>
  <si>
    <t>NORTHERN VICTORIA LAND; PALEOZOIC SILICICLASTIC ROCKS; FISSION-TRACK ANALYSIS; MARIE BYRD LAND; TRANSANTARCTIC MOUNTAINS; DETRITAL ZIRCONS; GEOCHRONOLOGY; EVOLUTION; GONDWANA; MARGIN</t>
  </si>
  <si>
    <t>Since the early Oligocene, the descent into global colder conditions has led to the stepwise growth of the Ant-arctic Ice Sheets. However, ocean and air temperatures were not sufficiently cold enough to maintain a large and stable continental ice sheet and associated marine ice shelf, and therefore during the Oligocene to Miocene the glaciation waxed and waned. However there is limited geological evidence for the extent of these early glacial episodes. Here we present a multi-proxy single-grain provenance study on the glaciomarine sediments in DSDP Site 270, from the Central High in the central Ross Sea to determine the extent of such ice volume variations. The Ross Sea embayment is a key region in Antarctica for preserving geological evidence on the early glacial events, because glaciation was synchronous with continuous sea-floor subsidence and uplift of the surrounding mountain ranges. The Central High in the central Ross Sea was drilled by the DSDP project in the 1970s (Site 270) and a sequence of c. 400 m of Oligocene to lower Miocene glaciomarine sediments was recovered, underlain by a few meters of granitic talus breccia and gneissic basement rocks. The sediments evolve from a non-glacial, continental environment to a glaciomarine environment characterized by variable ice-rafted debris content and several diamictite units. Our approach combines information on crystallization ages in the source region (U-Pb detrital zircon dating), medium-and low-temperature thermochronology constraints (detrital apatite U-Pb and fission-track dating on the same grains), information on the source bedrock type (detrital apatite trace element analysis) and petrological analysis of gravel-size clasts. We provide new constraints on the ice sheet evolution since the earliest phases of glaciation, and show a transition from local to regional-scale ice sheets in the central Ross Sea region in the late Oligocene and early Miocene. In addition, our data can identify the source of sediment transported by ice streams to the central Ross Sea from different areas in the Transantarctic Mountains (TAM) and within the West Antarctic Rift System (WARS). In particular, the provenance data show the late Oligocene diamictite strata were sourced from a distant region, likely southern West Antarctica, indicating a substantial continental ice sheet already existed in the late Oligocene. These new data provide robust geological constraints for modeling of ice sheet volumes and ice drainage patterns in the late Oligocene-early Miocene.</t>
  </si>
  <si>
    <t>[Olivetti, Valerio; Zattin, Massimiliano] Univ Padua, Geosci Dept, Padua, Italy; [Balestrieri, Maria Laura] CNR, Ist Geosci &amp; Georisorse, Sede Firenze, Florence, Italy; [Chew, David; Drakou, Foteini] Univ Dublin, Trinity Coll Dublin, Dept Geol, Dublin, Ireland; [Zurli, Luca; Pace, Donato; Cornamusini, Gianluca; Perotti, Matteo] Univ Siena, Dept Phys Earth &amp; Environm Sci, Siena, Italy; [Cornamusini, Gianluca] Museo Nazl Antartide, Sez Siena, Siena, Italy</t>
  </si>
  <si>
    <t>University of Padua; Consiglio Nazionale delle Ricerche (CNR); Istituto di Geoscienze e Georisorse (IGG-CNR); Trinity College Dublin; University of Siena</t>
  </si>
  <si>
    <t>Olivetti, V (corresponding author), Univ Padua, Geosci Dept, Padua, Italy.</t>
  </si>
  <si>
    <t>valerio.olivetti@unipd.it</t>
  </si>
  <si>
    <t>Zattin, Massimiliano/A-8943-2012; Zurli, Luca/AGQ-5087-2022; Chew, David M/B-7828-2008; olivetti, valerio/IAQ-1471-2023</t>
  </si>
  <si>
    <t>Zurli, Luca/0000-0002-7669-7305; Chew, David M/0000-0002-6940-1035; Drakou, Foteini/0000-0001-6618-4541</t>
  </si>
  <si>
    <t>Italian Programma Nazionale di Ricerche in Antartide [PNRA18_00233]; Science Foundation Ireland (SFI) [13/RC/2092_P2]; Geosciences Department funding [BIRD_182501]</t>
  </si>
  <si>
    <t>Italian Programma Nazionale di Ricerche in Antartide(Ministry of Education, Universities and Research (MIUR)); Science Foundation Ireland (SFI)(Science Foundation Ireland); Geosciences Department funding</t>
  </si>
  <si>
    <t>This work is dedicated to Franco M. Talarico, who has been a good friend and constant source of inspiration for all of us. We thank Laura De Santis for helpful discussions. We are grateful to reviewers Kathy Licht, Peter Bijl and an anonymous reviewer for their very constructive comments. This work used archival Deep Sea Drilling Project (DSDP) sam-ples provided by the International Ocean Discovery Program (IODP). The research was carried out with the financial support of the Italian Programma Nazionale di Ricerche in Antartide (Grant number PNRA18_00233). DC and FD acknowledge support from a research grant from Science Foundation Ireland (SFI) under grant number 13/RC/2092_P2 (iCRAG, the SFI Research Centre in Applied Geosciences). VO and MZ were supported also by Geosciences Department funding (BIRD_182501).</t>
  </si>
  <si>
    <t>10.1016/j.gloplacha.2023.104042</t>
  </si>
  <si>
    <t>8R4NG</t>
  </si>
  <si>
    <t>WOS:000927870500001</t>
  </si>
  <si>
    <t>Andradi-Brown, DA; Veverka, L; Amkieltiela; Crane, NL; Estradivari; Fox, HE; Gill, D; Goetze, J; Gough, C; Krueck, NC; Lester, SE; Mahajan, SL; Rulmal, J; Teoh, M; Ahmadia, GN</t>
  </si>
  <si>
    <t>Andradi-Brown, Dominic A.; Veverka, Laura; Amkieltiela, Nicole L.; Crane, Nicole E.; Estradivari, David; Fox, Helen; Gill, David; Goetze, Jordan C.; Gough, Charlotte E.; Krueck, Nils L.; Lester, Sarah; Mahajan, Shauna; Rulmal Jr, John N.; Teoh, Marianne; Ahmadia, Gabby</t>
  </si>
  <si>
    <t>Diversity in marine protected area regulations: Protection approaches for locally appropriate marine management</t>
  </si>
  <si>
    <t>marine protected area (MPA); partial protection; fisheries regulation; marine management; biodiversity targets; MPA</t>
  </si>
  <si>
    <t>WAKATOBI NATIONAL-PARK; FISHERIES COMANAGEMENT; ADAPTIVE COMANAGEMENT; EQUITABLE MANAGEMENT; IMPROVING GOVERNANCE; DANGEROUS TARGETS; TRADE-OFFS; ONE SIZE; CONSERVATION; RESERVES</t>
  </si>
  <si>
    <t>Globally, marine protected area (MPA) objectives have increasingly shifted from a primary focus on maintaining ecosystems through prohibiting extractive activities, to more equitable approaches that address the needs of both people and nature. This has led to MPAs with a diverse array of fisheries restrictions and recent debate on the type of restrictions that contribute to achieving biodiversity goals. Here we use a global dataset of 172 MPAs (representing 31 nations) alongside nine detailed case study MPAs (from Australia, Belize, Cambodia, Federated States of Micronesia, Fiji, Indonesia, Madagascar, Solomon Islands, and United States of America), including partially protected areas that allow regulated fishing, to illustrate the many diverse pathways that some MPAs have adopted to protect biodiversity and safeguard the rights and well-being of resource-dependent coastal communities. We group MPAs based on their restrictions and explore four key insights emerging from these groupings using our nine case studies: (i) MPAs use highly diverse approaches to regulate fisheries; (ii) partially protected areas can address gaps in regional fisheries management; (iii) devolving resource management rights to communities influences the chosen fisheries restrictions; and (iv) state-governed MPAs can use highly tailored fisheries restrictions to increase equity in access. We find that partially protected MPAs can offer effective and equitable pathways for biodiversity conservation if tailored to local context. Rather than focusing primarily on fully protected areas for achieving new global MPA targets, we recommend countries use a blend of locally-appropriate protection levels - from fully protected areas to partially protected MPAs to achieve positive biodiversity outcomes.</t>
  </si>
  <si>
    <t>[Andradi-Brown, Dominic A.; Veverka, Laura; Ahmadia, Gabby] World Wildlife Fund, Ocean Conservat, Washington, DC 20037 USA; [Amkieltiela, Nicole L.; Estradivari, David] WWF Indonesia, Conservat Sci Unit, Jakarta, Indonesia; [Amkieltiela, Nicole L.] Yayasan Pemberdayaan Alam Desa &amp; Masyarakat Indone, Jakarta, Indonesia; [Amkieltiela, Nicole L.] Katholieke Univ Leuven, Dept Earth &amp; Environm Sci, Leuven, Belgium; [Crane, Nicole E.] Cabrillo Coll, Nat &amp; Appl Sci, Aptos, CA USA; [Crane, Nicole E.; Rulmal Jr, John N.] One People One Reef, Soquel, CA USA; [Estradivari, David] Leibniz Ctr Trop Marine Res ZMT, Ecol Dept, Bremen, Germany; [Estradivari, David] Univ Bremen, Fac Biol &amp; Chem FB2, Marine Ecol Dept, Bremen, Germany; [Fox, Helen] Coral Reef Alliance, San Francisco, CA USA; [Gill, David] Duke Univ, Marine Lab, Nicholas Sch Environm, Beaufort, NC USA; [Goetze, Jordan C.] Dept Biodivers, Marine Sci Program, Biodivers &amp; Conservat Sci, Conservat &amp; Attract, Kensington, WA, Australia; [Goetze, Jordan C.] Curtin Univ, Sch Mol &amp; Life Sci, Perth, WA, Australia; [Gough, Charlotte E.] Blue Ventures, Omnibus Business Ctr, Conservat, Level 2 Annex, London, England; [Krueck, Nils L.] Univ Tasmania, Inst Marine &amp; Antarctic Studies IMAS, Hobart, Tas, Australia; [Lester, Sarah] Florida State Univ, Dept Biol Sci, Tallahassee, FL USA; [Mahajan, Shauna] World Wildlife Fund, Global Sci, Washington, DC USA; [Teoh, Marianne] Fauna &amp; Flora Int, Phnom Penh, Cambodia</t>
  </si>
  <si>
    <t>World Wildlife Fund; World Wildlife Fund; KU Leuven; Leibniz Zentrum fur Marine Tropenforschung (ZMT); University of Bremen; Duke University; Curtin University; University of Tasmania; State University System of Florida; Florida State University; World Wildlife Fund</t>
  </si>
  <si>
    <t>Andradi-Brown, DA (corresponding author), World Wildlife Fund, Ocean Conservat, Washington, DC 20037 USA.</t>
  </si>
  <si>
    <t>dominic.andradi-brown@wwfus.org</t>
  </si>
  <si>
    <t>, Estradivari/ABI-2837-2020</t>
  </si>
  <si>
    <t>, Estradivari/0000-0002-2789-8522; Gough, Charlotte/0000-0002-5313-4868</t>
  </si>
  <si>
    <t>FEB 1</t>
  </si>
  <si>
    <t>10.3389/fmars.2023.1099579</t>
  </si>
  <si>
    <t>8X7WW</t>
  </si>
  <si>
    <t>WOS:000932221400001</t>
  </si>
  <si>
    <t>Wu, Y; Kunze, E; Tandon, A; Mahadevan, A</t>
  </si>
  <si>
    <t>Wu, Yue; Kunze, Eric; Tandon, Amit; Mahadevan, Amala</t>
  </si>
  <si>
    <t>Reabsorption of Lee-Wave Energy in Bottom-Intensified Currents</t>
  </si>
  <si>
    <t>Energy transport; Gravity waves; Inertia-gravity waves; Internal waves; Mixing; Oceanic waves</t>
  </si>
  <si>
    <t>INTERNAL GRAVITY-WAVES; MESOSCALE OCEAN MODEL; EQUATORIAL DEEP JETS; MEAN FLOW; PART I; DRAG; PROPAGATION; GENERATION; MOMENTUM; IMPACT</t>
  </si>
  <si>
    <t>While lee-wave generation has been argued to be a major sink for the 1-TW wind work on the ocean's circulation, microstructure measurements in the Antarctic Circumpolar Currents find dissipation rates as much as an order of magnitude weaker than linear lee-wave generation predictions in bottom-intensified currents. Wave action conservation suggests that a substantial fraction of lee-wave radiation can be reabsorbed into bottom-intensified flows. Numerical simulations are conducted here to investigate generation, reabsorption, and dissipation of internal lee waves in a bottom-intensified, laterally confined jet that resembles a localized abyssal current over bottom topography. For the case of monochromatic topography with |kU(0)| approximate to 0.9N, where k is the along-stream topographic wavenumber, |U-0| is the near-bottom flow speed, and N is the buoyancy frequency; Reynolds-decomposed energy conservation is consistent with linear wave action conservation predictions that only 14% of lee-wave generation is dissipated, with the bulk of lee-wave energy flux reabsorbed by the bottom-intensified flow. Thus, water column reabsorption needs to be taken into account as a possible mechanism for reducing the lee-wave dissipative sink for balanced circulation.</t>
  </si>
  <si>
    <t>[Wu, Yue; Mahadevan, Amala] Woods Hole Oceanog Inst, Woods Hole, MA 02543 USA; [Kunze, Eric] NorthWest Res Associates, Redmond, WA USA; [Tandon, Amit] Univ Massachusetts Dartmouth, Dartmouth, MA USA</t>
  </si>
  <si>
    <t>Woods Hole Oceanographic Institution; NorthWest Research Associates; University of Massachusetts System; University Massachusetts Dartmouth</t>
  </si>
  <si>
    <t>Wu, Y (corresponding author), Woods Hole Oceanog Inst, Woods Hole, MA 02543 USA.</t>
  </si>
  <si>
    <t>ywu.ocean@gmail.com</t>
  </si>
  <si>
    <t>Tandon, Amit/0000-0001-7124-1512; Wu, Yue/0000-0002-0069-9435</t>
  </si>
  <si>
    <t>NSF [OCE-1756279, OCE-1756093, OCE-1755313]</t>
  </si>
  <si>
    <t>The authors thank two anonymous reviewers for their comments. This research was supported by NSF Grants OCE-1756279 (WHOI), OCE-1756093 (NWRA), and OCE-1755313 (UMass Dartmouth).</t>
  </si>
  <si>
    <t>10.1175/JPO-D-22-0058.1</t>
  </si>
  <si>
    <t>9A5HL</t>
  </si>
  <si>
    <t>WOS:000934088800002</t>
  </si>
  <si>
    <t>Annasawmy, P; Horne, JK; Reiss, CS; Cutter, GR; Macaulay, GJ</t>
  </si>
  <si>
    <t>Annasawmy, Pavanee; Horne, John K. K.; Reiss, Christian S. S.; Cutter, George R. R.; Macaulay, Gavin J. J.</t>
  </si>
  <si>
    <t>Antarctic krill (Euphausia superba) distributions, aggregation structures, and predator interactions in Bransfield Strait</t>
  </si>
  <si>
    <t>Predator-prey interactions; Echometrics; Wavelet analysis; GAM; Hierarchical clustering</t>
  </si>
  <si>
    <t>SOUTH SHETLAND ISLANDS; FORAGING BEHAVIOR; MACARONI PENGUINS; ELEPHANT ISLAND; FUR SEALS; DYNAMICS; FISH; VARIABILITY; EXCRETION; ABUNDANCE</t>
  </si>
  <si>
    <t>The Antarctic krill, Euphausia superba, is a major component of the Southern Ocean's ecosystem. Limited high-resolution data on the relative importance of oceanographic processes on the behavioral responses of krill at traditional predator foraging grounds constitutes a major obstacle in the understanding of krill-environment coupling and ecosystem-based management of this resource. Aggregation structures of krill and predator interactions were investigated using active acoustic data collected by WBAT echosounders deployed on moorings in two hydrographically different sites in Bransfield Strait. Near Nelson Island, water flows from the northwest to southeast while Deception Island is influenced by stronger net current velocities from the southwest to northeast. Krill aggregations were identified and then classified in three clusters using a swarm-identification algorithm and hierarchical clustering using aggregation morphological characteristics: acoustic density, mean depth, center of mass, inertia, equivalent area, aggregation index, and proportion occupied. A total of 693 and 736 aggregations were detected at the mooring sites close to Nelson and Deception Islands. The three aggregation categories ranged from high to low densities, evenness, and dispersion and were distributed throughout the water column. Krill aggregation density distribution and mean thickness are influenced by krill mean depth, current velocities and direction. The majority of observed predator dive profiles occurred over the aggregation type with highest krill densities at both Nelson and Deception Islands, and within the first 25 m of the water column. The heterogeneity of krill aggregations potentially impacts predator foraging strategies and predator-krill interactions in the hydrodynamically active Bransfield Strait.</t>
  </si>
  <si>
    <t>[Annasawmy, Pavanee; Horne, John K. K.] Univ Washington, Sch Aquat &amp; Fisheries Sci SAFS, Seattle, WA 98195 USA; [Annasawmy, Pavanee; Horne, John K. K.] Univ Washington, Cooperat Inst Climate Ocean &amp; Ecosyst Studies CICO, Seattle, WA 98195 USA; [Reiss, Christian S. S.; Cutter, George R. R.] NOAA Southwest Fisheries Sci Ctr, Antarctic Ecosyst Res Div, La Jolla, CA USA; [Macaulay, Gavin J. J.] Inst Marine Res, Bergen, Norway</t>
  </si>
  <si>
    <t>University of Washington; University of Washington Seattle; University of Washington; University of Washington Seattle; National Oceanic Atmospheric Admin (NOAA) - USA; Institute of Marine Research - Norway</t>
  </si>
  <si>
    <t>Annasawmy, P (corresponding author), Univ Washington, Sch Aquat &amp; Fisheries Sci SAFS, Seattle, WA 98195 USA.;Annasawmy, P (corresponding author), Univ Washington, Cooperat Inst Climate Ocean &amp; Ecosyst Studies CICO, Seattle, WA 98195 USA.</t>
  </si>
  <si>
    <t>angelee-pavanee.annasawmy@ird.fr</t>
  </si>
  <si>
    <t>Annasawmy, Pavanee/ABG-8075-2021</t>
  </si>
  <si>
    <t>Annasawmy, Pavanee/0000-0001-8803-9687</t>
  </si>
  <si>
    <t>Cooperative Institute for Climate, Ocean, and Ecosystem Studies (CICOES, University of Washington, Seattle, USA); CICOES under NOAA Cooperative Agreement [NA20OAR4320271, 2023-1251]</t>
  </si>
  <si>
    <t>Cooperative Institute for Climate, Ocean, and Ecosystem Studies (CICOES, University of Washington, Seattle, USA); CICOES under NOAA Cooperative Agreement(National Oceanic Atmospheric Admin (NOAA) - USA)</t>
  </si>
  <si>
    <t>The authors acknowledge the captain, crew, and scientific staff of the RV Kronprins Haakon for deployment and recovery of the moorings. The first author is the beneficiary of a postdoctoral research fellowship granted by the Cooperative Institute for Climate, Ocean, and Ecosystem Studies (CICOES, University of Washington, Seattle, USA). This publication is funded by CICOES under NOAA Cooperative Agreement NA20OAR4320271, Contribution No. 2023-1251.</t>
  </si>
  <si>
    <t>10.1007/s00300-023-03113-z</t>
  </si>
  <si>
    <t>9X4DZ</t>
  </si>
  <si>
    <t>WOS:000923943500001</t>
  </si>
  <si>
    <t>Zhu, WB; Liu, WB; Chen, YC; Liao, KZ; Yu, WF; Jin, HB</t>
  </si>
  <si>
    <t>Zhu, Wenbin; Liu, Wenbo; Chen, Yuanchen; Liao, Kaizhen; Yu, Wenfei; Jin, Hangbiao</t>
  </si>
  <si>
    <t>Microplastics in Antarctic krill (Euphausia superba) from Antarctic region</t>
  </si>
  <si>
    <t>Microplastics; Antarctic krill; Abundance; Shape; Antarctic region</t>
  </si>
  <si>
    <t>MARINE-ENVIRONMENT; ROSS SEA; SEDIMENTS; WATERS; FISH; COASTAL</t>
  </si>
  <si>
    <t>Pollution of microplastics (MPs) has become a potential threat to Antarctic marine ecosystems. However, the occur-rence of MPs in Antarctic krill (Euphausia superba), a keystone species in Antarctic ecosystems, remains unclear. In this study, the abundance and characteristics of MPs were examined in Antarctic krill samples (n = 437) collected from two Antarctic regions. MPs were extracted using an alkali digestion method and analyzed using Fourier-transform infrared spectroscopy. The mean abundance of MPs in Antarctic krill samples from the South Shetland Islands (n = 355) and the South Orkney Islands (n = 82) were 0.29 +/- 0.14 and 0.20 +/- 0.083 items/individual, re-spectively. &gt;90 % of MPs found in Antarctic krill were &lt; 150 mu m in size. Fibers represented 77 % and 87 % of the MPs in Antarctic krill samples from the South Shetland Islands and the South Orkney Islands, respectively. Black, blue, and red were the predominant colors of MPs in Antarctic krill, accounting for 32 %, 22 %, and 21 % of the total MPs, re-spectively. Seven polymer compositions were identified for the MPs in Antarctic krill, with the predominance of poly-ethylene (37 % of total MPs), followed by polypropylene (22 %) and polyester (21 %). To our knowledge, this is the first study to investigate the occurrence of MPs in Antarctic krill samples. The results of this study are important for evaluating the risks of MP exposure in Antarctic krill.</t>
  </si>
  <si>
    <t>[Zhu, Wenbin; Liu, Wenbo] Minist Agr &amp; Rural Affairs Peoples Republ China, Key Lab Sustainable Utilizat Technol Res Fishery R, Sci Observing &amp; Expt Stn Fishery Resources Key Fis, Zhejiang Marine Fisheries Res Inst, Zhoushan 316021, Zhejiang, Peoples R China; [Chen, Yuanchen; Liao, Kaizhen; Yu, Wenfei; Jin, Hangbiao] Zhejiang Univ Technol, Coll Environm, Key Lab Microbial Technol Ind Pollut Control Zheji, Hangzhou 310032, Zhejiang, Peoples R China</t>
  </si>
  <si>
    <t>Ministry of Agriculture &amp; Rural Affairs; Zhejiang University of Technology</t>
  </si>
  <si>
    <t>Jin, HB (corresponding author), Zhejiang Univ Technol, Coll Environm, Key Lab Microbial Technol Ind Pollut Control Zheji, Hangzhou 310032, Zhejiang, Peoples R China.</t>
  </si>
  <si>
    <t>hangbiao@zjut.edu.cn</t>
  </si>
  <si>
    <t>Wang, Huiyan/JXW-9178-2024; Liu, Yuxuan/JVO-7759-2024</t>
  </si>
  <si>
    <t>Natural Science Foundation of China [21806139]; Natural Science Foundation of Zhejiang Province [LY21B070006]</t>
  </si>
  <si>
    <t>Natural Science Foundation of China(National Natural Science Foundation of China (NSFC)); Natural Science Foundation of Zhejiang Province(Natural Science Foundation of Zhejiang Province)</t>
  </si>
  <si>
    <t>Acknowledgements This work was supported by the Natural Science Foundation of China (21806139) and Natural Science Foundation of Zhejiang Province (LY21B070006) .</t>
  </si>
  <si>
    <t>10.1016/j.scitotenv.2023.161880</t>
  </si>
  <si>
    <t>8Q7GG</t>
  </si>
  <si>
    <t>WOS:000927370400001</t>
  </si>
  <si>
    <t>Barnes, PW; Robson, TM; Zepp, RG; Bornman, JF; Jansen, MAK; Ossola, R; Wang, QW; Robinson, SA; Foereid, B; Klekociuk, AR; Martinez-Abaigar, J; Hou, WC; Mackenzie, R; Paul, ND</t>
  </si>
  <si>
    <t>Barnes, P. W.; Robson, T. M.; Zepp, R. G.; Bornman, J. F.; Jansen, M. A. K.; Ossola, R.; Wang, Q. -W.; Robinson, S. A.; Foereid, B.; Klekociuk, A. R.; Martinez-Abaigar, J.; Hou, W. -C.; Mackenzie, R.; Paul, N. D.</t>
  </si>
  <si>
    <t>Interactive effects of changes in UV radiation and climate on terrestrial ecosystems, biogeochemical cycles, and feedbacks to the climate system</t>
  </si>
  <si>
    <t>ULTRAVIOLET-B RADIATION; PLANT LITTER DECOMPOSITION; OZONE DEPLETION; PHENOTYPIC PLASTICITY; TRIADICA-SEBIFERA; INSECT HERBIVORY; PREDATORY MITES; RANGE SHIFTS; CARBON; RESPONSES</t>
  </si>
  <si>
    <t>Terrestrial organisms and ecosystems are being exposed to new and rapidly changing combinations of solar UV radiation and other environmental factors because of ongoing changes in stratospheric ozone and climate. In this Quadrennial Assessment, we examine the interactive effects of changes in stratospheric ozone, UV radiation and climate on terrestrial ecosystems and biogeochemical cycles in the context of the Montreal Protocol. We specifically assess effects on terrestrial organisms, agriculture and food supply, biodiversity, ecosystem services and feedbacks to the climate system. Emphasis is placed on the role of extreme climate events in altering the exposure to UV radiation of organisms and ecosystems and the potential effects on biodiversity. We also address the responses of plants to increased temporal variability in solar UV radiation, the interactive effects of UV radiation and other climate change factors (e.g. drought, temperature) on crops, and the role of UV radiation in driving the breakdown of organic matter from dead plant material (i.e. litter) and biocides (pesticides and herbicides). Our assessment indicates that UV radiation and climate interact in various ways to affect the structure and function of terrestrial ecosystems, and that by protecting the ozone layer, the Montreal Protocol continues to play a vital role in maintaining healthy, diverse ecosystems on land that sustain life on Earth. Furthermore, the Montreal Protocol and its Kigali Amendment are mitigating some of the negative environmental consequences of climate change by limiting the emissions of greenhouse gases and protecting the carbon sequestration potential of vegetation and the terrestrial carbon pool.</t>
  </si>
  <si>
    <t>[Barnes, P. W.] Loyola Univ New Orleans, Biol Sci &amp; Environm Program, New Orleans, LA 70118 USA; [Robson, T. M.] Univ Helsinki, Fac Biol &amp; Environm Sci, Viikki Plant Sci Ctr ViPS, Organ &amp; Evolutionary Biol OEB, Helsinki, Finland; [Robson, T. M.] Univ Cumbria, Natl Sch Forestry, Ambleside, England; [Zepp, R. G.] US Environm Protect Agcy, ORD, CEMM, Athens, GA USA; [Bornman, J. F.] Murdoch Univ, Food Futures Inst, Perth, Australia; [Jansen, M. A. K.] Univ Coll Cork, BEES, Cork, Ireland; [Ossola, R.] Natl Ctr Atmospher Res, Atmospher Chem Observat &amp; Modeling Lab, Boulder, CO USA; [Wang, Q. -W.] Chinese Acad Sci, Inst Appl Ecol, Shenyang, Peoples R China; [Robinson, S. A.] Univ Wollongong, Global Challenges Program, Wollongong, Australia; [Robinson, S. A.] Univ Lancaster, Lancaster Environm Ctr, Securing Antarctic Environm Future, Lancaster, England; [Foereid, B.] Norwegian Inst Bioecon Res, Environm &amp; Nat Resources, As, Norway; [Klekociuk, A. R.] Antarctic Climate Program, Australian Antarctic Div, Kingston, Australia; [Martinez-Abaigar, J.] Univ La Rioja, Fac Sci &amp; Technol, Logrono, La Rioja, Spain; [Hou, W. -C.] Natl Cheng Kung Univ, Dept Environm Engn, Tainan, Taiwan; [Mackenzie, R.] Cape Horn Int Ctr CH, Puerto Williams, Chile; [Mackenzie, R.] Millennium Inst Biodivers Antarctic &amp; Subantarct E, Santiago, Chile</t>
  </si>
  <si>
    <t>Loyola University New Orleans; University of Helsinki; University of Cumbria; United States Environmental Protection Agency; Murdoch University; University College Cork; National Center Atmospheric Research (NCAR) - USA; Chinese Academy of Sciences; Shenyang Institute of Applied Ecology, CAS; University of Wollongong; Lancaster University; Norwegian Institute of Bioeconomy Research; Australian Antarctic Division; Universidad de La Rioja; National Cheng Kung University</t>
  </si>
  <si>
    <t>Barnes, PW (corresponding author), Loyola Univ New Orleans, Biol Sci &amp; Environm Program, New Orleans, LA 70118 USA.;Robson, TM (corresponding author), Univ Helsinki, Fac Biol &amp; Environm Sci, Viikki Plant Sci Ctr ViPS, Organ &amp; Evolutionary Biol OEB, Helsinki, Finland.;Robson, TM (corresponding author), Univ Cumbria, Natl Sch Forestry, Ambleside, England.</t>
  </si>
  <si>
    <t>pwbarnes@loyno.edu; matthew.robson@helsinki.fi</t>
  </si>
  <si>
    <t>Mackenzie, Roy/AAU-7621-2020; Wang, Qing-Wei/GRQ-7463-2022; Robson, Thomas Matthew/J-3381-2012; Hou, Wen-Che/F-5736-2011; Klekociuk, Andrew/A-4498-2015; Bornman, Janet F/A-2632-2017; Robinson, Sharon/B-2683-2008</t>
  </si>
  <si>
    <t>Mackenzie, Roy/0000-0001-6620-1532; Wang, Qing-Wei/0000-0002-5169-9881; Robson, Thomas Matthew/0000-0002-8631-796X; Barnes, Paul/0000-0002-5715-3679; Hou, Wen-Che/0000-0001-9884-2932; Klekociuk, Andrew/0000-0003-3335-0034; Bornman, Janet F/0000-0002-4635-4301; Foereid, Bente/0000-0002-2082-0466; Jansen, Marcel/0000-0003-2014-5859; Robinson, Sharon/0000-0002-7130-9617; Ossola, Rachele/0000-0003-4648-5958</t>
  </si>
  <si>
    <t>University of Helsinki including Helsinki University Central Hospital; University of Helsinki, Finland</t>
  </si>
  <si>
    <t>Open Access funding provided by University of Helsinki including Helsinki University Central Hospital. Open access funding was provided by the University of Helsinki, Finland.</t>
  </si>
  <si>
    <t>10.1007/s43630-023-00376-7</t>
  </si>
  <si>
    <t>WOS:000926063200001</t>
  </si>
  <si>
    <t>Niu, GJ; Wang, WJ; Mu, HM; Jiang, PQ; Ren, XT; Li, J</t>
  </si>
  <si>
    <t>Niu, Guojiang; Wang, Wenjing; Mu, Hongmei; Jiang, Peiqiang; Ren, Xingtao; Li, Jing</t>
  </si>
  <si>
    <t>Cryobacterium zhongshanensis sp. nov., an actinobacterium isolated from Antarctic soil</t>
  </si>
  <si>
    <t>Actinomycetia; Cryobacterium zhongshanensis; Antarctic soil; Taxonomy</t>
  </si>
  <si>
    <t>PSYCHROTOLERANT BACTERIUM; MAXIMUM-LIKELIHOOD; SEQUENCES; MUREIN; DNA; INFERENCE; NUMBER</t>
  </si>
  <si>
    <t>A Gram-staining-positive, heterotrophic, non-spore-forming, non-motile, rod-shaped, strain ZS14-85(T) belonging to the genus Cryobacterium was isolated from soil in Antarctica. Growth was observed in the presence of 0-2% (w/v) NaCl, at pH 7.0-9.0 (optimum, pH 7.0) and 4-30 celcius (optimum, 20 celcius). Phylogenetic analysis showed that strain ZS14-85(T) formed a lineage in the genus Cryobacterium. The digital DNA-DNA hybridization (dDDH) values between strain ZS14-85(T) and its close relatives Cryobacterium psychrotolerans CGMCC 1.5382(T), Cryobacterium soli MCCC 1K03549(T) and Cryobacterium breve NBRC 113800(T) were 22.5, 22.3 and 22.2%, respectively. Orthologous Average Nucleotide Identity (OrthoANI) scores between strain ZS14-85(T) and C. psychrotolerans CGMCC 1.5382(T), C. breve NBRC 113800(T) and C. soli MCCC 1K03549(T) were 78.7, 78.1 and 77.7%, respectively. The polar lipids of strain ZS14-85(T) were diphosphatidylglycerol (DPG), phosphatidylglycerol (PG), one unidentified glycolipid (GL) and two unidentified lipids (L). The major fatty acids were anteiso-C-15:0 (60.7%), iso-C-16:0 (17.0%) and anteiso-C-17:0 (15.2%). MK-10, MK-11 and MK-9 were the predominant respiratory menaquinones. Based on phenotypic, phylogenetic and genotypic data, a novel species, Cryobacterium zhongshanensis sp. nov. is proposed. The type strain is ZS14-85(T) (= CCTCC AB 2019396(T) = KCTC 49384(T)).</t>
  </si>
  <si>
    <t>[Niu, Guojiang; Wang, Wenjing; Mu, Hongmei; Jiang, Peiqiang; Ren, Xingtao; Li, Jing] Ocean Univ China, Coll Marine Life Sci, Qingdao 266003, Shandong, Peoples R China</t>
  </si>
  <si>
    <t>Li, J (corresponding author), Ocean Univ China, Coll Marine Life Sci, Qingdao 266003, Shandong, Peoples R China.</t>
  </si>
  <si>
    <t>lijing313@ouc.edu.cn</t>
  </si>
  <si>
    <t>Wang, Wenjing/AAU-8450-2021</t>
  </si>
  <si>
    <t>Wang, Wenjing/0000-0003-4035-8552</t>
  </si>
  <si>
    <t>National Key R&amp;D Program of China [2022YFC2807500]</t>
  </si>
  <si>
    <t>This work was supported by the National Key R&amp;D Program of China (grants 2022YFC2807500).</t>
  </si>
  <si>
    <t>10.1007/s00203-023-03408-z</t>
  </si>
  <si>
    <t>8M9CW</t>
  </si>
  <si>
    <t>WOS:000924755300001</t>
  </si>
  <si>
    <t>Tan, IS; Kilinç, Y; Zaman, BT; Bakirdere, S</t>
  </si>
  <si>
    <t>Tan, Ipek Sahin; Kilinc, Yagmur; Zaman, Buse Tugba; Bakirdere, Sezgin</t>
  </si>
  <si>
    <t>Deep eutectic solvent-based simultaneous complexation and preconcentration of nickel in Antarctic lake water samples for determination by flame atomic absorption spectrometry</t>
  </si>
  <si>
    <t>Antarctica; Deep eutectic solvent; DLLME; FAAS; Nickel</t>
  </si>
  <si>
    <t>LIQUID-PHASE MICROEXTRACTION; COBALT; IONS; LEAD; FOOD</t>
  </si>
  <si>
    <t>This study presents a simple, sensitive, and accurate method for the determination of nickel by flame atomic absorption spectrometry (FAAS). Prior to instrumental measurement, a deep eutectic solvent-based simultaneous complexation and preconcentration (DES-SCP) method was used to preconcentrate nickel from aqueous solution into measurable quantities. The efficiency of the extraction method was enhanced by forming a non-ionic complex of nickel using dithizone as ligand. By mixing the ligand with the DES extractant, simultaneous complexation and preconcentration of nickel were achieved in a single step. Under optimum conditions of the extraction method, the limit of detection (LOD) and the limit of quantification (LOQ) values were found to be 2.4 and 8.0 ng/mL, respectively. With respect to direct FAAS measurement, the developed method enhanced the sensitivity of nickel determination by about 169 folds. The accuracy and applicability of the developed method were evaluated by performing spike recovery experiments with lake water sampled from Antarctica. Satisfactory recovery results in the range of 94.0-113.7% were recorded and this validated the developed method as an efficient and green alternative for nickel determination.</t>
  </si>
  <si>
    <t>[Tan, Ipek Sahin; Zaman, Buse Tugba; Bakirdere, Sezgin] Yildiz Tech Univ, Dept Chem, TR-34220 Istanbul, Turkiye; [Kilinc, Yagmur] Zonguldak Bulent Ecevit Univ, Inst Sci, Dept Environm Engn, TR-67100 Zonguldak, Turkiye; [Kilinc, Yagmur] Neutec Pharmaceut, Yildiz Tech Univ Teknopk, TR-34220 Istanbul, Turkiye; [Bakirdere, Sezgin] Turkish Acad Sci TUBA, Vedat Dalokay St 112, TR-06670 Ankara, Turkiye</t>
  </si>
  <si>
    <t>Yildiz Technical University; Bulent Ecevit University; Turkish Academy of Sciences</t>
  </si>
  <si>
    <t>Bakirdere, S (corresponding author), Yildiz Tech Univ, Dept Chem, TR-34220 Istanbul, Turkiye.</t>
  </si>
  <si>
    <t>bsezgin23@yahoo.com</t>
  </si>
  <si>
    <t>BAKIRDERE, Sezgin/ABU-6359-2022; Zaman, Buse Tuğba/AAO-1788-2020</t>
  </si>
  <si>
    <t>BAKIRDERE, Sezgin/0000-0001-9746-3682; Zaman, Buse Tuğba/0000-0003-0542-1050</t>
  </si>
  <si>
    <t>Scientific and Technological Research Council of Turkey (TUEBITAK) [119Z846]</t>
  </si>
  <si>
    <t>Scientific and Technological Research Council of Turkey (TUEBITAK)</t>
  </si>
  <si>
    <t>This work was supported by The Scientific and Technological Research Council of Turkey (TUEBITAK) with a grant number of 119Z846.</t>
  </si>
  <si>
    <t>10.1007/s10661-023-10940-4</t>
  </si>
  <si>
    <t>8C0BD</t>
  </si>
  <si>
    <t>WOS:000917282100001</t>
  </si>
  <si>
    <t>Khan, A; Kong, WD; Khan, S; Nawab, J</t>
  </si>
  <si>
    <t>Khan, Ajmal; Kong, Weidong; Khan, Sardar; Nawab, Javed</t>
  </si>
  <si>
    <t>Community succession and drivers of CO2-fixing microbes in recently deglaciated soils on the Tibetan Plateau</t>
  </si>
  <si>
    <t>JOURNAL OF SOILS AND SEDIMENTS</t>
  </si>
  <si>
    <t>Autotrophic microbes; Proteobacteria; Stramenopiles; Deglaciation chronosequence; cbbL</t>
  </si>
  <si>
    <t>16S RIBOSOMAL-RNA; ANTARCTIC LAKE; BACTERIAL; RUBISCO; DIVERSITY; GLACIER; GENES; FOREFIELD; ELEVATION; PROTEINS</t>
  </si>
  <si>
    <t>PurposeProglacial terrains provide an ideal environment to determine soil formation and microbial colonization, where autotrophic microbes could play a role as primary producers. We investigated the succession and drivers of autotrophic microorganisms harboring the cbbL gene in deglaciated soils across a 14-year deglaciation chronosequence on the Tibetan Plateau.Materials and methodsSurface soils were collected in triplicate at 15 points beginning at the glacier terminus. The abundance and community composition of autotrophic microbes were determined using quantitative PCR and sequencing of clone libraries, respectively.Results and discussionThe abundance of form IC and ID cbbL increased gradually across deglaciation chronosequence, while form IA/B cbbL increased during the first 5 years since deglaciation and then remained stable. The succession of form IA/B and ID autotrophs occurred in a similar manner over three deglaciation stages, early (0-year-old), transitional (1-7-year-old), and late stage (8-14-year-old), whereas form IC autotrophs displayed distinct succession in the early (0-3-year-old) and transitional stage (4-7-year-old). Autotrophic microbial succession was prominently driven by soil moisture, pH, total carbon, and deglaciation age. Proteobacteria dominated young deglaciated soils (4-5-year-old), while Stramenopiles dominated old deglaciated soils (13-year-old). These findings revealed that autotrophic microbes follow clear successional patterns across recently deglaciated chronosequences and are primarily influenced by physicochemical parameters.ConclusionsAutotrophic microbes quickly colonized deglaciated soils following glacier retreat, and their population increased with increasing deglaciation age. Physicochemical parameters played an important role in driving autotrophic microbes in the early, transitional, and late stages. Chemoautotrophic Proteobacterial-dominated young deglaciated soils to photoautotrophic algae-dominated old deglaciated soils.</t>
  </si>
  <si>
    <t>[Khan, Ajmal; Kong, Weidong] Chinese Acad Sci, Inst Tibetan Plateau Res, State Key Lab Tibetan Plateau Earth Syst &amp; Resourc, Beijing 100101, Peoples R China; [Khan, Ajmal; Kong, Weidong] Univ Chinese Acad Sci, Beijing 100039, Peoples R China; [Khan, Ajmal; Nawab, Javed] Kohat Univ Sci &amp; Technol, Dept Environm Sci, Kohat 26000, Pakistan; [Khan, Sardar] Univ Peshawar, Dept Environm Sci, Peshawar 25120, Pakistan</t>
  </si>
  <si>
    <t>Chinese Academy of Sciences; Institute of Tibetan Plateau Research, CAS; Chinese Academy of Sciences; University of Chinese Academy of Sciences, CAS; Kohat University of Science &amp; Technology; University of Peshawar</t>
  </si>
  <si>
    <t>Kong, WD (corresponding author), Chinese Acad Sci, Inst Tibetan Plateau Res, State Key Lab Tibetan Plateau Earth Syst &amp; Resourc, Beijing 100101, Peoples R China.;Kong, WD (corresponding author), Univ Chinese Acad Sci, Beijing 100039, Peoples R China.</t>
  </si>
  <si>
    <t>wdkong@itpcas.ac.cn</t>
  </si>
  <si>
    <t>Nawab, Javed/AAW-4629-2021; Kong, Weidong/H-7432-2012; Khan, Ajmal/GVS-9086-2022</t>
  </si>
  <si>
    <t>Kong, Weidong/0000-0001-9682-1484; Khan, Ajmal/0000-0003-2303-9867</t>
  </si>
  <si>
    <t>1439-0108</t>
  </si>
  <si>
    <t>1614-7480</t>
  </si>
  <si>
    <t>J SOIL SEDIMENT</t>
  </si>
  <si>
    <t>J. Soils Sediments</t>
  </si>
  <si>
    <t>10.1007/s11368-023-03446-6</t>
  </si>
  <si>
    <t>9Z6NY</t>
  </si>
  <si>
    <t>WOS:000924001300001</t>
  </si>
  <si>
    <t>Etayo, J; Sancho, LG; Pino-Bodas, R</t>
  </si>
  <si>
    <t>Etayo, Javier; Sancho, Leopoldo G.; Pino-Bodas, Raquel</t>
  </si>
  <si>
    <t>Taxonomic and phylogenetic approach to some Antarctic lichenicolous fungi</t>
  </si>
  <si>
    <t>MYCOLOGICAL PROGRESS</t>
  </si>
  <si>
    <t>Ascomycota; Acremonium; Arthonia; Bryostigma; Mycota; Protothelenella; Raesaenenia; Sphaeropezia; Sphinctrina</t>
  </si>
  <si>
    <t>LICHENIZED FUNGI; RIBOSOMAL DNA; ASCOMYCOTA; GENUS; CLASSIFICATION; ACREMONIUM; EVOLUTION; ISLANDS; BIOGEOGRAPHY; LECANORALES</t>
  </si>
  <si>
    <t>This study was focused on lichenicolous fungi from the Antarctic region whose diversity is not yet well known. The sampling was carried out in the maritime Antarctica, South Shetland Islands, Livingston Island, during a trip in 2018. In total, more than one hundred species of lichenicolous fungi were collected, of which a selection has been studied here. The remaining species will be studied in future papers. As a result of our morphological and molecular studies (based on ITS rDNA, LSU rDNA, and mtSSU), three new species are proposed: Arthonia olechiana on Steinera olechiana, Sphaeropezia neuropogonis on Usnea, and Sphinctrina sessilis on Pertusaria excludens. Moreover, the new combinations Bryostigma excentricum on Lepraria and Raesaenenia usneae on Usnea are also proposed.</t>
  </si>
  <si>
    <t>[Etayo, Javier] Calle Navarro Villoslada 16,3 Dcha, Pamplona 31003, Navarra, Spain; [Sancho, Leopoldo G.] Univ Complutense Madrid, Fac Pharm, Sect Bot, Madrid 28040, Spain; [Pino-Bodas, Raquel] Univ Rey Juan Carlos, Dept Biol Geol Fis &amp; Quim Inorgan, Area Biodivers &amp; Conservac, Mostoles 28933, Spain; [Pino-Bodas, Raquel] Royal Bot Gardens, Richmond TW9 3AB, England</t>
  </si>
  <si>
    <t>Complutense University of Madrid; Universidad Rey Juan Carlos; Royal Botanic Gardens, Kew</t>
  </si>
  <si>
    <t>Pino-Bodas, R (corresponding author), Univ Rey Juan Carlos, Dept Biol Geol Fis &amp; Quim Inorgan, Area Biodivers &amp; Conservac, Mostoles 28933, Spain.;Pino-Bodas, R (corresponding author), Royal Bot Gardens, Richmond TW9 3AB, England.</t>
  </si>
  <si>
    <t>raquel.pino@urjc.es</t>
  </si>
  <si>
    <t>SANCHO, LEOPOLDO G/G-9120-2015; Pino-Bodas, Raquel/O-1221-2017</t>
  </si>
  <si>
    <t>Pino-Bodas, Raquel/0000-0001-5228-5368</t>
  </si>
  <si>
    <t>MINECO/FEDER, UE [CTM2015-64728-C2-1-R, PID2019-105469RB-C21]; Kew Future Leader Fellowship program</t>
  </si>
  <si>
    <t>MINECO/FEDER, UE(Spanish Government); Kew Future Leader Fellowship program</t>
  </si>
  <si>
    <t>This study was funded by the grants CTM2015-64728-C2-1-R, PID2019-105469RB-C21 (MINECO/FEDER, UE) and Kew Future Leader Fellowship program.</t>
  </si>
  <si>
    <t>1617-416X</t>
  </si>
  <si>
    <t>1861-8952</t>
  </si>
  <si>
    <t>MYCOL PROG</t>
  </si>
  <si>
    <t>Mycol. Prog.</t>
  </si>
  <si>
    <t>10.1007/s11557-022-01860-7</t>
  </si>
  <si>
    <t>Mycology</t>
  </si>
  <si>
    <t>8A2CU</t>
  </si>
  <si>
    <t>WOS:000916052700002</t>
  </si>
  <si>
    <t>Chand, S; Power, S; Walsh, K; Holbrook, N; McInnes, K; Tory, K; Ramsay, H; Hoeke, R; Kiem, AS</t>
  </si>
  <si>
    <t>Chand, Savin; Power, Scott; Walsh, Kevin; Holbrook, Neil; McInnes, Kathleen; Tory, Kevin; Ramsay, Hamish; Hoeke, Ron; Kiem, Anthony S.</t>
  </si>
  <si>
    <t>Climate processes and drivers in the Pacific and global warming: a review for informing Pacific planning agencies</t>
  </si>
  <si>
    <t>CLIMATIC CHANGE</t>
  </si>
  <si>
    <t>Pacific Island countries; Climate variability and change; Atmospheric circulations</t>
  </si>
  <si>
    <t>MADDEN-JULIAN OSCILLATION; EL-NINO; HADLEY CIRCULATION; OCEAN; ENSO; MODULATION; IMPACT; WIND</t>
  </si>
  <si>
    <t>Pacific Island countries are vulnerable to climate variability and change. Developing strategies for adaptation and planning processes in the Pacific requires new knowledge and updated information on climate science. In this paper, we review key climatic processes and drivers that operate in the Pacific, how they may change in the future and what the impact of these changes might be. In particular, our emphasis is on the two major atmospheric circulation patterns, namely the Hadley and Walker circulations. We also examine climatic features such as the South Pacific Convergence Zone and Intertropical Convergence Zone, as well as factors that modulate natural climate variability on different timescales. It is anticipated that our review of the main climate processes and drivers that operate in the Pacific, as well as how these processes and drivers are likely to change in the future under anthropogenic global warming, can help relevant national agencies (such as Meteorological Services and National Disaster Management Offices) clearly communicate new information to sector-specific stakeholders and the wider community through awareness raising.</t>
  </si>
  <si>
    <t>[Chand, Savin] Ctr New Energy Transit Res, Mt Helen Campus, Ballarat, Vic 3050, Australia; [Power, Scott] Univ Southern Queensland, Ctr Appl Climate Sci, Toowoomba, Qld 4401, Australia; [Power, Scott; Holbrook, Neil] Monash Univ, ARC Ctr Excellence Climate Extremes, Sch Earth Atmosphere &amp; Environm, Melbourne, Vic 3800, Australia; [Walsh, Kevin] Univ Melbourne, Sch Geog Earth &amp; Atmospher Sci, Melbourne, Vic 3010, Australia; [Holbrook, Neil] Univ Tasmania, Inst Marine &amp; Antarctic Studies, Hobart, Tas 7001, Australia; [McInnes, Kathleen; Ramsay, Hamish; Hoeke, Ron] CSIRO, Oceans &amp; Atmosphere, Aspendale, Vic 3195, Australia; [Tory, Kevin] Bur Meteorol, Melbourne, Vic 3001, Australia; [Kiem, Anthony S.] Univ Newcastle, Sch Environm &amp; Life Sci, Callaghan, NSW 2308, Australia</t>
  </si>
  <si>
    <t>University of Southern Queensland; Melbourne Genomics Health Alliance; Monash University; Melbourne Genomics Health Alliance; University of Melbourne; University of Tasmania; Commonwealth Scientific &amp; Industrial Research Organisation (CSIRO); Bureau of Meteorology - Australia; University of Newcastle</t>
  </si>
  <si>
    <t>Chand, S (corresponding author), Ctr New Energy Transit Res, Mt Helen Campus, Ballarat, Vic 3050, Australia.</t>
  </si>
  <si>
    <t>s.chand@federation.edu.au</t>
  </si>
  <si>
    <t>Tory, Kevin/ABA-4075-2020; Holbrook, Neil/M-7544-2013; McInnes, Kathleen/A-7787-2012; Hoeke, Ron/F-4085-2014</t>
  </si>
  <si>
    <t>Tory, Kevin/0000-0002-6614-9663; Holbrook, Neil/0000-0002-3523-6254; Ramsay, Hamish/0000-0002-4606-9615; McInnes, Kathleen/0000-0002-1810-7215; Chand, Savin/0000-0002-5706-2558; Hoeke, Ron/0000-0003-0576-9436</t>
  </si>
  <si>
    <t>0165-0009</t>
  </si>
  <si>
    <t>1573-1480</t>
  </si>
  <si>
    <t>Clim. Change</t>
  </si>
  <si>
    <t>10.1007/s10584-022-03467-z</t>
  </si>
  <si>
    <t>7X1WD</t>
  </si>
  <si>
    <t>WOS:000913993900001</t>
  </si>
  <si>
    <t>Cerovecki, I; Sun, R; Bromwich, DH; Zou, X; Mazloff, MR; Wang, SH</t>
  </si>
  <si>
    <t>Cerovecki, Ivana; Sun, Rui; Bromwich, David H.; Zou, Xun; Mazloff, Matthew R.; Wang, Sheng-Hung</t>
  </si>
  <si>
    <t>Impact of downward longwave radiative deficits on Antarctic sea-ice extent predictability during the sea ice growth period (vol 17, 084008, 2022)</t>
  </si>
  <si>
    <t>[Cerovecki, Ivana; Sun, Rui; Zou, Xun; Mazloff, Matthew R.] Univ Calif San Diego, Scripps Inst Oceanog, San Diego, CA 92093 USA; [Bromwich, David H.; Wang, Sheng-Hung] Ohio State Univ, Byrd Polar &amp; Climate Res Ctr, Columbus, OH USA</t>
  </si>
  <si>
    <t>University of California System; University of California San Diego; Scripps Institution of Oceanography; University System of Ohio; Ohio State University</t>
  </si>
  <si>
    <t>Cerovecki, I (corresponding author), Univ Calif San Diego, Scripps Inst Oceanog, San Diego, CA 92093 USA.</t>
  </si>
  <si>
    <t>10.1088/1748-9326/acb162</t>
  </si>
  <si>
    <t>8G5BR</t>
  </si>
  <si>
    <t>WOS:000920360800001</t>
  </si>
  <si>
    <t>Mace, GG; Benson, S; Humphries, R; Gombert, PM; Sterner, E</t>
  </si>
  <si>
    <t>Mace, Gerald G.; Benson, Sally; Humphries, Ruhi; Gombert, Peter M.; Sterner, Elizabeth</t>
  </si>
  <si>
    <t>Natural marine cloud brightening in the Southern Ocean</t>
  </si>
  <si>
    <t>CONDENSATION NUCLEI; AEROSOL; MICROPHYSICS; TEMPERATURE; ISLAND</t>
  </si>
  <si>
    <t>The number of cloud droplets per unit volume (Nd) is a fundamentally important property of marine boundary layer (MBL) liquid clouds that, at constant liquid water path, exerts considerable controls on albedo. Past work has shown that regional N(d )has a direct correlation to marine primary productivity (PP) because of the role of seasonally varying, biogenically derived precursor gases in modulating secondary aerosol properties. These linkages are thought to be observable over the high-latitude oceans, where strong seasonal variability in aerosol and meteorology covary in mostly pristine environments. Here, we examine N-d variability derived from 5 years of MODIS Level 2-derived cloud properties in a broad region of the summer eastern Southern Ocean and adjacent marginal seas. We demonstrate latitudinal, longitudinal and temporal gradients in N-d that are strongly correlated with the passage of air masses over high-PP waters that are mostly concentrated along the Antarctic Shelf poleward of 60 degrees S. We find that the albedo of MBL clouds in the latitudes south of 60 degrees S is significantly higher than similar liquid water path (LWP) clouds north of this latitude.</t>
  </si>
  <si>
    <t>[Mace, Gerald G.; Benson, Sally; Gombert, Peter M.; Sterner, Elizabeth] Univ Utah, Dept Atmospher Sci, Salt Lake City, UT 84112 USA; [Humphries, Ruhi] CSIRO Oceans &amp; Atmosphere, Climate Sci Ctr, Melbourne, Australia; [Humphries, Ruhi] Univ Tasmania, Inst Marine &amp; Antarctic Studies, Australian Antarctic Program Partnership, Hobart, Tas, Australia</t>
  </si>
  <si>
    <t>Utah System of Higher Education; University of Utah; Commonwealth Scientific &amp; Industrial Research Organisation (CSIRO); University of Tasmania</t>
  </si>
  <si>
    <t>Science Mission Directorate [80NSSC21k1969]; DOEASR [DE-SC00222001, DESC0018995]</t>
  </si>
  <si>
    <t>Science Mission Directorate; DOEASR</t>
  </si>
  <si>
    <t>This research has been supported by the Science Mission Directorate (grant no. 80NSSC21k1969) and the DOEASR (grant nos. DE-SC00222001 and DESC0018995)</t>
  </si>
  <si>
    <t>10.5194/acp-23-1677-2023</t>
  </si>
  <si>
    <t>8M1OQ</t>
  </si>
  <si>
    <t>WOS:000924243100001</t>
  </si>
  <si>
    <t>Traversa, G; Fugazza, D; Frezzotti, M</t>
  </si>
  <si>
    <t>Traversa, Giacomo; Fugazza, Davide; Frezzotti, Massimo</t>
  </si>
  <si>
    <t>Megadunes in Antarctica: migration and characterization from remote and insitu observations</t>
  </si>
  <si>
    <t>SURFACE MASS-BALANCE; EAST ANTARCTICA; DOME-C; UNCONFORMABLE STRATIGRAPHY; SNOW ACCUMULATION; ALBEDO; MODEL; SUBLIMATION; VARIABILITY; VELOCITY</t>
  </si>
  <si>
    <t>Megadunes are peculiar features formed by the interaction between the atmosphere and cryosphere and are known to be present only on the East Antarctic Plateau and other planets (Mars and Pluto). In this study, we have analysed the glaciological dynamic of megadunes, their spectral properties and morphology on two sample areas of the East Antarctic Plateau where in the past international field activities were carried out (EAIIST, East Antarctic International Ice Sheet Traverse; It-ITASE, Italian International Trans-Antarctic Scientific Expedition). Using satellite images spanning 7 years, we analysed the spatial and temporal variability in megadune surface characteristics, i.e. near-infrared (NIR) albedo, thermal brightness temperature (BT) and slope along the prevailing wind direction (SPWD), useful for mapping them. These parameters allowed us to characterize and perform an automated detection of the glazed surfaces, and we determined the influence of the SPWD by evaluating different combinations of these parameters. The inclusion of the SPWD significantly increased the accuracy of the method, doubling it in certain analysed scenes. Using remote and field observations, for the first time we surveyed all the components of upwind migration (absolute, sedimentological and ice flow), finding an absolute value of about 10 m a-1. The analysis shows that the migration is driven by the snow accumulation on the crest and trough prograding upwind on the previous windward flanks characterized by glazed surface. Our results present significant implications for the surface mass balance estimation, paleo-climate reconstruction using ice cores, and the measurements using optical and radar images/data in the megadune areas.</t>
  </si>
  <si>
    <t>[Traversa, Giacomo] Natl Res Council Italy, Inst Polar Sci, I-20125 Milan, Italy; [Traversa, Giacomo] Univ Siena, Dept Phys Sci Earth &amp; Environm DSFTA, I-53100 Siena, Italy; [Fugazza, Davide] Univ Milan, Dept Environm Sci &amp; Policy ESP, I-20133 Milan, Italy; [Frezzotti, Massimo] Univ Roma Tre, Dept Sci, I-00146 Rome, Italy</t>
  </si>
  <si>
    <t>Consiglio Nazionale delle Ricerche (CNR); University of Siena; University of Milan; Italfarmaco; Roma Tre University</t>
  </si>
  <si>
    <t>Traversa, G (corresponding author), Natl Res Council Italy, Inst Polar Sci, I-20125 Milan, Italy.;Traversa, G (corresponding author), Univ Siena, Dept Phys Sci Earth &amp; Environm DSFTA, I-53100 Siena, Italy.</t>
  </si>
  <si>
    <t>giacomo.traversa@isp.cnr.it; massimo.frezzotti@uniroma3.it</t>
  </si>
  <si>
    <t>Traversa, Giacomo/HPC-6524-2023; Fugazza, Davide/ABD-4914-2020</t>
  </si>
  <si>
    <t>Traversa, Giacomo/0000-0003-3108-887X; Fugazza, Davide/0000-0003-4523-9085; FREZZOTTI, Massimo/0000-0002-2461-2883</t>
  </si>
  <si>
    <t>Levissima Sanpellegrino S.P.A. [LIB_VT17GDIOL]</t>
  </si>
  <si>
    <t>Levissima Sanpellegrino S.P.A.</t>
  </si>
  <si>
    <t>The research has been supported by Levissima Sanpellegrino S.P.A. (grant no. LIB_VT17GDIOL, postdoc fellow-ship to Davide Fugazza)</t>
  </si>
  <si>
    <t>10.5194/tc-17-427-2023</t>
  </si>
  <si>
    <t>8L1CK</t>
  </si>
  <si>
    <t>WOS:000923526500001</t>
  </si>
  <si>
    <t>Mendes, CRB; Costa, RR; Ferreira, A; Jesus, B; Tavano, VM; Dotto, TS; Leal, MC; Kerr, R; Islabao, CA; Franco, ADD; Mata, MM; Garcia, CAE; Secchi, ER</t>
  </si>
  <si>
    <t>Borges Mendes, Carlos Rafael; Costa, Raul Rodrigo; Ferreira, Afonso; Jesus, Bruno; Tavano, Virginia Maria; Dotto, Tiago Segabinazzi; Leal, Miguel Costa; Kerr, Rodrigo; Islabao, Carolina Antuarte; da Rocha Franco, Andrea de Oliveira; Mata, Mauricio M. M.; Eiras Garcia, Carlos Alberto; Secchi, Eduardo Resende</t>
  </si>
  <si>
    <t>Cryptophytes: An emerging algal group in the rapidly changing Antarctic Peninsula marine environments</t>
  </si>
  <si>
    <t>GLOBAL CHANGE BIOLOGY</t>
  </si>
  <si>
    <t>Antarctic Peninsula; light; nanoflagellates; photophysiology; phytoplankton; regional warming</t>
  </si>
  <si>
    <t>PHYTOPLANKTON COMMUNITY-STRUCTURE; SOUTHERN-OCEAN; PHAEOCYSTIS-ANTARCTICA; CHEMOTAXONOMIC GROUPS; POPULATION-CHANGES; HPLC MEASUREMENTS; CLASS ABUNDANCES; RDNA PHYLOGENY; CLIMATE-CHANGE; SEA-ICE</t>
  </si>
  <si>
    <t>The western Antarctic Peninsula (WAP) is a climatically sensitive region where foundational changes at the basis of the food web have been recorded; cryptophytes are gradually outgrowing diatoms together with a decreased size spectrum of the phytoplankton community. Based on a 11-year (2008-2018) in-situ dataset, we demonstrate a strong coupling between biomass accumulation of cryptophytes, summer upper ocean stability, and the mixed layer depth. Our results shed light on the environmental conditions favoring the cryptophyte success in coastal regions of the WAP, especially during situations of shallower mixed layers associated with lower diatom biomass, which evidences a clear competition or niche segregation between diatoms and cryptophytes. We also unravel the cryptophyte photo-physiological niche by exploring its capacity to thrive under high light stress normally found in confined stratified upper layers. Such conditions are becoming more frequent in the Antarctic coastal waters and will likely have significant future implications at various levels of the marine food web. The competitive advantage of cryptophytes in environments with significant light level fluctuations was supported by laboratory experiments that revealed a high flexibility of cryptophytes to grow in different light conditions driven by a fast photo-regulating response. All tested physiological parameters support the hypothesis that cryptophytes are highly flexible regarding their growing light conditions and extremely efficient in rapidly photo-regulating changes to environmental light levels. This plasticity would give them a competitive advantage in exploiting an ecological niche where light levels fluctuate quickly. These findings provide new insights on niche separation between diatoms and cryptophytes, which is vital for a thorough understanding of the WAP marine ecosystem.</t>
  </si>
  <si>
    <t>[Borges Mendes, Carlos Rafael; Costa, Raul Rodrigo; Ferreira, Afonso; Tavano, Virginia Maria; Islabao, Carolina Antuarte; da Rocha Franco, Andrea de Oliveira] Univ Fed Rio Grande FURG, Lab Fitoplancton &amp; Microorganismos Marinhos, Inst Oceanog, Rio Grande, RS, Brazil; [Borges Mendes, Carlos Rafael; Costa, Raul Rodrigo; Tavano, Virginia Maria; Kerr, Rodrigo; Mata, Mauricio M. M.; Eiras Garcia, Carlos Alberto] Univ Fed Rio Grande FURG, Lab Estudo Oceanos &amp; Clima, Inst Oceanog, Rio Grande, RS, Brazil; [Ferreira, Afonso] Univ Lisbon, Fac Ciencias, Ctr Ciencias Mar &amp; Ambiente, MARE, Lisbon, Portugal; [Jesus, Bruno] Univ Nantes, Fac Sci &amp; Tech, Lab Mer Mol Sante, Nantes, France; [Dotto, Tiago Segabinazzi] Univ East Anglia, Ctr Ocean &amp; Atmospher Sci, Sch Environm Sci, Norwich, England; [Leal, Miguel Costa] Univ Aveiro, CESAM Ctr Environm &amp; Marine Studies, Dept Biol, ECOMARE, Aveiro, Portugal; [Secchi, Eduardo Resende] Univ Fed Rio Grande FURG, Lab Ecol &amp; Conservacao Megafauna Marinha, Inst Oceanog, Rio Grande, RS, Brazil; [Borges Mendes, Carlos Rafael] Univ Fed Rio Grande FURG, Lab Fitoplancton &amp; Microorganismos Marinhos, Inst Oceanog, Ave Italia,km 8, BR-96203900 Rio Grande, RS, Brazil</t>
  </si>
  <si>
    <t>Universidade Federal do Rio Grande; Universidade Federal do Rio Grande; Universidade de Lisboa; Nantes Universite; University of East Anglia; Universidade de Aveiro; Universidade Federal do Rio Grande; Universidade Federal do Rio Grande</t>
  </si>
  <si>
    <t>Mendes, CRB (corresponding author), Univ Fed Rio Grande FURG, Lab Fitoplancton &amp; Microorganismos Marinhos, Inst Oceanog, Ave Italia,km 8, BR-96203900 Rio Grande, RS, Brazil.</t>
  </si>
  <si>
    <t>crbmendes@gmail.com</t>
  </si>
  <si>
    <t>Kerr, Rodrigo/I-2494-2012; Mendes, Carlos/I-1520-2012; Ferreira, Afonso/Y-3832-2018; Mata, Mauricio/H-4605-2011; Tavano, Virginia/C-5241-2013</t>
  </si>
  <si>
    <t>Kerr, Rodrigo/0000-0002-2632-3137; Mendes, Carlos/0000-0001-6875-8860; Costa, Raul Rodrigo/0000-0002-0940-3565; Ferreira, Afonso/0000-0002-2670-8125; Mata, Mauricio/0000-0002-9028-8284; Tavano, Virginia/0000-0003-0039-8111; Segabinazzi Dotto, Tiago/0000-0003-0565-6941; de Oliveira da Rocha Franco, Andrea/0000-0002-6656-8358</t>
  </si>
  <si>
    <t>Conselho Nacional de Desenvolvimento Cientifico e Tecnologico; Coordenacao de Aperfeicoamento de Pessoal de Nivel Superior; Fundacao para a Ciencia e a Tecnologia; Portuguese Polar Program [405869/2013-4, 407889/2013-2, 442628/2018-8, 442637/2018-7, 520189/2006-0, 556848/2009-8, 565040/2010-3, 151248/2019-2]; [23038.001421/2014-30]; [UIDB/04292/2020]; [LA/P/0094/2020]; [UIDB/50017/2020]; [UIDP/50017/2020]; [CEECIND/01618/2020]; [SFRH/BD/144586/2019]</t>
  </si>
  <si>
    <t>Conselho Nacional de Desenvolvimento Cientifico e Tecnologico(Conselho Nacional de Desenvolvimento Cientifico e Tecnologico (CNPQ)); Coordenacao de Aperfeicoamento de Pessoal de Nivel Superior(Coordenacao de Aperfeicoamento de Pessoal de Nivel Superior (CAPES)); Fundacao para a Ciencia e a Tecnologia(Fundacao para a Ciencia e a Tecnologia (FCT)); Portuguese Polar Program; ; ; ; ; ; ;</t>
  </si>
  <si>
    <t>Conselho Nacional de Desenvolvimento Cientifico e Tecnologico, Grant/Award Number: 405869/2013-4, 407889/2013-2, 442628/2018-8, 442637/2018-7, 520189/2006-0, 556848/2009-8, 565040/2010-3 and 151248/2019-2; Coordenacao de Aperfeicoamento de Pessoal de Nivel Superior, Grant/Award Number: 23038.001421/2014-30; Fundacao para a Ciencia e a Tecnologia, Grant/Award Number: UIDB/04292/2020, LA/P/0094/2020, UIDB/50017/2020, UIDP/50017/2020, CEECIND/01618/2020 and SFRH/BD/144586/2019; Portuguese Polar Program</t>
  </si>
  <si>
    <t>1354-1013</t>
  </si>
  <si>
    <t>1365-2486</t>
  </si>
  <si>
    <t>GLOBAL CHANGE BIOL</t>
  </si>
  <si>
    <t>Glob. Change Biol.</t>
  </si>
  <si>
    <t>10.1111/gcb.16602</t>
  </si>
  <si>
    <t>9M4OE</t>
  </si>
  <si>
    <t>WOS:000924002100001</t>
  </si>
  <si>
    <t>Kusahara, K; Tatebe, H; Hajima, T; Saito, F; Kawamiya, M</t>
  </si>
  <si>
    <t>Kusahara, Kazuya; Tatebe, Hiroaki; Hajima, Tomohiro; Saito, Fuyuki; Kawamiya, Michio</t>
  </si>
  <si>
    <t>Antarctic Sea Ice Holds the Fate of Antarctic Ice-Shelf Basal Melting in a Warming Climate</t>
  </si>
  <si>
    <t>Ice shelves; Sea ice; Southern Ocean; Ocean models</t>
  </si>
  <si>
    <t>SOUTHERN ANNULAR MODE; PART II; OCEAN; CMIP5; CIRCULATION; RATES; TRENDS; FLUXES; CAVITY; HEAT</t>
  </si>
  <si>
    <t>Changes in the Antarctic ice sheet play a critical role in the Southern Ocean and global climates. Although many studies have pointed out that enhanced ocean heat delivery onto the Antarctic continental shelf regions can cause significant changes in Antarctic ice-shelf basal melting, the associated physical mechanisms require further research. Here, we perform numerical experiments using an ocean-sea ice model with an ice-shelf component to simulate future projections in Antarctic ice-shelf basal melting in a warming climate, focusing on the driving mechanism and the physical linkages with the seasonal Antarctic sea ice fields and coastal water masses. The model projects a distinct superlinear response of ice-shelf basal melting to future atmospheric warming, demonstrating that future projections of the Antarctic and Southern Ocean climate bifurcate with the level of global warming. Detailed examinations of sea ice and water masses show that in an extreme warming scenario, a combination of enhanced intrusions of warm deep water and warm summertime surface water can cause the nonlinear response of Antarctic ice-shelf basal melting. A large reduction in Antarctic coastal sea ice and the associated ocean freshening by decreasing coastal sea ice production in winter provide favorable conditions for summertime warm surface water formation and warm deep water intrusions onto some continental shelves. The model results demonstrate that disappearing summertime sea ice along the Antarctic coastal margins in a warming climate heralds the nonlinear increase in Antarctic ice-shelf basal melting, presumably contributing to the negative mass balance of the Antarctic ice sheet and the sea level rise.</t>
  </si>
  <si>
    <t>[Kusahara, Kazuya; Tatebe, Hiroaki; Hajima, Tomohiro; Saito, Fuyuki; Kawamiya, Michio] Japan Agcy Marine Earth Sci &amp; Technol JAMSTEC, Yokohama, Kanagawa, Japan</t>
  </si>
  <si>
    <t>Japan Agency for Marine-Earth Science &amp; Technology (JAMSTEC)</t>
  </si>
  <si>
    <t>Kusahara, K (corresponding author), Japan Agcy Marine Earth Sci &amp; Technol JAMSTEC, Yokohama, Kanagawa, Japan.</t>
  </si>
  <si>
    <t>kazuya.kusahara@gmail.com</t>
  </si>
  <si>
    <t>SAITO, Fuyuki/0000-0001-5935-9614; Kawamiya, Michio/0000-0001-7553-0522; Kusahara, Kazuya/0000-0003-4067-7959</t>
  </si>
  <si>
    <t>Integrated Research Program for Advancing Climate Models (TOUGOU) [JPMXD0717935715, JPMXD0717935457]; Ministry of Education, Culture, Sports, Science and Technology (MEXT), Japan; Japan Society for the Promotion of Science (JSPS) KAKENHI [JP19K12301, JP17H06323, JP21H04918, JP21H04931, JP21H03587]</t>
  </si>
  <si>
    <t>Integrated Research Program for Advancing Climate Models (TOUGOU); Ministry of Education, Culture, Sports, Science and Technology (MEXT), Japan(Ministry of Education, Culture, Sports, Science and Technology, Japan (MEXT)); Japan Society for the Promotion of Science (JSPS) KAKENHI(Ministry of Education, Culture, Sports, Science and Technology, Japan (MEXT)Japan Society for the Promotion of ScienceGrants-in-Aid for Scientific Research (KAKENHI))</t>
  </si>
  <si>
    <t>Acknowledgments. This work was supported by the Integrated Research Program for Advancing Climate Models (TOUGOU) Grants JPMXD0717935715 and JPMXD0717935457 from the Ministry of Education, Culture, Sports, Science and Technology (MEXT), Japan. KK was supported by the Japan Society for the Promotion of Science (JSPS) KAKENHI (Grants JP19K12301, JP17H06323, JP21H04918, JP21H04931, and JP21H03587). All numerical experiments with the ocean-sea ice-ice shelf model were performed on HPE Apollo6000XL230k Gen10 (DA system) in JAMSTEC. We are grateful to two anonymous reviewers for their thorough review and constructive comments on the manuscript.</t>
  </si>
  <si>
    <t>10.1175/JCLI-D-22-0079.1</t>
  </si>
  <si>
    <t>8G9JH</t>
  </si>
  <si>
    <t>WOS:000920656500001</t>
  </si>
  <si>
    <t>Zhou, SJ; Renfrew, IA; Zhai, XM</t>
  </si>
  <si>
    <t>Zhou, Shenjie; Renfrew, Ian A.; Zhai, Xiaoming</t>
  </si>
  <si>
    <t>The Impact of Stochastic Mesoscale Weather Systems on the Atlantic Ocean</t>
  </si>
  <si>
    <t>North Atlantic Ocean; Atmosphere-ocean interaction; Mesoscale processes; Oceanic mixed layer; Stochastic models; Sea surface temperature</t>
  </si>
  <si>
    <t>AIR-SEA FLUXES; SCALE DEPENDENCE; DEEP CONVECTION; CLIMATE MODELS; VARIABILITY; SPECTRA; OSCILLATION; CIRCULATION; WINDS</t>
  </si>
  <si>
    <t>The ocean is forced by the atmosphere on a range of spatial and temporal scales. In numerical models the atmospheric resolution sets a limit on these scales and for typical climate models mesoscale (&lt;500 km) atmospheric forcing is absent or misrepresented. Previous studies have demonstrated that mesoscale forcing significantly affects key ocean circulation systems such as the North Atlantic subpolar gyre (SPG) and the Atlantic meridional overturning circulation (AMOC). Here we present ocean model simulations that demonstrate that the addition of realistic mesoscale atmospheric forcing leads to coherent patterns of change: a cooler sea surface in the tropical and subtropical Atlantic Ocean and deeper mixed layers in the subpolar North Atlantic in autumn, winter, and spring. These lead to robust statistically significant increases in the volume transport of the North Atlantic SPG by 10% and the AMOC by up to 10%. Our simulations use a novel stochastic parameterization-based on a cellular automata algorithm-to represent spatially coherent weather systems realistically over a range of scales, including down to the smallest resolvable by the ocean grid (similar to 10 km). Convection-permitting atmospheric models predict changes in the intensity and frequency of mesoscale weather systems due to climate change, so representing them in coupled climate models would bring higher fidelity to future climate projections.</t>
  </si>
  <si>
    <t>[Zhou, Shenjie; Renfrew, Ian A.; Zhai, Xiaoming] Univ East Anglia, Ctr Ocean &amp; Atmospher Sci, Sch Environm Sci, Norwich, Norfolk, England; [Zhou, Shenjie] British Antarctic Survey, Cambridge, Cambridgeshire, England</t>
  </si>
  <si>
    <t>University of East Anglia; UK Research &amp; Innovation (UKRI); Natural Environment Research Council (NERC); NERC British Antarctic Survey</t>
  </si>
  <si>
    <t>Zhou, SJ (corresponding author), Univ East Anglia, Ctr Ocean &amp; Atmospher Sci, Sch Environm Sci, Norwich, Norfolk, England.;Zhou, SJ (corresponding author), British Antarctic Survey, Cambridge, Cambridgeshire, England.</t>
  </si>
  <si>
    <t>shezhou@bas.ac.uk</t>
  </si>
  <si>
    <t>Renfrew, Ian A/E-4057-2010; Zhai, Xiaoming/AAB-7129-2021</t>
  </si>
  <si>
    <t>Zhai, Xiaoming/0000-0003-4519-1931; Zhou, Shenjie/0000-0002-9124-6270</t>
  </si>
  <si>
    <t>Research and Specialist Computing Support service at the University of East Anglia; NERC [NE/N009754/1]; NERC [NE/N009754/1] Funding Source: UKRI</t>
  </si>
  <si>
    <t>Research and Specialist Computing Support service at the University of East Anglia; NERC(UK Research &amp; Innovation (UKRI)Natural Environment Research Council (NERC)); NERC(UK Research &amp; Innovation (UKRI)Natural Environment Research Council (NERC))</t>
  </si>
  <si>
    <t>Acknowledgments. Our model simulations were carried out on the High-Performance Computing Cluster supported by the Research and Specialist Computing Support service at the University of East Anglia. Authors Zhou and Renfrew acknowledge partial support from the NERC Grant NE/N009754/1, a component of the Iceland Greenland Seas Project, which helped to inspire the design of this study. Zhou thanks Adrian Matthews, David Ferreira, and Xiaolong Yu for helpful discussions on this work.</t>
  </si>
  <si>
    <t>10.1175/JCLI-D-22-0044.1</t>
  </si>
  <si>
    <t>WOS:000920656500005</t>
  </si>
  <si>
    <t>Yang, X; Shi, YF; Cai, YQ; Chi, H</t>
  </si>
  <si>
    <t>Yang, Xu; Shi, Yongfu; Cai, Youqiong; Chi, Hai</t>
  </si>
  <si>
    <t>Quality Changes and Safety Evaluation of Ready-to-Eat Roasted Antarctic Krill (Euphausia superba) During Storage at Room Temperature (25°C)</t>
  </si>
  <si>
    <t>Antarctic krill; ready-to-eat product; antioxidant; quality changes; shelf life; safety potential</t>
  </si>
  <si>
    <t>FLUORIDE; PEPTIDES; GROWTH</t>
  </si>
  <si>
    <t>The objective of this study was to determine the quality changes and shelf life of ready-to-eat roasted Antarctic krill, either untreated (CT) or treated with sodium diacetate (SD) or sodium diacetate and a deoxidizer (SDD), during storage at room temperature (25 degrees C) by using sensory, physiochemical, and microbial assessment. Additionally, fluoride accumulation in this food product was used to evaluate its safety. Analysis showed that the addition of SD and SDD resulted in better sensory scores compared of that of CT samples (P &lt;0.05). Accordingly, microorganism growth and total basic nitrogen (TVB-N) were maintained at a low level for the duration of storage with SD and SDD treatments. The total viable counts of SD and SDD reached (4.58 +/- 0.08) log (CFU g(-1)) and (4.20 +/- 0.11) log (CFU g(-1)), respectively. The mold was found after 6 and 18 days for SD and SDD treatment, and the numbers reached 5.2 x 10(6) and 8.5 x 10(4) respectively at the end of shelf life. The TVB-N values from CT continuously increased during the whole storage. While TVB-N values from SD and SDD remained significantly less change (P &lt;0.05) during the early 20 days of the storage, and the values reached (12.11 +/- 0.07) mg (100 g)(-1) and (10.88 +/- 0.15) mg (100 g)(-1) on day 33 and day 70, respectively. Importantly, SDD treatment effectively minimized the oxidation values and retained the color of ready-to-eat roasted Antarctic krill. Our results showed that the shelf life of ready-to-eat roasted Antarctic krill treated with SDD was extended by up to 52 days. Additionally, rats fed ready-to-eat roasted Antarctic krill showed accumulation of fluoride exclusively in the thighbone. The accumulation of fluoride residues in the thighbone showed concentration-dependent. The concentrations of fluoride residues in rats were (1760.03 +/- 38.21), (2371.52 +/- 42.15) mg kg(-1) and (3615.44 +/- 30.53) mg kg(-1), which were less than sodium fluoride feeding group (4621.01 +/- 28.67) mg kg(-1). The results suggested that the SD and SDD treatments led to better quality and shelf life extension of ready-to-eat roasted Antarctic krill during storage at room temperature (25 degrees C). Therefore, the ready-to-eat roasted Antarctic krill can be of great interest to the seafood industry.</t>
  </si>
  <si>
    <t>[Yang, Xu; Shi, Yongfu; Cai, Youqiong; Chi, Hai] Chinese Acad Fishery Sci, East China Sea Fisheries Res Inst, Shanghai 200090, Peoples R China</t>
  </si>
  <si>
    <t>Chinese Academy of Fishery Sciences; East China Sea Fisheries Research Institute, CAFS</t>
  </si>
  <si>
    <t>Chi, H (corresponding author), Chinese Acad Fishery Sci, East China Sea Fisheries Res Inst, Shanghai 200090, Peoples R China.</t>
  </si>
  <si>
    <t>chih@ecsf.ac.cn</t>
  </si>
  <si>
    <t>National Key R&amp;D Program of China [2020YFD0901204, 2017YFC1600706]; Natural Science Foundation of Shanghai [22ZR 1478500]</t>
  </si>
  <si>
    <t>National Key R&amp;D Program of China; Natural Science Foundation of Shanghai(Natural Science Foundation of Shanghai)</t>
  </si>
  <si>
    <t>AcknowledgementsThis work was supported by the National Key R&amp;D Program of China (Nos. 2020YFD0901204, 2017YFC1600706), and the Natural Science Foundation of Shanghai (No. 22ZR 1478500). We highly appreciated that the 36th Antarctic expedition of China supported the samples of Antarctic krill.</t>
  </si>
  <si>
    <t>10.1007/s11802-023-5162-z</t>
  </si>
  <si>
    <t>7Y3OV</t>
  </si>
  <si>
    <t>WOS:000914793900024</t>
  </si>
  <si>
    <t>Lobkovskii, LI; Baranov, AA; Vladimirova, IS; Alekseev, DA</t>
  </si>
  <si>
    <t>Lobkovskii, L. I.; Baranov, A. A.; Vladimirova, I. S.; Alekseev, D. A.</t>
  </si>
  <si>
    <t>The Large Earthquakes and Deformation Waves as Possible Triggers of Climate Warming in the Arctic and Glacier Destruction in the Antarctic</t>
  </si>
  <si>
    <t>HERALD OF THE RUSSIAN ACADEMY OF SCIENCES</t>
  </si>
  <si>
    <t>Arctic; metastable gas hydrates; methane emission; climate warming; West Antarctica; destruction of glaciers; large earthquakes; tectonic waves; trigger mechanism</t>
  </si>
  <si>
    <t>According to the modern climate paradigm, anomalous phenomena occurring in the polar regions of the Earth, such as rapid warming in the Arctic and intensive destruction of glaciers in the Antarctic, are a serious danger and challenge for civilization since they can potentially lead to global climate warming by several degrees and a rise in the level of the World Ocean by several tens of centimeters as soon as the 21st century. It is presumed that the main cause of these processes, which have strongly accelerated since the second half of the 1970s, was the anthropogenic factor of carbon dioxide emissions into the atmosphere, leading to the greenhouse effect. This statement, taken for granted in most developed countries, has led to several international agreements to limit carbon emissions and ideas about the need for a rapid transition to a low-carbon green economy. As for the influence of natural factors on the development of the mentioned dangerous processes, no one denies such a possibility since the facts of climatic changes in preindustrial eras are well known in the geological history of the Earth. However, the geological time scales are so large that most climatologists implicitly proceed from the assumption that short-term climate changes observed over the past and present centuries with a characteristic time of tens of years are mainly determined by rapidly changing atmospheric and oceanic processes. However, one should bear in mind the influence of rapid geophysical processes, such as cycles of earthquakes or volcanic eruptions, which are comparable in time scales with modern climate changes. If an analysis is based on the large megathrust earthquakes with a magnitude greater than 8 and the large-scale deformation waves caused by them in the lithosphere, then, considering physically based trigger mechanisms, it is possible to construct a geodynamic scheme that explains the observed climatic changes in the Arctic and the glacier destruction processes in the Antarctic. This article describes this new geodynamic concept.</t>
  </si>
  <si>
    <t>[Lobkovskii, L. I.; Vladimirova, I. S.; Alekseev, D. A.] Russian Acad Sci, Shirshov Inst Oceanol IO, Moscow, Russia; [Lobkovskii, L. I.; Alekseev, D. A.] Natl Res Univ, Moscow Inst Phys &amp; Technol MIPT, Dolgoprudnyi, Russia; [Baranov, A. A.] Russian Acad Sci, Inst Earthquake Predict Theory &amp; Math Geophys IEP, Moscow, Russia; [Vladimirova, I. S.] Russian Acad Sci, Fed Res Ctr Geog Survey FRC GS, Obninsk, Russia</t>
  </si>
  <si>
    <t>Russian Academy of Sciences; Shirshov Institute of Oceanology; Moscow Institute of Physics &amp; Technology; Russian Academy of Sciences; Institute of Earthquake Prediction Theory &amp; Mathematical Geophysics; Russian Academy of Sciences</t>
  </si>
  <si>
    <t>Lobkovskii, LI (corresponding author), Russian Acad Sci, Shirshov Inst Oceanol IO, Moscow, Russia.;Lobkovskii, LI (corresponding author), Natl Res Univ, Moscow Inst Phys &amp; Technol MIPT, Dolgoprudnyi, Russia.</t>
  </si>
  <si>
    <t>llobkovsky@ocean.ru; aabaranov@gmail.com; ir.s.vladimirova@yandex.ru; alexeevgeo@gmail.com</t>
  </si>
  <si>
    <t>1019-3316</t>
  </si>
  <si>
    <t>1555-6492</t>
  </si>
  <si>
    <t>HER RUSS ACAD SCI+</t>
  </si>
  <si>
    <t>Her. Russ. Acad. Sci.</t>
  </si>
  <si>
    <t>10.1134/S1019331623030085</t>
  </si>
  <si>
    <t>History &amp; Philosophy Of Science; Multidisciplinary Sciences</t>
  </si>
  <si>
    <t>History &amp; Philosophy of Science; Science &amp; Technology - Other Topics</t>
  </si>
  <si>
    <t>JC2F2</t>
  </si>
  <si>
    <t>WOS:001170884400006</t>
  </si>
  <si>
    <t>Bello, C; Suarez, W; Brondi, F</t>
  </si>
  <si>
    <t>Bello, Cinthya; Suarez, Wilson; Brondi, Fabian</t>
  </si>
  <si>
    <t>Determining the geodetic mass balance of the Znosko glacier (King George Island, Antarctica) using an unmanned aerial vehicle</t>
  </si>
  <si>
    <t>REMOTE SENSING LETTERS</t>
  </si>
  <si>
    <t>geodetic mass balance; glacier; unmanned aerial vehicles; Antarctica</t>
  </si>
  <si>
    <t>ICE CAP; FIELD; TOPOGRAPHY; ALTITUDE</t>
  </si>
  <si>
    <t>In the last decade, unmanned aerial vehicles (UAVs) have been used for scientific research specially for glaciological applications in Antarctica. In the study an UAV was used to detect changes in Znosko glacier surface, map the glacier contour, snow line and estimate the geodetic mass balance. Znosko glacier (ZG) located in King George Island (KGI), Antarctic Peninsula has an estimated total area of 1.77 km(2) (January 2020), a length of 1.9 km and maximum elevation of 300 metres above sea level (m a.s.l.). The aerial photogrammetric survey was carried out in two field campaigns (austral summer 2019 and 2020) during the XXVI and XXVII Peruvian Antarctic Operation using a Quadcopter for image acquisition. Our findings reveal a negative geodetic mass balance for the periods 2019-2012, 2020-2019 and 2020-2012 with -15.25, -2.76 and -17.97 metre water equivalent (m w.e.) respectively. Analysis of these datasets confirm a mass loss with a heterogeneous pattern between accumulation and ablation zone. Furthermore, glacier outlines reveal that ZG front has lost approximately 3% of its area between 2012 and 2020 by calving effect.</t>
  </si>
  <si>
    <t>[Bello, Cinthya] Minist Foreign Affairs Peru, Directorate Antarctic Affairs, Lima, Peru; [Bello, Cinthya; Suarez, Wilson] Natl Agrarian Univ Molina, Doctorate Water Resources, Lima, Peru; [Suarez, Wilson] Natl Serv Meteorol &amp; Hydrol Peru, Directorate Hydrol, Lima, Peru; [Brondi, Fabian] Mother Earth Data Sharing, Operat Dept, Amsterdam, Netherlands</t>
  </si>
  <si>
    <t>Bello, C (corresponding author), Minist Foreign Affairs Peru, Directorate Antarctic Affairs, Lima, Peru.</t>
  </si>
  <si>
    <t>cbello@rree.gob.pe</t>
  </si>
  <si>
    <t>Bello, Cinthya/JBI-7052-2023; Bello Chirinos, Cinthya Elizabeth/KHU-5900-2024; Suarez, Wilson/JPY-4299-2023</t>
  </si>
  <si>
    <t>Suarez, Wilson/0000-0002-3409-790X; Brondi Rueda, Nestor Fabian/0000-0002-1582-4892; Bello, Cinthya/0000-0003-4154-6379</t>
  </si>
  <si>
    <t>2150-704X</t>
  </si>
  <si>
    <t>2150-7058</t>
  </si>
  <si>
    <t>REMOTE SENS LETT</t>
  </si>
  <si>
    <t>Remote Sens. Lett.</t>
  </si>
  <si>
    <t>10.1080/2150704X.2023.2165419</t>
  </si>
  <si>
    <t>7T3MI</t>
  </si>
  <si>
    <t>WOS:000911348700001</t>
  </si>
  <si>
    <t>Liu, TT; Ding, R; Ai, ST</t>
  </si>
  <si>
    <t>Liu, Tingting; Ding, Rui; Ai, Songtao</t>
  </si>
  <si>
    <t>An Improved Intersection Method for Positioning and Its Application to Dalk Glacier, East Antarctica</t>
  </si>
  <si>
    <t>JOURNAL OF SURVEYING ENGINEERING</t>
  </si>
  <si>
    <t>Dalk Glacier; Stake measurement; Forward intersection</t>
  </si>
  <si>
    <t>SURFACE VELOCITIES; MASS-BALANCE; LIVINGSTON ISLAND; ICE VELOCITY; MODEL; DATASET; MOTION</t>
  </si>
  <si>
    <t>Stake measurement is a significant ground-observation method used to monitor glacier dynamics in the cryosphere and validate the reliability of remotely sensed investigations. However, some stake observation records obtained by total stations have not been efficiently utilized via the classic forward intersection method. The forward intersection method requires a pair of cognominal observation records and cannot function if stakes are only observed from one control point at a stake measurement, which commonly occurs in measurements. Therefore, we propose an improved intersection method that combines stake trajectories and sightlines, the trajectory-sightline intersection method, which requires only a single observation record. In the processing of stake identification, location and elevation from the trajectory-sightline intersection method are constrained by the velocity and surface altitude of the glacier. Then, the trajectory-sightline intersection method is applied to the stake measurement of Dalk Glacier in East Antarctica. The results show that the trajectory-sightline intersection method extracted an additional 44 intersections, thus increasing the data utilization ratio by 20.35%. Moreover, leave-p-out cross-validation indicated that the trajectory-sightline intersection method, with an average offset of 0.88 &amp; PLUSMN;0.54 m in the horizontal position and 0.26 &amp; PLUSMN;0.12 m at the elevation, has similar accuracy to the differential global positioning system (DGPS) applied to Livingston Island. The ice flow velocities of Dalk Glacier calculated from trajectory-sightline intersections agree with those from forward intersections (the mean velocity difference is 0.47 m &amp; BULL;year(-1)). Therefore, the trajectory-sightline intersection method is an effective method for improving data utilization and obtaining stake locations and glacier velocities. (c) 2022 American Society of Civil Engineers.</t>
  </si>
  <si>
    <t>[Liu, Tingting; Ding, Rui; Ai, Songtao] Wuhan Univ, Chinese Antarctic Ctr Surveying &amp; Mapping, 129 Luoyu Rd, Wuhan 430079, Hubei, Peoples R China; [Liu, Tingting; Ai, Songtao] Minist Nat Resources, Key Lab Polar Surveying &amp; Mapping, Wuhan 430079, Hubei, Peoples R China; [Liu, Tingting; Ai, Songtao] Wuhan Univ, Hubei Luojia Lab, Wuhan 430079, Hubei, Peoples R China</t>
  </si>
  <si>
    <t>Ai, ST (corresponding author), Wuhan Univ, Chinese Antarctic Ctr Surveying &amp; Mapping, 129 Luoyu Rd, Wuhan 430079, Hubei, Peoples R China.;Ai, ST (corresponding author), Wuhan Univ, Hubei Luojia Lab, Wuhan 430079, Hubei, Peoples R China.</t>
  </si>
  <si>
    <t>ttliu23@whu.edu.cn; dingruilxm@whu.edu.cn; ast@whu.edu.cn</t>
  </si>
  <si>
    <t>DING, RUI/P-3018-2019; Ding, Rui/JSL-0652-2023</t>
  </si>
  <si>
    <t>DING, RUI/0000-0002-3542-3965;</t>
  </si>
  <si>
    <t>National Natural Science Foundation of China; [41941010]; [41676179]</t>
  </si>
  <si>
    <t>National Natural Science Foundation of China(National Natural Science Foundation of China (NSFC)); ;</t>
  </si>
  <si>
    <t>AcknowledgmentsThis work was supported by the National Natural Science Foundation of China [Grant Nos. 41941010 and 41676179]. The authors would like to thank the CHINARE researchers for their hard work in Antarctica. The authors are also grateful to American Journal Experts (AJE) for its English language editing service.</t>
  </si>
  <si>
    <t>ASCE-AMER SOC CIVIL ENGINEERS</t>
  </si>
  <si>
    <t>RESTON</t>
  </si>
  <si>
    <t>1801 ALEXANDER BELL DR, RESTON, VA 20191-4400 USA</t>
  </si>
  <si>
    <t>0733-9453</t>
  </si>
  <si>
    <t>1943-5428</t>
  </si>
  <si>
    <t>J SURV ENG</t>
  </si>
  <si>
    <t>J. Surv. Eng.-ASCE</t>
  </si>
  <si>
    <t>10.1061/(ASCE)SU.1943-5428.0000411</t>
  </si>
  <si>
    <t>Engineering, Civil</t>
  </si>
  <si>
    <t>7B7LN</t>
  </si>
  <si>
    <t>WOS:000899310700003</t>
  </si>
  <si>
    <t>Rusinova-Videva, S; Ognyanov, M; Georgiev, Y; Petrova, A; Dimitrova, P; Kambourova, M</t>
  </si>
  <si>
    <t>Rusinova-Videva, Snezhana; Ognyanov, Manol; Georgiev, Yordan; Petrova, Ani; Dimitrova, Petya; Kambourova, Margarita</t>
  </si>
  <si>
    <t>Chemical characterization and biological effect of exopolysaccharides synthesized by Antarctic yeasts Cystobasidium ongulense AL101 and Leucosporidium yakuticum AL102 on murine innate immune cells</t>
  </si>
  <si>
    <t>WORLD JOURNAL OF MICROBIOLOGY &amp; BIOTECHNOLOGY</t>
  </si>
  <si>
    <t>Antarctic yeasts; Chemical composition; Chromatography; Exopolysaccharide; Interferon-gamma; Macrophages</t>
  </si>
  <si>
    <t>EXTRACELLULAR POLYSACCHARIDES; STRUCTURAL ELUCIDATION; INFRARED-SPECTROSCOPY; MANNAN; GLUCAN; ANTIOXIDANT</t>
  </si>
  <si>
    <t>The current study aimed to investigate exopolysaccharides (EPSs) produced by two Antarctic yeasts isolated from soil and penguin feathers samples collected on Livingston Island (Antarctica). The strains were identified as belonging to the species Leucosporidium yakuticum (LY) and Cystobasidium ongulense (CO) based on molecular genetic analysis. The EPS production was investigated using submerged cultivation. Different chemical, chromatographic, and spectral analyses were employed to characterize EPSs. LY accumulated 5.5 g/L biomass and 4.0 g/L EPS after 120 h of cultivation, while CO synthesized 2.1 g/L EPS at the end of cultivation, and the biomass amount reached 5.5 g/L. LY-EPS was characterized by a higher total carbohydrate content (80%) and a lower protein content (18%) by comparison with CO-EPS (62%, 30%). The LY-EPS mainly consisted of mannose (90 mol%), whereas CO-EPS had also glucose, galactose, and small amounts of uronic acids (8-5 mol%). Spectral analyses (FT-IR and 1D, 2D NMR) revealed that LY-EPS comprised a typical beta-(1 -&gt; 4)-mannan. Branched (hetero)mannan, together with beta/alpha-glucans constituted the majority of CO-EPS. Unlike LY-EPS, which had a high percentage of high molecular weight populations, CO-EPS displayed a large quantity of lower molecular weight fractions and a higher degree of heterogeneity. LY-EPS (100 ng/mL) elevated significantly interferon gamma (IFN-gamma) production in splenic murine macrophages and natural killer (NK) cells. The results indicated that newly identified EPSs might affect IFN-gamma signaling and in turn, might enhance anti-infectious responses. The data obtained also revealed the potential of EPSs and yeasts for practical application in biochemical engineering and biotechnology.</t>
  </si>
  <si>
    <t>[Rusinova-Videva, Snezhana] Bulgarian Acad Sci, Stephan Angeloff Inst Microbiol, Dept Biotechnol, 139 Ruski Blvd, Plovdiv 4000, Bulgaria; [Ognyanov, Manol; Georgiev, Yordan; Petrova, Ani] Bulgarian Acad Sci, Inst Organ Chem Ctr Phytochemistry, Lab Biolog Act Subst, 139 Ruski Blvd, Plovdiv 4000, Bulgaria; [Dimitrova, Petya] Bulgarian Acad Sci, Stephan Angeloff Inst Microbiol, Dept Immunol, Acad 26 Georgi Bonchev Str, Sofia 1113, Bulgaria; [Kambourova, Margarita] Stephan Angeloff Inst Microbiol, Bulgarian Acad Sci, Dept Gen Microbiol, Acad 26 Georgi Bonchev Str, Sofia 1113, Bulgaria</t>
  </si>
  <si>
    <t>Bulgarian Academy of Sciences; Stephan Angeloff Institute of Microbiology, Bulgarian Academy of Sciences; Bulgarian Academy of Sciences; Bulgarian Academy of Sciences; Stephan Angeloff Institute of Microbiology, Bulgarian Academy of Sciences; Bulgarian Academy of Sciences; Stephan Angeloff Institute of Microbiology, Bulgarian Academy of Sciences</t>
  </si>
  <si>
    <t>Rusinova-Videva, S (corresponding author), Bulgarian Acad Sci, Stephan Angeloff Inst Microbiol, Dept Biotechnol, 139 Ruski Blvd, Plovdiv 4000, Bulgaria.</t>
  </si>
  <si>
    <t>jrusinova@abv.bg</t>
  </si>
  <si>
    <t>Ognyanov, Manol/ABD-5892-2020; Georgiev, Yordan/F-9123-2018</t>
  </si>
  <si>
    <t>Ognyanov, Manol/0000-0002-5568-0854; Kambourova, Margarita/0000-0002-7819-5376; Georgiev, Yordan/0000-0002-3988-3256; Dimitrova, Petya/0000-0003-0920-3712; Dimitrova, Albena/0009-0000-6124-607X</t>
  </si>
  <si>
    <t>Sofia University St. Kliment Ohridski [70.25-173]; Bulgarian Ministry of Education and Science</t>
  </si>
  <si>
    <t>Sofia University St. Kliment Ohridski; Bulgarian Ministry of Education and Science</t>
  </si>
  <si>
    <t>We would like to thank the staff of the Bulgarian Antarctic Expedition for their logistic support. The study was supported by Project 70.25-173/22.11.2019 of Sofia University St. Kliment Ohridski and the National Centre for Polar Studies in the frames of the National Program for Polar Studies 2017-2021, funded by the Bulgarian Ministry of Education and Science.</t>
  </si>
  <si>
    <t>0959-3993</t>
  </si>
  <si>
    <t>1573-0972</t>
  </si>
  <si>
    <t>WORLD J MICROB BIOT</t>
  </si>
  <si>
    <t>World J. Microbiol. Biotechnol.</t>
  </si>
  <si>
    <t>10.1007/s11274-022-03477-0</t>
  </si>
  <si>
    <t>7B0DM</t>
  </si>
  <si>
    <t>WOS:000898815400003</t>
  </si>
  <si>
    <t>Nelli, F; Derkani, MH; Alberello, A; Toffoli, A</t>
  </si>
  <si>
    <t>Nelli, Filippo; Derkani, Marzieh H.; Alberello, Alberto; Toffoli, Alessandro</t>
  </si>
  <si>
    <t>A satellite altimetry data assimilation approach to optimise sea state estimates from vessel motion</t>
  </si>
  <si>
    <t>APPLIED OCEAN RESEARCH</t>
  </si>
  <si>
    <t>Response amplitude operator; Sea-state reconstruction; WaMoS-II; Satellite altimeter; Wave spectrum</t>
  </si>
  <si>
    <t>OCEAN; WAVES; VALIDATION</t>
  </si>
  <si>
    <t>Estimates of directional wave spectra and related parameters can be obtained from ship motion data through the wave-buoy analogy approach. The fundamental input is the response amplitude operator (RAO), which translates ship response into a wave energy spectrum. While ship motion is routinely measured on ocean going vessels, the RAO is not directly available and it is approximated using ship hydrodynamic models. The lack of publicly available details of hull geometry and loading conditions can results in significant inaccuracy of this operator. Considering the reliability of remotely sensed wave height, here we propose an assimilation technique that uses satellite altimeter observations to calibrate the RAO and minimise its uncertainties. The method is applied to estimate sea state conditions during the Antarctic Circumnavigation Expedition by converting motion response of the icebreaker Akademik Tryoshnikov as recorded by the on-board inertial measurement unit. Comparison against concurrent sea state observations obtained from a marine radar device shows a good agreement for a variety of parameters including significant wave height, wave periods and mean wave direction.</t>
  </si>
  <si>
    <t>[Nelli, Filippo; Derkani, Marzieh H.; Toffoli, Alessandro] Univ Melbourne, Dept Infrastructure Engn, Parkville, Australia; [Alberello, Alberto] Univ East Anglia, Sch Math, Norwich, England; [Nelli, Filippo] Swinburne Univ Technol, Fac Sci Engn &amp; Technol, Hawthorn, Australia</t>
  </si>
  <si>
    <t>University of Melbourne; University of East Anglia; Swinburne University of Technology</t>
  </si>
  <si>
    <t>Nelli, F (corresponding author), Swinburne Univ Technol, Fac Sci Engn &amp; Technol, Hawthorn, Australia.</t>
  </si>
  <si>
    <t>filipponelli1988@gmail.com</t>
  </si>
  <si>
    <t>H. Derkani, Marzieh/0000-0001-7989-2192; Toffoli, Alessandro/0000-0003-3112-6856; Nelli, Filippo/0000-0003-4206-8516</t>
  </si>
  <si>
    <t>Antarctic Circumnavigation Expedition (ACE) through the ACE Foundation [CRC-P53991]; Ferring Pharmaceuticals; Australian Research Council; Australian Bureau of Meteorology [DP200102828]</t>
  </si>
  <si>
    <t>Antarctic Circumnavigation Expedition (ACE) through the ACE Foundation; Ferring Pharmaceuticals(Ferring Pharmaceuticals); Australian Research Council(Australian Research Council); Australian Bureau of Meteorology</t>
  </si>
  <si>
    <t>This work was supported by the Cooperative Research Centres Projects (CRC-P53991) and the Antarctic Circumnavigation Expedition (ACE) through the ACE Foundation and Ferring Pharmaceuticals. AT acknowledge partial support from the Australian Research Council grant DP200102828. MHD was partially supported by a PhD top-up from the Australian Bureau of Meteorology. Authors acknowledge Dr A. Bekker at Stellenbosch University for providing drawings of Arc7 ice -class design. Authors thank the Airseaice Project initiative for technical support.</t>
  </si>
  <si>
    <t>0141-1187</t>
  </si>
  <si>
    <t>1879-1549</t>
  </si>
  <si>
    <t>APPL OCEAN RES</t>
  </si>
  <si>
    <t>Appl. Ocean Res.</t>
  </si>
  <si>
    <t>10.1016/j.apor.2023.103479</t>
  </si>
  <si>
    <t>JAN 2023</t>
  </si>
  <si>
    <t>Engineering, Ocean; Oceanography</t>
  </si>
  <si>
    <t>C9KY8</t>
  </si>
  <si>
    <t>WOS:000965036400001</t>
  </si>
  <si>
    <t>Hu, CG; Yue, FE; Zhan, HC; Leung, KMY; Zhang, RQ; Gu, WH; Liu, HW; Chen, AF; Cao, Y; Wang, XM; Xie, ZQ</t>
  </si>
  <si>
    <t>Hu, Chengge; Yue, Fange; Zhan, Haicong; Leung, Kenneth M. Y.; Zhang, Runqi; Gu, Weihua; Liu, Hongwei; Chen, Afeng; Cao, Yue; Wang, Xinming; Xie, Zhouqing</t>
  </si>
  <si>
    <t>Homologous series of n-alkanes and fatty acids in the summer atmosphere from the Bering Sea to the western North Pacific</t>
  </si>
  <si>
    <t>Atmospheric aerosols; The Bering Sea; The western North Pacific; N-alkanes; Fatty acids</t>
  </si>
  <si>
    <t>FINE ORGANIC AEROSOL; MOLECULAR-DISTRIBUTIONS; MARINE AEROSOLS; CHINA SEA; MATTER; PARTICLES; EMISSIONS; POLLUTION; ATLANTIC; CLIMATE</t>
  </si>
  <si>
    <t>Lipid biomarkers can be used as key tracers for studying organic aerosols. To better understand the effects of anthropogenic and natural sources on Northern Hemisphere organic aerosols over the marine boundary in the context of global warming, we investigated n-alkanes and fatty acids in three years of summer aerosol samples which were collected from the Bering Sea (BS) to the western North Pacific (WNP) atmosphere during the cruise of China Arctic Research Expedition in 2014, 2016 and 2018. Lipid concentrations were the highest in 2018, with the WNP influenced by neighboring Eurasia and the BS influenced by the transport of aerosols from the WNP as well as an increased primary productivity. The sources of n-alkanes and fatty acids were found to be similar, and the qualitative assessment of the characteristic parameters indicated that temporally, n-alkanes were more abundant from higher plant wax in 2016 and 2018 as well as fatty acids in 2018. Furthermore, the quantitative assessment of principal component analysis with multiple linear regression showed that spatially, the WNP and BS were most influenced by terrestrial natural sources (57.8%) and anthropogenic sources (58.8%), respectively, and the contribution of marine emissions to BS was higher. In addition, the evaluation of organic carbon (OC) contribution revealed that lipids from BS contributed more OC and that the contribution of fatty acids to OC was higher than that of n-alkanes. This study provides useful information for further understanding the sources and influencing factors of organic aerosols.</t>
  </si>
  <si>
    <t>[Hu, Chengge; Yue, Fange; Zhan, Haicong; Gu, Weihua; Liu, Hongwei; Chen, Afeng; Cao, Yue; Xie, Zhouqing] Univ Sci &amp; Technol China, Dept Environm Sci &amp; Engn, Anhui Key Lab Polar Environm &amp; Global Change, Hefei, Peoples R China; [Hu, Chengge] Univ Sci &amp; Technol China, Suzhou Inst Adv Study, Suzhou, Peoples R China; [Leung, Kenneth M. Y.] City Univ Hong Kong, Dept Chem, State Key Lab Marine Pollut, Kowloon, Tat Chee Ave, Hong Kong, Peoples R China; [Zhang, Runqi; Wang, Xinming] Chinese Acad Sci, Guangzhou Inst Geochem, State Key Lab Organ Geochem, Guangzhou, Peoples R China</t>
  </si>
  <si>
    <t>Chinese Academy of Sciences; University of Science &amp; Technology of China, CAS; Chinese Academy of Sciences; University of Science &amp; Technology of China, CAS; City University of Hong Kong; Chinese Academy of Sciences; Guangzhou Institute of Geochemistry, CAS</t>
  </si>
  <si>
    <t>Xie, ZQ (corresponding author), Univ Sci &amp; Technol China, Dept Environm Sci &amp; Engn, Anhui Key Lab Polar Environm &amp; Global Change, Hefei, Peoples R China.;Wang, XM (corresponding author), Chinese Acad Sci, Guangzhou Inst Geochem, State Key Lab Organ Geochem, Guangzhou, Peoples R China.</t>
  </si>
  <si>
    <t>wangxm@gig.ac.cn; zqxie@ustc.edu.cn</t>
  </si>
  <si>
    <t>Wang, Xinming/A-7388-2014; Zhang, Runqi/I-9809-2019; Gu, Weihua/ABG-5395-2021; Leung, Kenneth Mei Yee/C-1055-2009</t>
  </si>
  <si>
    <t>Wang, Xinming/0000-0002-1982-0928; Zhang, Runqi/0000-0002-4434-509X; Leung, Kenneth Mei Yee/0000-0002-2164-4281</t>
  </si>
  <si>
    <t>National Natural Science Foundation of China [41941014, 41930532]; Ministry of Natural Resources of the People?s Republic of China [IRASCC2020-2022-01- 01-02E]; University of Science and Technology of China; City University of Hong Kong</t>
  </si>
  <si>
    <t>National Natural Science Foundation of China(National Natural Science Foundation of China (NSFC)); Ministry of Natural Resources of the People?s Republic of China; University of Science and Technology of China; City University of Hong Kong(City University of Hong Kong)</t>
  </si>
  <si>
    <t>This work was supported by the National Natural Science Foundation of China (grant no. 41941014, 41930532) , and Ministry of Natural Resources of the People?s Republic of China (IRASCC2020-2022-No.01- 01-02E) . We gratefully acknowledge the China Arctic and Antarctic Administration for fieldwork support and Zexun Wei, Shidong Fan and Pengzhen He for sampling during field campaign. We also thank the NOAA Air Resources Laboratory for providing the HYSPLIT model. Chengge Hu is very thankful to the University of Science and Technology of China and City University of Hong Kong for supporting her research study through the joint PhD degree programme.</t>
  </si>
  <si>
    <t>10.1016/j.atmosres.2023.106633</t>
  </si>
  <si>
    <t>C8RI9</t>
  </si>
  <si>
    <t>WOS:000964522500001</t>
  </si>
  <si>
    <t>Kaplan, MR; Licht, KJ; Lamp, JL; Winckler, G; Schaefer, JM; Graly, JA; Kassab, CM; Schwartz, R</t>
  </si>
  <si>
    <t>Kaplan, M. R.; Licht, K. J.; Lamp, J. L.; Winckler, G.; Schaefer, J. M.; Graly, J. A.; Kassab, C. M.; Schwartz, R.</t>
  </si>
  <si>
    <t>Paleoglaciology of the central East Antarctic Ice Sheet as revealed by blue-ice sediment</t>
  </si>
  <si>
    <t>Cosmogenic dating; Law glacier; Holocene; Antarctica; Paleoclimate; Pleistocene; Deglaciation</t>
  </si>
  <si>
    <t>CENTRAL TRANSANTARCTIC MOUNTAINS; NUCLIDE PRODUCTION-RATES; SURFACE EXPOSURE AGES; BE-10 PRODUCTION-RATE; COSMOGENIC HE-3; GLACIER FLUCTUATIONS; MORAINE; CHRONOLOGY; STABILITY; EVOLUTION</t>
  </si>
  <si>
    <t>We present-100 cosmogenic surface exposure ages, including 75 new analyses, for a blue-ice moraine complex at Mt. Achernar, head of Law Glacier, in the central Transantarctic Mountains. The 10Be-3He -26Al ages along with previously-published boron concentrations chronicle past behavior of the East Antarctic Ice Sheet (EAIS) along the edge of the polar plateau since the sediments started to accumulate, around 0.5-1 Ma. Samples analyzed for 10Be from the Law Glacier surface record &lt;100 years of exposure, indicating they likely have negligible inheritance when first exposed. The Law Glacier surface experi-enced relatively minor fluctuations in surface elevation throughout MIS 6 and 5, and likely during prior periods, as geomorphic features are intact and exposure ages are coherent on the moraine, ranging from-210 to-86 ka; respective means for MIS 5 till in two different areas are 106 +/- 9.1 ka [n = 4 ages] and 106 +/- 5.1 ka [n = 6]. Although we infer the Law Glacier has been relatively close to its current config-uration generally since 0.5-1 Ma, disturbances to Achernar blue-ice moraine architecture seem apparent at times especially prior to the last two glacial cycles. The largest observed disturbance occurred when the nearby Lewis Cliffs Ice Tongue expanded either close to, or earlier than, 500-400 ka. A minimum ice thickness increase of 30 m is associated with the-20 ka blue-ice ridges, and a lateral moraine indicates the Law Glacier surface was-40-50 m higher at-9.2 +/- 0.5 ka. Our findings support that lateral accretion over time formed the Mt. Achernar blue-ice moraine sequence, and by implication, other analogue Antarctic deposits. We interpret blue-ice moraines as representing, at times, relatively constant outlet glacier conditions and concur with prior studies that they reflect near-equilibrium forms. Blue-ice sediments are an underutilized and dateable paleoglaciologic and paleoclimate archive in Antarctica, including for former ice surface dynamics and possibly as a repository of old ice during periods such as MIS 5 and prior.(c) 2022 Elsevier Ltd. All rights reserved.</t>
  </si>
  <si>
    <t>[Kaplan, M. R.; Lamp, J. L.; Winckler, G.; Schaefer, J. M.; Schwartz, R.] Lamont Doherty Earth Observ, Geochem, Palisades, NY 10964 USA; [Licht, K. J.; Kassab, C. M.] IUPUI, Dept Earth Sci, Indianapolis, IN 46202 USA; [Winckler, G.; Schaefer, J. M.] Columbia Univ, Dept Earth &amp; Environm Sci, New York, NY 10027 USA; [Graly, J. A.] Northumbria Univ, Deptartment Geog &amp; Environm Sci, Newcastle Upon Tyne NE1 8ST, England</t>
  </si>
  <si>
    <t>Columbia University; Indiana University System; Indiana University-Purdue University Indianapolis; Columbia University; Northumbria University</t>
  </si>
  <si>
    <t>Kaplan, MR (corresponding author), Lamont Doherty Earth Observ, Geochem, Palisades, NY 10964 USA.</t>
  </si>
  <si>
    <t>mkaplan@ldeo.columbia.edu</t>
  </si>
  <si>
    <t>Licht, Kathy/0000-0002-2233-2853; Graly, Joseph/0000-0002-7939-6022</t>
  </si>
  <si>
    <t>National Science Foundation [PLR -1443433, PLR -1443213, ANT -0944578, ANT-0944475]; Vetlesen Foundation; Polar Geospatial Center; UNAVCO; US Antarctic Program, Kenn Borek Air, Ltd.</t>
  </si>
  <si>
    <t>National Science Foundation(National Science Foundation (NSF)); Vetlesen Foundation; Polar Geospatial Center; UNAVCO; US Antarctic Program, Kenn Borek Air, Ltd.</t>
  </si>
  <si>
    <t>This work was supported by National Science Foundation Antarctic grants PLR -1443433, PLR -1443213, ANT -0944578 and ANT-0944475. JMS acknowledges support by the Vetlesen Foundation. We thank the Polar Geospatial Center and UNAVCO (Marianne Okal, Annie Zaino, Joe Petit) , the US Antarctic Program, Kenn Borek Air, Ltd., Michael Roberts and Peter Braddock and all other field team members from the 2010/11 and 2015/16 seasons. We also thank all personnel at the Center of Accelerator Mass Spectrometry (CAMS) at Lawrence Livermore National Laboratory and PRIME Lab for analyses. We thank Jean Hanley and Jeremy Frisch for laboratory assistance. As Reviewers, David Sugden and Peter Almond sub- stantially improved the clarity and strength of the manuscript.</t>
  </si>
  <si>
    <t>10.1016/j.quascirev.2022.107718</t>
  </si>
  <si>
    <t>C7IL9</t>
  </si>
  <si>
    <t>WOS:000963611000001</t>
  </si>
  <si>
    <t>Cong, MJ; Ren, X; Song, Y; Pang, XY; Tian, XP; Liu, YH; Guo, P; Wang, JF</t>
  </si>
  <si>
    <t>Cong, Mengjing; Ren, Xue; Song, Yue; Pang, Xiaoyan; Tian, Xinpeng; Liu, Yonghong; Guo, Peng; Wang, Junfeng</t>
  </si>
  <si>
    <t>Ochrathinols A and B, two pairs of sulfur-containing racemates from an Antarctic fungus Aspergillus ochraceopetaliformis SCSIO 05702 inhibit LPS-induced pro-inflammatory cytokines and NO production</t>
  </si>
  <si>
    <t>PHYTOCHEMISTRY</t>
  </si>
  <si>
    <t>Antarctic; Aspergillus ochraceopetaliformis; Sulfur-containing; Racemates; Anti-inflammatory</t>
  </si>
  <si>
    <t>NF-KAPPA-B; INDUCTION</t>
  </si>
  <si>
    <t>Ochrathinols A and B ((+/-)-1 and (+/-)-2), two undescribed sulfur-containing racemates, and ochracids A and B (3 and 4), two unprecedented pyrrolizidine alkaloids, were isolated from an Antarctic soil-derived fungus Aspergillus ochraceopetaliformis SCSIO 05702. Their structures including absolute configurations were determined through extensive spectroscopic analysis, chiral-phase HPLC analysis, quantum ECD calculations, and X-ray single-crystal diffraction. Ochrathinols A and B are unprecedented sulfur natural products featuring a novel 3-methylhex-ahydro-2H-cyclopenta [b]thiophene core. Interestingly, ochrathinol A ((+/-)-1) outstandingly suppressed the release of LPS-induced IL-1 beta, IL-6, and TNF-alpha inflammatory cytokines with concentration of 10 mu M and alleviated the unbalanced NAD+/NADH ratio caused by LPS in RAW264.7 macrophages.</t>
  </si>
  <si>
    <t>[Cong, Mengjing; Song, Yue; Pang, Xiaoyan; Tian, Xinpeng; Liu, Yonghong; Wang, Junfeng] Chinese Acad Sci, South China Sea Inst Oceanol, Innovat Acad South China Sea Ecol &amp; Environm Engn, Guangdong Key Lab Marine Mat Med,CAS Key Lab Trop, Guangzhou 510301, Peoples R China; [Ren, Xue; Guo, Peng] Capital Inst Pediat, Beijing 100020, Peoples R China; [Cong, Mengjing; Song, Yue; Liu, Yonghong; Wang, Junfeng] Univ Chinese Acad Sci, 19 Yuquan Rd, Beijing 100049, Peoples R China</t>
  </si>
  <si>
    <t>Chinese Academy of Sciences; South China Sea Institute of Oceanology, CAS; Capital Institute of Pediatrics (CIP); Chinese Academy of Sciences; University of Chinese Academy of Sciences, CAS</t>
  </si>
  <si>
    <t>Liu, YH; Wang, JF (corresponding author), Chinese Acad Sci, South China Sea Inst Oceanol, Innovat Acad South China Sea Ecol &amp; Environm Engn, Guangdong Key Lab Marine Mat Med,CAS Key Lab Trop, Guangzhou 510301, Peoples R China.;Guo, P (corresponding author), Capital Inst Pediat, Beijing 100020, Peoples R China.</t>
  </si>
  <si>
    <t>yonghongliu@scsio.ac.cn; guopeng_chcip@163.com; wangjunfeng@scsio.ac.cn</t>
  </si>
  <si>
    <t>Liu, Yonghong/E-3118-2014</t>
  </si>
  <si>
    <t>Liu, Yonghong/0000-0001-8327-3108; wang, junfeng/0000-0001-8914-5174</t>
  </si>
  <si>
    <t>Guangdong Local Inno-vation Team Program [2019BT02Y262]; Guangdong MEPP Funds [[2021] 48]; Guangdong Basic and Applied Basic Research Foundation [2021A1515011523, 2021B1515120046]; National Natural Science Foundation of China [41776169, 21772210]</t>
  </si>
  <si>
    <t>Guangdong Local Inno-vation Team Program; Guangdong MEPP Funds; Guangdong Basic and Applied Basic Research Foundation; National Natural Science Foundation of China(National Natural Science Foundation of China (NSFC))</t>
  </si>
  <si>
    <t>Acknowledgements This work was financially supported by the Guangdong Local Inno-vation Team Program (2019BT02Y262) , Guangdong MEPP Funds (No. GDNRC [2021] 48) , Guangdong Basic and Applied Basic Research Foundation (2021A1515011523 and 2021B1515120046) , National Natural Science Foundation of China (Nos. 41776169, and 21772210) . We are grateful to ZH Xiao, AJ Sun, XH Zheng, X Ma, and Y Zhang in the analytical facility at SCSIO for recording spectroscopic data.</t>
  </si>
  <si>
    <t>0031-9422</t>
  </si>
  <si>
    <t>1873-3700</t>
  </si>
  <si>
    <t>Phytochemistry</t>
  </si>
  <si>
    <t>10.1016/j.phytochem.2023.113593</t>
  </si>
  <si>
    <t>Biochemistry &amp; Molecular Biology; Plant Sciences</t>
  </si>
  <si>
    <t>C6RS8</t>
  </si>
  <si>
    <t>WOS:000963172300001</t>
  </si>
  <si>
    <t>Eren, MI; Bebber, MR; Buchanan, B; Grunow, A; Key, A; Lycett, SJ; Maletic, E; Riley, TR</t>
  </si>
  <si>
    <t>Eren, Metin I.; Bebber, Michelle R.; Buchanan, Briggs; Grunow, Anne; Key, Alastair; Lycett, Stephen J.; Maletic, Erica; Riley, Teal R.</t>
  </si>
  <si>
    <t>Antarctica as a 'natural laboratory' for the critical assessment of the archaeological validity of early stone tool sites</t>
  </si>
  <si>
    <t>ANTIQUITY</t>
  </si>
  <si>
    <t>Antarctica; Pleistocene; lithic technologies; conchoidal fracture; archaeological knowledge production</t>
  </si>
  <si>
    <t>PLEISTOCENE HUMAN OCCUPATION; LOMEKWI 3; EDGE; WISCONSIN; TAPHONOMY</t>
  </si>
  <si>
    <t>Lithic technologies dominate understanding of early humans, yet natural processes can fracture rock in ways that resemble artefacts made by Homo sapiens and other primates. Differentiating between fractures made by natural processes and primates is important for assessing the validity of early and controversial archaeological sites. Rather than depend on expert authority or intuition, the authors propose a null model of conchoidally fractured Antarctic rocks. As no primates have ever occupied the continent, Antarctica offers a laboratory for generating samples that could only have been naturally fractured. Examples that resemble artefacts produced by primates illustrate the potential of archaeological' research in Antarctica for the evaluation of hominin sites worldwide.</t>
  </si>
  <si>
    <t>[Eren, Metin I.; Bebber, Michelle R.] Kent State Univ, Dept Anthropol, Kent, OH 44242 USA; [Eren, Metin I.] Cleveland Museum Nat Hist, Dept Archaeol, Cleveland, OH 44106 USA; [Buchanan, Briggs] Univ Tulsa, Dept Anthropol, Tulsa, OK 74104 USA; [Grunow, Anne; Maletic, Erica] Ohio State Univ, Polar Rock Repository, Byrd Polar &amp; Climate Res Ctr, Columbus, OH 43210 USA; [Key, Alastair] Univ Cambridge, Dept Archaeol, Cambridge, England; [Lycett, Stephen J.] SUNY Buffalo, Dept Anthropol, Buffalo, NY USA; [Riley, Teal R.] British Antarctic Survey, Cambridge, England</t>
  </si>
  <si>
    <t>University System of Ohio; Kent State University; Kent State University Kent; Kent State University Salem; Cleveland Museum of Natural History; University of Tulsa; University System of Ohio; Ohio State University; University of Cambridge; State University of New York (SUNY) System; State University of New York (SUNY) Buffalo; UK Research &amp; Innovation (UKRI); Natural Environment Research Council (NERC); NERC British Antarctic Survey</t>
  </si>
  <si>
    <t>Eren, MI (corresponding author), Kent State Univ, Dept Anthropol, Kent, OH 44242 USA.;Eren, MI (corresponding author), Cleveland Museum Nat Hist, Dept Archaeol, Cleveland, OH 44106 USA.;Key, A (corresponding author), Univ Cambridge, Dept Archaeol, Cambridge, England.</t>
  </si>
  <si>
    <t>meren@kent.edu; ak2389@cam.ac.uk</t>
  </si>
  <si>
    <t>National Science Foundation [OPP-1643713]</t>
  </si>
  <si>
    <t>Acknowledgements We are appreciative to Steve Emslie, John Goodge, C. Owen Lovejoy, Richard Meindl, David J. Meltzer and Mary Ann Raghanti, who provided useful discussions or feedback on this manuscript and/or its presentation at the 2022 Annual Meeting of the Society for American Archaeology (SAA) in Chicago. This material is based on services provided by the Polar Rock Repository, with support from the National Science Foundation, under Cooperative Agreement OPP-1643713.</t>
  </si>
  <si>
    <t>0003-598X</t>
  </si>
  <si>
    <t>1745-1744</t>
  </si>
  <si>
    <t>Antiquity</t>
  </si>
  <si>
    <t>10.15184/aqy.2023.4</t>
  </si>
  <si>
    <t>Anthropology; Archaeology</t>
  </si>
  <si>
    <t>E2AD3</t>
  </si>
  <si>
    <t>WOS:000921880400001</t>
  </si>
  <si>
    <t>Goosse, H; Contador, SA; Bitz, CM; Blanchard-Wrigglesworth, E; Eayrs, C; Fichefet, T; Himmich, K; Huot, PV; Klein, F; Marchi, S; Massonnet, F; Mezzina, B; Pelletier, C; Roach, L; Vancoppenolle, M; van Lipzig, NPM</t>
  </si>
  <si>
    <t>Goosse, Hugues; Contador, Sofia Allende; Bitz, Cecilia M.; Blanchard-Wrigglesworth, Edward; Eayrs, Clare; Fichefet, Thierry; Himmich, Kenza; Huot, Pierre-Vincent; Klein, Francois; Marchi, Sylvain; Massonnet, Francois; Mezzina, Bianca; Pelletier, Charles; Roach, Lettie; Vancoppenolle, Martin; van Lipzig, Nicole P. M.</t>
  </si>
  <si>
    <t>Modulation of the seasonal cycle of the Antarctic sea ice extent by sea iceprocesses and feedbacks with the ocean and the atmosphere</t>
  </si>
  <si>
    <t>THICKNESS DISTRIBUTION; MASS-BALANCE; MIXED-LAYER; MODEL; WATER; SENSITIVITY; LIM3.6</t>
  </si>
  <si>
    <t>The seasonal cycle of the Antarctic sea ice extent is strongly asymmetric, with a relatively slow increase after the summer minimum followed by a more rapid decrease after the winter maximum. This cycle is intimately linked to the seasonal cycle of the insolation received at the top of the atmosphere, but sea ice processes as well as the exchanges with the atmosphere and ocean may also play a role. To quantify these contributions, a series of idealized sensitivity experiments have been performed with an eddy-permitting (1/4 degrees) NEMO-LIM3 (Nucleus for European Modelling of the Ocean-Louvain-la-Neuve sea ice model version 3) Southern Ocean configuration, including a representation of ice shelf cavities, in which the model was either driven by an atmospheric reanalysis or coupled to the COSMO-CLM2 regional atmospheric model. In those experiments, sea ice thermodynamics and dynamics as well as the exchanges with the ocean and atmosphere are strongly perturbed. This perturbation is achieved by modifying snow and ice thermal conductivities, the vertical mixing in the ocean top layers, the effect of freshwater uptake and release upon sea ice growth and melt, ice dynamics, and surface albedo. We find that the evolution of sea ice extent during the ice advance season is largely independent of the direct effect of the perturbation and appears thus mainly controlled by initial state in summer and subsequent insolation changes. In contrast, the melting rate varies strongly between the experiments during the retreat, in particular if the surface albedo or sea ice transport are modified, demonstrating a strong contribution of those elements to the evolution of ice coverage through spring and summer. As with the advance phase, the retreat is also influenced by conditions at the beginning of the melt season in September. Atmospheric feedbacks enhance the model winter ice extent response to any of the perturbed processes, and the enhancement is strongest when the albedo is modified. The response of sea ice volume and extent to changes in entrainment of subsurface warm waters to the ocean surface is also greatly amplified by the coupling with the atmosphere.</t>
  </si>
  <si>
    <t>[Goosse, Hugues; Contador, Sofia Allende; Fichefet, Thierry; Klein, Francois; Massonnet, Francois; Mezzina, Bianca; Vancoppenolle, Martin] Catholic Univ Louvain, Earth &amp; Life Inst, Louvain La Neuve, Belgium; [Bitz, Cecilia M.; Blanchard-Wrigglesworth, Edward] Univ Washington, Dept Atmospher Sci, Seattle, WA USA; [Eayrs, Clare] Korea Polar Res Inst, Incheon, South Korea; [Himmich, Kenza] Sorbonne Univ, CNRS, Lab Oceanog &amp; Climat LOCEAN IPSL, IRD,MNHN, Paris, France; [Huot, Pierre-Vincent; van Lipzig, Nicole P. M.] Katholieke Univ Leuven, Dept Earth &amp; Environm Sci, Leuven, Belgium; [Pelletier, Charles] European Ctr Med Range Weather Forecasts, Bonn, Germany; [Roach, Lettie] NASA, Goddard Inst Space Studies, New York, NY USA; [Roach, Lettie] Columbia Univ, Ctr Climate Syst Res, New York, NY USA</t>
  </si>
  <si>
    <t>Universite Catholique Louvain; University of Washington; University of Washington Seattle; Korea Polar Research Institute (KOPRI); Centre National de la Recherche Scientifique (CNRS); Institut de Recherche pour le Developpement (IRD); Sorbonne Universite; Museum National d'Histoire Naturelle (MNHN); KU Leuven; National Aeronautics &amp; Space Administration (NASA); NASA Goddard Space Flight Center; Goddard Institute for Space Studies; Columbia University</t>
  </si>
  <si>
    <t>Goosse, H (corresponding author), Catholic Univ Louvain, Earth &amp; Life Inst, Louvain La Neuve, Belgium.</t>
  </si>
  <si>
    <t>hugues.goosse@uclouvain.be</t>
  </si>
  <si>
    <t>Bitz, Cecilia M/S-8423-2016; van Lipzig, Nicole/ABF-2964-2021; Vancoppenolle, Martin/AAA-7711-2022; Eayrs, Clare/T-7969-2019; Roach, Lettie/HKV-2511-2023</t>
  </si>
  <si>
    <t>van Lipzig, Nicole/0000-0003-2899-4046; Vancoppenolle, Martin/0000-0002-7573-8582; Eayrs, Clare/0000-0003-3129-7604; Roach, Lettie/0000-0003-4189-3928; Pelletier, Charles/0000-0003-2177-2694</t>
  </si>
  <si>
    <t>Research Foundation - Flanders (FWO) under the Excellence of Science (EOS) program [O0100718F, 30454083]; FWO; Consortium des Equipements de Calcul Intensif en Federation Wallonie-Bruxelles (CECI) - Fonds de la Recherche Scientifique de Belgique (F.R.S.-FNRS) [2.5020.11]; Walloon Region; Office of Naval Research DRI grant [N00014-18-1-2175]; National Oceanic and Atmospheric Administration (NOAA) Climate and Global Change Postdoctoral Fellowship Program [NA18NWS4620043B]; Fonds de la Recherche Scientifique - FNRS; Government of Flanders; Center for High Performance Computing and Mass Storage (CISM) of the Universite catholique de Louvain (UCL)</t>
  </si>
  <si>
    <t>Research Foundation - Flanders (FWO) under the Excellence of Science (EOS) program(FWO); FWO(FWO); Consortium des Equipements de Calcul Intensif en Federation Wallonie-Bruxelles (CECI) - Fonds de la Recherche Scientifique de Belgique (F.R.S.-FNRS); Walloon Region; Office of Naval Research DRI grant; National Oceanic and Atmospheric Administration (NOAA) Climate and Global Change Postdoctoral Fellowship Program; Fonds de la Recherche Scientifique - FNRS(Fonds de la Recherche Scientifique - FNRS); Government of Flanders; Center for High Performance Computing and Mass Storage (CISM) of the Universite catholique de Louvain (UCL)</t>
  </si>
  <si>
    <t>his work was performed in the framework of the PARAMOUR project, Decadal predictability and variability of polar climate: the role of atmosphere-ocean-cryosphere multiscale interactions, supported by the Fonds de la Recherche Scientifique - FNRS - and the Research Foundation - Flanders (FWO) under the Excellence of Science (EOS) program (grant no. O0100718F, EOS ID no. 30454083). The computational resources were provided by the VSC (Flemish Supercomputer Center), funded by the FWO and the Government of Flanders; the Center for High Performance Computing and Mass Storage (CISM) of the Universite catholique de Louvain (UCL); and the Consortium des Equipements de Calcul Intensif en Federation Wallonie-Bruxelles (CECI), funded by the Fonds de la Recherche Scientifique de Belgique (F.R.S.-FNRS) under convention 2.5020.11 and by the Walloon Region. Hugues Goosse is research director with the F.R.S.-FNRS. Edward Blanchard-Wrigglesworth was supported by the Office of Naval Research DRI grant N00014-18-1-2175. Lettie A. Roach was supported by the National Oceanic and Atmospheric Administration (NOAA) Climate and Global Change Postdoctoral Fellowship Program, which is administered by UCAR's Cooperative Programs for the Advancement of Earth System Science (CPAESS) under award NA18NWS4620043B.</t>
  </si>
  <si>
    <t>JAN 31</t>
  </si>
  <si>
    <t>10.5194/tc-17-407-2023</t>
  </si>
  <si>
    <t>8L5TI</t>
  </si>
  <si>
    <t>WOS:000923845500001</t>
  </si>
  <si>
    <t>Torterotot, M; Samaran, F; Royer, JY</t>
  </si>
  <si>
    <t>Torterotot, Maelle; Samaran, Flore; Royer, Jean-Yves</t>
  </si>
  <si>
    <t>Long-term acoustic monitoring of nonstereotyped blue whale calls in the southern Indian Ocean</t>
  </si>
  <si>
    <t>Antarctic blue whale; Balaenoptera musculus; D-calls; passive acoustic monitoring; pygmy blue whale; southern Indian Ocean</t>
  </si>
  <si>
    <t>BALAENOPTERA-MUSCULUS; MEGAPTERA-NOVAEANGLIAE; TEMPORAL SEPARATION; UNDERWATER SOUNDS; HUMPBACK WHALE; FIN WHALES; CALIFORNIA; BEHAVIOR; HEMISPHERE; ALGORITHM</t>
  </si>
  <si>
    <t>Monitoring the presence of blue whale (Balaenoptera musculus ssp.) stereotyped calls has been a widely used method to assess the different populations' distribution worldwide. All blue whale populations also produce nonstereotyped vocalizations, or D-calls. Here, we monitored the presence of D-calls in long-term records from a large hydrophone array located in the open southern Indian Ocean, using an automated detection method and manual validation of the detections. D-calls were detected at all sites of the array, which extends from 24 degrees S to 56 degrees S, but the majority of them were detected at the two southernmost sites. We observed a latitudinal shift in their seasonal occurrence, with more D-calls in the north during austral autumn and winter and more in the south during austral spring. The geographical occurrence of D-calls compared to that of songs indicates that blue whale acoustic behavior switches from a song-intensive and sparse-D-call emission in the north to song-moderate and more intensive D-call emissions in the south. These findings support the hypothesis that both call types are used for different purposes, as D-calls are mainly detected around foraging grounds and songs in wintering grounds. Monitoring both call types might therefore be a relevant acoustic indicator of blue whale behavior.</t>
  </si>
  <si>
    <t>[Torterotot, Maelle; Samaran, Flore] ENSTA Bretagne, Lab STICC UMR 6285, Brest, France; [Royer, Jean-Yves] Univ Brest, CNRS, Geoocean UMR 6538, Brest, France; [Torterotot, Maelle] Rue Francois Verny, F-29200 Brest, France</t>
  </si>
  <si>
    <t>ENSTA Bretagne; Universite de Bretagne Occidentale; Centre National de la Recherche Scientifique (CNRS); Universite de Bretagne Occidentale</t>
  </si>
  <si>
    <t>Torterotot, M (corresponding author), Rue Francois Verny, F-29200 Brest, France.</t>
  </si>
  <si>
    <t>maelle.torterotot@ensta-bretagne.fr</t>
  </si>
  <si>
    <t>Royer, Jean-Yves/B-4312-2010</t>
  </si>
  <si>
    <t>Royer, Jean-Yves/0000-0002-7653-7715; Torterotot, Maelle/0000-0002-8912-2463</t>
  </si>
  <si>
    <t>Interdisciplinary graduate school for a blue planet [ANR-17-EURE-0015]; Universite de Bretagne Occidentale</t>
  </si>
  <si>
    <t>Interdisciplinary graduate school for a blue planet; Universite de Bretagne Occidentale</t>
  </si>
  <si>
    <t>Interdisciplinary graduate school for a blue planet, Grant/Award Number: ANR-17-EURE-0015; Universite de Bretagne Occidentale</t>
  </si>
  <si>
    <t>10.1111/mms.12998</t>
  </si>
  <si>
    <t>WOS:000922491500001</t>
  </si>
  <si>
    <t>Lemoine, NP; Adams, BJ; Diaz, M; Dragone, NB; Franco, ALC; Fierer, N; Lyons, WB; Hogg, ID; Wall, DH</t>
  </si>
  <si>
    <t>Lemoine, Nathan P. P.; Adams, Byron J. J.; Diaz, Melisa; Dragone, Nicholas B. B.; Franco, Andre L. C.; Fierer, Noah; Lyons, W. Berry; Hogg, Ian D. D.; Wall, Diana H. H.</t>
  </si>
  <si>
    <t>Strong Dispersal Limitation of Microbial Communities at Shackleton Glacier, Antarctica</t>
  </si>
  <si>
    <t>community assembly; stochasticity; determinism; niche; dispersal</t>
  </si>
  <si>
    <t>BACTERIAL COMMUNITIES; POSITIVE INTERACTIONS; SOIL-MICROORGANISMS; ASSEMBLY PROCESSES; SUCCESSION; DIVERSITY; PATTERNS; RANGE; SILVA</t>
  </si>
  <si>
    <t>Because of their diversity and ubiquity, microbes provide an excellent means to tease apart how natural communities are structured. In general, ecologists believe that stochastic assembly processes, like random drift and dispersal, should dominate in benign environments while deterministic processes, like environmental filtering, should be prevalent in harsh environments. Microbial communities can be structured by both deterministic and stochastic processes, but the relative importance of these processes remains unknown. The ambiguity partly arises from an inability to disentangle soil microbial processes from confounding factors, such as aboveground plant communities or anthropogenic disturbance. In this study, we characterized the relative contributions of determinism and stochasticity to assembly processes of soil bacterial communities across a large environmental gradient of undisturbed Antarctic soils. We hypothesized that harsh soils would impose a strong environmental selection on microbial communities, whereas communities in benign soils would be structured largely by dispersal. Contrary to our expectations, dispersal was the dominant assembly mechanism across the entire soil environmental gradient, including benign environments. The microbial community composition reflects slowly changing soil conditions and dispersal limitation of isolated sites. Thus, stochastic processes, as opposed to deterministic, are primary drivers of soil ecosystem assembly across space at our study site. This is especially surprising given the strong environmental constraints on soil microorganisms in one of the harshest environments on the planet, suggesting that dispersal could be a driving force in microbial community assembly in soils worldwide.IMPORTANCE Because of their diversity and ubiquity, microbes provide an excellent means to tease apart how natural communities are structured. In general, ecologists believe that stochastic assembly processes, like random drift and dispersal, should dominate in benign environments while deterministic processes, like environmental filtering, should be prevalent in harsh environments. To help resolve this debate, we analyzed microbial community composition in pristine Antarctic soils devoid of human influence or plant communities for eons. Our results demonstrate that dispersal limitation is a surprisingly potent force of community limitation throughout all soil conditions. Thus, dispersal appears to be a driving force of microbial community assembly, even in the harshest of conditions.</t>
  </si>
  <si>
    <t>[Lemoine, Nathan P. P.] Marquette Univ, Dept Biol Sci, Milwaukee, WI 53233 USA; [Lemoine, Nathan P. P.] Milwaukee Publ Museum, Dept Zool, Milwaukee, WI 53233 USA; [Adams, Byron J. J.] Brigham Young Univ, Dept Biol, Evolutionary Ecol Labs, Monte L Bean Museum, Provo, UT USA; [Diaz, Melisa; Lyons, W. Berry] Ohio State Univ, Byrd Polar &amp; Climate Res Ctr, Sch Earth Sci, Columbus, OH USA; [Dragone, Nicholas B. B.; Fierer, Noah] Univ Colorado, Cooperat Inst Res Environm Sci, Dept Ecol &amp; Evolutionary Biol, Boulder, CO USA; [Franco, Andre L. C.] Colorado State Univ, Dept Biol, Ft Collins, CO USA; [Hogg, Ian D. D.] Polar Knowledge Canada, Canadian High Arctic Res Stn, Cambridge Bay, NU, Canada; [Hogg, Ian D. D.] Univ Waikato, Sch Sci, Hamilton, New Zealand; Colorado State Univ, Sch Global Environm Sustainabil, Ft Collins, CO USA; [Diaz, Melisa] Woods Hole Oceanog Inst, Dept Geol &amp; Geophys &amp; Appl Ocean Phys &amp; Engn, Woods Hole, MA USA</t>
  </si>
  <si>
    <t>Marquette University; Brigham Young University; University System of Ohio; Ohio State University; University of Colorado System; University of Colorado Boulder; Colorado State University; University of Waikato; Colorado State University; Woods Hole Oceanographic Institution</t>
  </si>
  <si>
    <t>Lemoine, NP (corresponding author), Marquette Univ, Dept Biol Sci, Milwaukee, WI 53233 USA.;Lemoine, NP (corresponding author), Milwaukee Publ Museum, Dept Zool, Milwaukee, WI 53233 USA.</t>
  </si>
  <si>
    <t>nathan.lemoine@marquette.edu</t>
  </si>
  <si>
    <t>Adams, Byron J/C-3808-2009</t>
  </si>
  <si>
    <t>FIERER, NOAH/0000-0002-6432-4261</t>
  </si>
  <si>
    <t>National Science Foundation - Office of Polar Programs [1043681, 1559691, 1341631, 1341648, 1341629, 1341736]; National Science Foundation - Graduate Research Fellowship [60041697]; National Science Foundation - Division of Environmental Biology [1941390]; Directorate For Geosciences; Office of Polar Programs (OPP) [1341631] Funding Source: National Science Foundation; Directorate For Geosciences; Office of Polar Programs (OPP) [1341736, 1341629, 1341648] Funding Source: National Science Foundation; Division Of Environmental Biology; Direct For Biological Sciences [1941390] Funding Source: National Science Foundation</t>
  </si>
  <si>
    <t>National Science Foundation - Office of Polar Programs(National Science Foundation (NSF)NSF - Directorate for Geosciences (GEO)); National Science Foundation - Graduate Research Fellowship(National Science Foundation (NSF)); National Science Foundation - Division of Environmental Biology(National Science Foundation (NSF)NSF - Directorate for Biological Sciences (BIO)); Directorate For Geosciences; Office of Polar Programs (OPP)(National Science Foundation (NSF)NSF - Directorate for Geosciences (GEO)); Directorate For Geosciences; Office of Polar Programs (OPP)(National Science Foundation (NSF)NSF - Directorate for Geosciences (GEO)); Division Of Environmental Biology; Direct For Biological Sciences(National Science Foundation (NSF)NSF - Directorate for Biological Sciences (BIO))</t>
  </si>
  <si>
    <t>This work was supported by the following awards: National Science Foundation - Office of Polar Programs 1341631 (W.B.L.); National Science Foundation - Office of Polar Programs 1341648 (D.H.W.); National Science Foundation - Office of Polar Programs 1341629 (N.F.); National Science Foundation - Office of Polar Programs 1341736 (B.J.A.); National Science Foundation - Office of Polar Programs 1043681 (Polar Geospatial Center); National Science Foundation - Office of Polar Programs 1559691 (Polar Geospatial Center); National Science Foundation - Division of Environmental Biology 1941390 (N.P.L.); National Science Foundation - Graduate Research Fellowship 60041697 (M.A.D.).</t>
  </si>
  <si>
    <t>10.1128/msystems.01254-22</t>
  </si>
  <si>
    <t>9G0NG</t>
  </si>
  <si>
    <t>WOS:000922374200001</t>
  </si>
  <si>
    <t>Cubaynes, HC; Clarke, PJ; Goetz, KT; Aldrich, T; Fretwell, PT; Leonard, KE; Khan, CB</t>
  </si>
  <si>
    <t>Cubaynes, Hannah Charlotte; Clarke, Penny Joanna; Goetz, Kimberly Thea; Aldrich, Tyler; Fretwell, Peter Thomas; Leonard, Kathleen Elise; Khan, Christin Brangwynne</t>
  </si>
  <si>
    <t>Annotating very high-resolution satellite imagery: A whale case study</t>
  </si>
  <si>
    <t>METHODSX</t>
  </si>
  <si>
    <t>VHR optical satellite image; Wildlife; Cetacean; Labeling; AI-ready data; Machine learning</t>
  </si>
  <si>
    <t>ABUNDANCE</t>
  </si>
  <si>
    <t>The use of very high-resolution (VHR) optical satellites is gaining momentum in the field of wildlife monitoring, particularly for whales, as this technology is showing potential for monitor-ing the less studied regions. However, surveying large areas using VHR optical satellite imagery requires the development of automated systems to detect targets. Machine learning approaches require large training datasets of annotated images. Here we propose a standardised workflow to annotate VHR optical satellite imagery using ESRI ArcMap 10.8, and ESRI ArcGIS Pro 2.5., using cetaceans as a case study, to develop AI-ready annotations.center dot A step-by-step protocol to review VHR optical satellite images and annotate the features of interest.center dot A step-by-step protocol to create bounding boxes encompassing the features of interest.center dot A step-by-step guide to clip the satellite image using bounding boxes to create image chips.</t>
  </si>
  <si>
    <t>[Cubaynes, Hannah Charlotte; Clarke, Penny Joanna; Aldrich, Tyler; Fretwell, Peter Thomas; Khan, Christin Brangwynne] British Antarctic Survey, Madingley Rd, Cambridge CB3 0ET, England; [Leonard, Kathleen Elise] Univ Edinburgh, Sch Engn, Sanderson Bldg, Robert Stevenson Rd, Kings Bldg, Edinburgh EH9 3FB, Scotland; [Goetz, Kimberly Thea] NOAA, Marine Mammal Lab, Alaska Fisheries Sci Ctr, Natl Marine Fisheries Serv, Seattle, WA USA; [Aldrich, Tyler; Khan, Christin Brangwynne] NOAA, Northeast Fisheries Sci Ctr, Natl Marine Fisheries Serv, Woods Hole, MA USA; [Leonard, Kathleen Elise] NOAA, Protected Resources Div, Alaska Reg Off, Natl Marine Fisheries Serv, Anchorage, AK USA</t>
  </si>
  <si>
    <t>UK Research &amp; Innovation (UKRI); Natural Environment Research Council (NERC); NERC British Antarctic Survey; University of Edinburgh; National Oceanic Atmospheric Admin (NOAA) - USA; National Oceanic Atmospheric Admin (NOAA) - USA; National Oceanic Atmospheric Admin (NOAA) - USA</t>
  </si>
  <si>
    <t>Cubaynes, HC (corresponding author), British Antarctic Survey, Madingley Rd, Cambridge CB3 0ET, England.</t>
  </si>
  <si>
    <t>hanbay24@bas.ac.uk</t>
  </si>
  <si>
    <t>Cubaynes, Hannah/0000-0002-9497-154X; Khan, Christin/0000-0001-9608-5632</t>
  </si>
  <si>
    <t>Marine Mammal Commission [MMC21-043]; Natural Environment Research council (NERC)</t>
  </si>
  <si>
    <t>Marine Mammal Commission; Natural Environment Research council (NERC)(UK Research &amp; Innovation (UKRI)Natural Environment Research Council (NERC))</t>
  </si>
  <si>
    <t>This work was supported by the Marine Mammal Commission (project MMC21-043). This study represents a contribution of the Ecosystems component of the British Antarctic Survey, funded by the Natural Environment Research council (NERC). This work also represents a contribution of the Geospatial Artificial Intelligence for Animals (GAIA) project.</t>
  </si>
  <si>
    <t>2215-0161</t>
  </si>
  <si>
    <t>MethodsX</t>
  </si>
  <si>
    <t>10.1016/j.mex.2023.102040</t>
  </si>
  <si>
    <t>E6FK6</t>
  </si>
  <si>
    <t>WOS:000976476600001</t>
  </si>
  <si>
    <t>Bendtsen, J; Vives, CR; Richardson, K</t>
  </si>
  <si>
    <t>Bendtsen, Jorgen; Vives, Clara R.; Richardson, Katherine</t>
  </si>
  <si>
    <t>Primary production in the North Atlantic estimated from in situ water column data observed by Argo floats and remote sensing</t>
  </si>
  <si>
    <t>primary production; nutrient availability; light availability; nutricline; BGC-Argo floats</t>
  </si>
  <si>
    <t>CHLOROPHYLL MAXIMUM; IRON STRESS; OCEAN; IRRADIANCE; PHYTOPLANKTON; PHOTOSYNTHESIS; SURFACE; MODEL; DEEP; PHOTOACCLIMATION</t>
  </si>
  <si>
    <t>Combining information on the vertical distribution of nutrients and remote sensing can potentially improve estimates of ocean primary production (PP). Here, we employ in situ observations of chlorophyll a and nitrate from biogeochemical Argo floats deployed in the North Atlantic together with remote sensing to estimate PP and compare these results to estimates based on model approaches not including vertically resolved nutrient distributions. Analysis of the float data shows chlorophyll a distribution relates closely to both nutricline depth and latitude, and these relationships can be explained by nutrient and light availability. PP estimates based on satellite and Argo-observations also relate to both latitude and nutrient distributions. An analysis of these float-based PP estimates shows that large-scale patterns of total water column PP and associated variability are consistent with expected photosynthetic responses to different combinations of light and nutrient availability. When PP-estimates based solely on surface observations were plotted against light and nutrient fields, significant structural differences emerged compared with estimates that included subsurface observations, in particular in oligotrophic areas and areas with a shallow nutricline. The combination of in situ water column observations with remote sensing potentially opens a new phase in the estimation of ocean primary production.</t>
  </si>
  <si>
    <t>[Bendtsen, Jorgen] Univ Copenhagen, Globe Inst, Sect Geobiol, Copenhagen, Denmark; [Vives, Clara R.] Univ Tasmania, Inst Marine &amp; Antarctic Studies, Hobart, Tas, Australia; [Vives, Clara R.] Univ Tasmania, Australian Res Council Ctr Excellence Climate Extr, Hobart, Tas, Australia; [Richardson, Katherine] Univ Copenhagen, Globe Inst, Ctr Macroecol Evolut &amp; Climate, Copenhagen, Denmark</t>
  </si>
  <si>
    <t>University of Copenhagen; University of Tasmania; University of Tasmania; University of Copenhagen</t>
  </si>
  <si>
    <t>Bendtsen, J (corresponding author), Univ Copenhagen, Globe Inst, Sect Geobiol, Copenhagen, Denmark.</t>
  </si>
  <si>
    <t>jorgen.bendtsen@sund.ku.dk</t>
  </si>
  <si>
    <t>Richardson, Katherine/D-7592-2014</t>
  </si>
  <si>
    <t>Richardson, Katherine/0000-0003-3785-2787</t>
  </si>
  <si>
    <t>Carlsberg Foundation [CF-20-0071]; Australian Research Council Centre of Excellence for Climate Extremes (CLEX) [CE170100023]</t>
  </si>
  <si>
    <t>Carlsberg Foundation(Carlsberg Foundation); Australian Research Council Centre of Excellence for Climate Extremes (CLEX)(Australian Research Council)</t>
  </si>
  <si>
    <t>This study was supported by a grant from the Carlsberg Foundation (H.M. Queen Margrethe's and Vigdis Finnbogadottir's Interdisciplinary Research Centre on Ocean, Climate, and Society, CF-20-0071). CV was funded by the Australian Research Council Centre of Excellence for Climate Extremes (CLEX; CE170100023).</t>
  </si>
  <si>
    <t>JAN 30</t>
  </si>
  <si>
    <t>10.3389/fmars.2023.1062413</t>
  </si>
  <si>
    <t>8Y3PP</t>
  </si>
  <si>
    <t>WOS:000932612600001</t>
  </si>
  <si>
    <t>Moore, DM; Flink, AE; Prendergast, E; Gilbert, A</t>
  </si>
  <si>
    <t>Moore, Daniel M.; Flink, Anne Elina; Prendergast, Eva; Gilbert, Antony</t>
  </si>
  <si>
    <t>Personal submersibles offer novel ecological research access to Antarctic waters: an example, with observations of the rarely encountered scyphozoan Stygiomedusa gigantea</t>
  </si>
  <si>
    <t>POLAR RESEARCH</t>
  </si>
  <si>
    <t>Submarine; polar; medusa; citizen science; jellyfish; tourism</t>
  </si>
  <si>
    <t>SEA; FISH; SCYPHOMEDUSA; CTENOPHORES; CNIDARIANS; ATLANTIC; FABULOSA; HISTORY</t>
  </si>
  <si>
    <t>Underwater biological surveys have been conducted around the Antarctic con-tinent for several decades, and our knowledge of the species present in the shallow waters (&lt;50 m) is reasonably comprehensive. However, the waters below 50 m remain underexplored on the account of difficulty of access, finan-cial barriers and relatively few operational platforms capable of deployment to such depths. Here, we demonstrate that personal submersibles, now increas-ingly deployed by the expedition cruise industry, can be vessels of opportunity for biological research in the polar regions. We describe direct observations of the rarely encountered scyphozoan Stygiomedusa gigantea at water depths of 80-280 m in Antarctic Peninsula coastal waters as an example of the potential that personal submersibles present for the scientific community, and we outline possible research avenues for utilizing these platforms in the future.</t>
  </si>
  <si>
    <t>[Moore, Daniel M.; Flink, Anne Elina; Prendergast, Eva; Gilbert, Antony] Viking Expedit, Hamilton, Bermuda; [Moore, Daniel M.] Viking Expedit, Clarendon House,2 Church St,HM11, Hamilton, Bermuda</t>
  </si>
  <si>
    <t>Moore, DM (corresponding author), Viking Expedit, Clarendon House,2 Church St,HM11, Hamilton, Bermuda.</t>
  </si>
  <si>
    <t>daniel.moore@viking.com</t>
  </si>
  <si>
    <t>OPEN ACADEMIA AB</t>
  </si>
  <si>
    <t>SPANGA</t>
  </si>
  <si>
    <t>STORMBYVAGEN 6, SPANGA, SE-163 55, SWEDEN</t>
  </si>
  <si>
    <t>0800-0395</t>
  </si>
  <si>
    <t>1751-8369</t>
  </si>
  <si>
    <t>POLAR RES-SWEDEN</t>
  </si>
  <si>
    <t>Polar Res.</t>
  </si>
  <si>
    <t>10.33265/polar.v42.8873</t>
  </si>
  <si>
    <t>Ecology; Geosciences, Multidisciplinary; Oceanography</t>
  </si>
  <si>
    <t>Environmental Sciences &amp; Ecology; Geology; Oceanography</t>
  </si>
  <si>
    <t>9F8NA</t>
  </si>
  <si>
    <t>WOS:000937719900001</t>
  </si>
  <si>
    <t>CHen, BW; SHi, S; Gong, W; Xu, Q; Tang, XT; Bi, SF; CHen, BW</t>
  </si>
  <si>
    <t>CHen, Bowen; SHi, Shuo; Gong, Wei; Xu, Qian; Tang, Xingtao; Bi, Sifu; CHen, B. I. W. U.</t>
  </si>
  <si>
    <t>Wavelength selection of dual-mechanism LiDAR with reflection and fluorescence spectra for plant detection</t>
  </si>
  <si>
    <t>OPTICS EXPRESS</t>
  </si>
  <si>
    <t>LASER-INDUCED FLUORESCENCE; HYPERSPECTRAL LIDAR; SCANNING LIDAR; CANOPY; FOREST; ALGORITHMS; VEGETATION</t>
  </si>
  <si>
    <t>With the continuous expansion and refinement in plant detection range, reflection, and fluorescence spectra present great research potentials and commercial values. Referring technical advantages with hyperspectral and fluorescence lidar for monitoring plants, the synchronous observation with reflection and fluorescence signals achieved by one lidar system has attracted wide attention. This paper plans to design and construct a dual-mechanism lidar system that can obtain spatial information, reflection, and fluorescence signals simultaneously. How to select the optimal detected bands to the dual-mechanism lidar system for monitoring plants is an essential step. Therefore, this paper proposes a two-step wavelength selection method to determine the optimal bands combination by considering the spectral characteristic of reflection and fluorescence signals themselves, and the hardware performance of lidar units comprehensively. The optimal bands combination of 4 reflection bands of 481 nm, 541 nm, 711.5 nm, 775.5 nm, and 2 fluorescence bands of 686.5 nm, 737 nm was determined. Besides, compared with the original reflection or fluorescence bands, the overall accuracy and average accuracy of the optimal band combination were respectively improved by 2.51%, 15.45%, and 7.8%, 29.06%. The study demonstrated the reliability and availability of the two-step wavelength selection method, and can provide references for dual-mechanism lidar system construction.</t>
  </si>
  <si>
    <t>[CHen, Bowen] Wuhan Univ, Chinese Antarctic Ctr Surveying &amp; Mapping, Wuhan 430079, Hubei, Peoples R China; [SHi, Shuo; Gong, Wei; Bi, Sifu] Wuhan Univ, State Key Lab Informat Engn Surveying, Mapping &amp; Remote Sensing, Wuhan 430079, Hubei, Peoples R China; [SHi, Shuo] Collaborat Innovat Ctr Geospatial Technol, Wuhan 430079, Hubei, Peoples R China; [CHen, B. I. W. U.] Shanghai Radio Equipment Res Inst, Shanghai 201109, Peoples R China</t>
  </si>
  <si>
    <t>SHi, S (corresponding author), Wuhan Univ, State Key Lab Informat Engn Surveying, Mapping &amp; Remote Sensing, Wuhan 430079, Hubei, Peoples R China.;SHi, S (corresponding author), Collaborat Innovat Ctr Geospatial Technol, Wuhan 430079, Hubei, Peoples R China.</t>
  </si>
  <si>
    <t>shishuo@whu.edu.cn</t>
  </si>
  <si>
    <t>Chen, Bowen/KFB-3986-2024; Bi, Sifu/JKC-9564-2023</t>
  </si>
  <si>
    <t>National Natural Science Foundation of China [41971307, 42001314]; Fundamental Research Funds for the Central Universities [2042022kf1200]; Wuhan University Specific Fund for Major School-level Internationalization Initiatives; LIESMARS Special Research Funding</t>
  </si>
  <si>
    <t>National Natural Science Foundation of China(National Natural Science Foundation of China (NSFC)); Fundamental Research Funds for the Central Universities(Fundamental Research Funds for the Central Universities); Wuhan University Specific Fund for Major School-level Internationalization Initiatives; LIESMARS Special Research Funding</t>
  </si>
  <si>
    <t>National Natural Science Foundation of China (41971307, 42001314); Fundamental Research Funds for the Central Universities (2042022kf1200); Wuhan University Specific Fund for Major School-level Internationalization Initiatives; LIESMARS Special Research Funding.</t>
  </si>
  <si>
    <t>Optica Publishing Group</t>
  </si>
  <si>
    <t>2010 MASSACHUSETTS AVE NW, WASHINGTON, DC 20036 USA</t>
  </si>
  <si>
    <t>1094-4087</t>
  </si>
  <si>
    <t>OPT EXPRESS</t>
  </si>
  <si>
    <t>Opt. Express</t>
  </si>
  <si>
    <t>10.1364/OE.479833</t>
  </si>
  <si>
    <t>Optics</t>
  </si>
  <si>
    <t>8T2TK</t>
  </si>
  <si>
    <t>WOS:000929120800003</t>
  </si>
  <si>
    <t>Green, DB; Bestley, S; Corney, SP; Trebilco, R; Makhado, AB; Lehodey, P; Conchon, A; Titaud, O; Hindell, MA</t>
  </si>
  <si>
    <t>Green, David B.; Bestley, Sophie; Corney, Stuart P.; Trebilco, Rowan; Makhado, Azwianewi B.; Lehodey, Patrick; Conchon, Anna; Titaud, Olivier; Hindell, Mark A.</t>
  </si>
  <si>
    <t>Original Modelled prey fields predict marine predator foraging success</t>
  </si>
  <si>
    <t>ECOLOGICAL INDICATORS</t>
  </si>
  <si>
    <t>Macaroni penguin; Mechanistic model; Southern Ocean; Marion Island; Body mass; Micronekton</t>
  </si>
  <si>
    <t>SOUTHERN-OCEAN; CLIMATE-CHANGE; PENGUINS; SEGREGATION; VARIABILITY; POPULATIONS; ADJUSTMENT; STRATEGIES; ABUNDANCE; ECOSYSTEM</t>
  </si>
  <si>
    <t>Modelling marine predator foraging habitats is a widespread research approach for projecting species responses to a rapidly changing Southern Ocean. Yet a key remaining challenge is to understand how changing prey biomass within foraging habitats could affect predator foraging success. Quantifying this using observed prey information is challenging given a paucity of synoptic data. Here, we investigated whether prey biomass from a mechanistic model, could provide useful predictions of pre-breeding arrival body mass of macaroni penguins (Eudyptes chrysolophus) from Marion Island, a standard metric of predator foraging success, measured over a 20 -year period. In testing this, we used a spatially iterative correlation approach between predicted prey biomass and observed penguin arrival body mass, allowing likely foraging areas to emerge in regions most frequently associated with significant correlations. We then considered whether the distribution of these emergent foraging areas is consistent with tracking-derived foraging distributions for this species and island. Our results indicated emergent foraging areas where prey biomass was most often correlated with arrival body mass were located within expected and observed foraging ranges. Further, variability in prey biomass, within these emergent foraging areas provided reasonable predictions of annual penguin arrival body mass and outperformed metrics of primary production within these foraging areas. Our findings demonstrate that mechanistic models can provide biologically meaningful representations of difficult-to-observe prey, and can predict predator foraging success. This work could improve understanding of predator responses in a changing habitat.</t>
  </si>
  <si>
    <t>[Green, David B.; Bestley, Sophie; Corney, Stuart P.; Hindell, Mark A.] Univ Tasmania, Inst Marine &amp; Antarctic Studies, Hobart, Tas, Australia; [Green, David B.] Univ Tasmania, Australian Ctr Excellence Antarctic Sci ACEAS, Hobart, Tas, Australia; [Green, David B.; Trebilco, Rowan] CSIRO Environm, Hobart, Tas, Australia; [Bestley, Sophie; Corney, Stuart P.] Univ Tasmania, Australian Antarctic Program Partnership, Hobart, Tas, Australia; [Trebilco, Rowan] Univ Tasmania, Ctr Marine Socioecol, Hobart, Tas, Australia; [Makhado, Azwianewi B.] Dept Forestry Fisheries &amp; Environm DFFE, Cape Town, South Africa; [Makhado, Azwianewi B.] Univ Cape Town, FitzPatrick Inst African Ornithol, DSI NRF Ctr Excellence, Cape Town, South Africa; [Lehodey, Patrick] Ocean Fisheries Programme, Pacific Community, Noumea, France; [Conchon, Anna; Titaud, Olivier] Collecte Localisat Satell, Ramonville St Agne, France</t>
  </si>
  <si>
    <t>University of Tasmania; University of Tasmania; University of Tasmania; University of Tasmania; University of Cape Town</t>
  </si>
  <si>
    <t>Green, DB (corresponding author), Univ Tasmania, Inst Marine &amp; Antarctic Studies, Hobart, Tas, Australia.;Green, DB (corresponding author), Univ Tasmania, Australian Ctr Excellence Antarctic Sci ACEAS, Hobart, Tas, Australia.;Green, DB (corresponding author), CSIRO Environm, Hobart, Tas, Australia.</t>
  </si>
  <si>
    <t>david.green@utas.edu.au</t>
  </si>
  <si>
    <t>Trebilco, Rowan/I-5311-2012; Hindell, Mark A/K-1131-2013; Green, David/E-8985-2019</t>
  </si>
  <si>
    <t>Trebilco, Rowan/0000-0001-9712-8016; Green, David/0000-0002-0346-3129; Lehodey, Patrick/0000-0002-2753-4796</t>
  </si>
  <si>
    <t>European H2020 International Cooperation project Mesopelagic Southern Ocean Prey and Predators [692173]; Australian Research Council under DECRA [DE180100828]; South African Department of Forestry, Fisheries, Environment; Tasmania Graduate Research Scholarship; H2020 Societal Challenges Programme [692173] Funding Source: H2020 Societal Challenges Programme</t>
  </si>
  <si>
    <t>European H2020 International Cooperation project Mesopelagic Southern Ocean Prey and Predators; Australian Research Council under DECRA(Australian Research Council); South African Department of Forestry, Fisheries, Environment; Tasmania Graduate Research Scholarship; H2020 Societal Challenges Programme(Horizon 2020European Union (EU)H2020 Societal Challenges Programme)</t>
  </si>
  <si>
    <t>This study received support from the European H2020 International Cooperation project Mesopelagic Southern Ocean Prey and Predators No 692173. D. B. Green was funded through a Tasmania Graduate Research Scholarship. S. Bestley was supported by the Australian Research Council under DECRA award DE180100828. Penguin arrival body mass data were collected through a research programme funded by the South African Department of Forestry, Fisheries, Environment, which also provided logistical support. We thank all field personnel who helped with the collection of data.</t>
  </si>
  <si>
    <t>1470-160X</t>
  </si>
  <si>
    <t>1872-7034</t>
  </si>
  <si>
    <t>ECOL INDIC</t>
  </si>
  <si>
    <t>Ecol. Indic.</t>
  </si>
  <si>
    <t>10.1016/j.ecolind.2023.109943</t>
  </si>
  <si>
    <t>Biodiversity Conservation; Environmental Sciences</t>
  </si>
  <si>
    <t>8Q8IX</t>
  </si>
  <si>
    <t>WOS:000927445200001</t>
  </si>
  <si>
    <t>Carruthers, TR; Huynh, QC; Hordyk, AR; Newman, D; Smith, ADM; Sainsbury, KJ; Stokes, K; Morison, A; Agnew, D; Parma, A; Sobrino, I; Longo, C</t>
  </si>
  <si>
    <t>Carruthers, Thomas R. R.; Huynh, Quang C. C.; Hordyk, Adrian R. R.; Newman, David; Smith, Anthony D. M.; Sainsbury, Keith J. J.; Stokes, Kevin; Morison, Alexander; Agnew, David; Parma, Ana; Sobrino, Ignacio; Longo, Catherine</t>
  </si>
  <si>
    <t>Method evaluation and risk assessment: A framework for evaluating management strategies for data-limited fisheries</t>
  </si>
  <si>
    <t>capacity-limited; eco-certification; fishery improvement; management procedure; management strategy evaluation; simulation testing</t>
  </si>
  <si>
    <t>SETTING CATCH LIMITS; DATA-POOR FISHERIES; PERFORMANCE; STOCKS</t>
  </si>
  <si>
    <t>Fisheries managers are in need of quantitative tools to inform decisions regarding selection of robust management practices, prioritising research gaps and stocks to focus on, particularly where there are limited resources or data. To support these decisions, the use of Management Strategy Evaluation (MSE), that is, closed loop simulation-testing of management procedures, is widely regarded as best practice. However, applying MSE is time- and computationally intensive, and requires highly skilled expertise and processes for stakeholder input and peer review. For data- and capacity-limited fisheries, MSE may be particularly challenging to implement. Yet, these are the contexts where it is most critical to test assumptions, evaluate the implications of all sources of uncertainty and identify the most informative data sources. To facilitate wider use of MSE, the Method Evaluation and Risk Assessment (MERA) framework was developed as an accessible online interface, with quick processing time, focused on generic data-limited management procedures, but allowing progression to tailored and more data-rich methods. The framework links a quantitative questionnaire and data input standard to a flexible operating model with optional customisation via command line access to the back-end open-source R libraries. Here, we illustrate a case study application of MERA for the bocinegro (Pagrus pagrus, Sparidae) fishery in the Gulf of Cadiz, where in conjunction with fishery stakeholders, a custom management procedure was developed and tested and key research gaps and data collection priorities were identified. We discuss implications for wider use of MSE in various contexts, including eco-certification and fishery improvement projects.</t>
  </si>
  <si>
    <t>[Carruthers, Thomas R. R.] Univ British Columbia, Inst Oceans &amp; Fisheries, AERL, 2202 Main Mall, Vancouver, BC V6T 1Z4, Canada; [Carruthers, Thomas R. R.; Huynh, Quang C. C.; Hordyk, Adrian R. R.] Blue Matter Sci Ltd, Vancouver, BC, Canada; [Newman, David] Nat Resources Def Council, New York, NY USA; [Smith, Anthony D. M.] Univ Tasmania, Ctr Marine Socioecol, Hobart, Tas, Australia; [Sainsbury, Keith J. J.] Univ Tasmania, Ctr Marine Socioecol, Battery Point, Tas, Australia; [Stokes, Kevin] Stokes Net Nz Ltd, Wellington, New Zealand; [Morison, Alexander] Morison Aquat Sci, Oakbank, SA, Australia; [Agnew, David] Convent Conservat Antarctic Living Marine Resource, Hobart, Tas, Australia; [Parma, Ana] Ctr Cientif Tecnol Consejo Nacl Invest Cient &amp; Tec, Puerto Madryn, Argentina; [Sobrino, Ignacio] Inst Espanol Oceanog, Madrid, Spain; [Longo, Catherine] Marine Stewardship Council, London, England</t>
  </si>
  <si>
    <t>University of British Columbia; University of Tasmania; University of Tasmania; Spanish Institute of Oceanography</t>
  </si>
  <si>
    <t>Carruthers, TR (corresponding author), Univ British Columbia, Inst Oceans &amp; Fisheries, AERL, 2202 Main Mall, Vancouver, BC V6T 1Z4, Canada.</t>
  </si>
  <si>
    <t>t.carruthers@oceans.ubc.ca</t>
  </si>
  <si>
    <t>David and Lucile Packard Foundation; Marine Stewardship Council; Natural Resources Defense Council; United Nations Food and Agricultural Organization</t>
  </si>
  <si>
    <t>David and Lucile Packard Foundation(The David &amp; Lucile Packard Foundation); Marine Stewardship Council; Natural Resources Defense Council; United Nations Food and Agricultural Organization</t>
  </si>
  <si>
    <t>10.1111/faf.12726</t>
  </si>
  <si>
    <t>9J7EK</t>
  </si>
  <si>
    <t>WOS:000921733300001</t>
  </si>
  <si>
    <t>Sarris, T; Palmroth, M; Aikio, A; Buchert, SC; Clemmons, J; Clilverd, M; Dandouras, I; Doornbos, E; Goodwin, LV; Grandin, M; Heelis, R; Ivchenko, N; Moretto-Jorgensen, T; Kervalishvili, G; Knudsen, D; Liu, HL; Lu, G; Malaspina, DM; Marghitu, O; Maute, A; Miloch, WJ; Olsen, N; Pfaff, R; Stolle, C; Talaat, E; Thayer, J; Tourgaidis, S; Verronen, PT; Yamauchi, M</t>
  </si>
  <si>
    <t>Sarris, Theodoros; Palmroth, Minna; Aikio, Anita; Buchert, Stephan Christoph; Clemmons, James; Clilverd, Mark; Dandouras, Iannis; Doornbos, Eelco; Goodwin, Lindsay Victoria; Grandin, Maxime; Heelis, Roderick; Ivchenko, Nickolay; Moretto-Jorgensen, Therese; Kervalishvili, Guram; Knudsen, David; Liu, Han-Li; Lu, Gang; Malaspina, David M.; Marghitu, Octav; Maute, Astrid; Miloch, Wojciech J.; Olsen, Nils; Pfaff, Robert; Stolle, Claudia; Talaat, Elsayed; Thayer, Jeffrey; Tourgaidis, Stelios; Verronen, Pekka T.; Yamauchi, Masatoshi</t>
  </si>
  <si>
    <t>Plasma-neutral interactions in the lower thermosphere-ionosphere: The need for in situ measurements to address focused questions</t>
  </si>
  <si>
    <t>lower thermosphere ionosphere; plasma neutral interactions; in situ measurements; decadal survey; atmosphere space transition region; altitudes below 200 km; LTi; ion neutral coupling</t>
  </si>
  <si>
    <t>FIELD; MAGNETOSPHERE; REGION; EISCAT; MODEL; VARIABILITY; AURORA; WINDS</t>
  </si>
  <si>
    <t>The lower thermosphere-ionosphere (LTI) is a key transition region between Earth's atmosphere and space. Interactions between ions and neutrals maximize within the LTI and in particular at altitudes from 100 to 200 km, which is the least visited region of the near-Earth environment. The lack of in situ co-temporal and co-spatial measurements of all relevant parameters and their elusiveness to most remote-sensing methods means that the complex interactions between its neutral and charged constituents remain poorly characterized to this date. This lack of measurements, together with the ambiguity in the quantification of key processes in the 100-200 km altitude range affect current modeling efforts to expand atmospheric models upward to include the LTI and limit current space weather prediction capabilities. We present focused questions in the LTI that are related to the complex interactions between its neutral and charged constituents. These questions concern core physical processes that govern the energetics, dynamics, and chemistry of the LTI and need to be addressed as fundamental and long-standing questions in this critically unexplored boundary region. We also outline the range of in situ measurements that are needed to unambiguously quantify key LTI processes within this region, and present elements of an in situ concept based on past proposed mission concepts.</t>
  </si>
  <si>
    <t>[Sarris, Theodoros; Tourgaidis, Stelios] Democritus Univ Thrace, Dept Elect &amp; Comp Engn, Xanthi, Greece; [Palmroth, Minna; Grandin, Maxime] Univ Helsinki, Dept Phys, Helsinki, Finland; [Palmroth, Minna; Verronen, Pekka T.] Finnish Meteorol Inst, Space &amp; Earth Observat Ctr, Helsinki, Finland; [Aikio, Anita] Univ Oulu, Space Phys &amp; Astron Res Unit, Oulu, Finland; [Buchert, Stephan Christoph] Swedish Inst Space Phys IRF, Uppsala, Sweden; [Clemmons, James] Univ New Hampshire, Dept Phys &amp; Astron, Durham, NH USA; [Clilverd, Mark; Dandouras, Iannis] British Antarctic Survey UKRI NERC, Cambridge, England; Univ Toulouse, CNRS, IRAP, CNES, Toulouse, France; [Doornbos, Eelco] Royal Netherlands Meteorol Inst KNMI, De Bilt, Netherlands; [Goodwin, Lindsay Victoria] New Jersey Inst Technol, Newark, NJ USA; [Heelis, Roderick] Univ Texas Dallas, Ctr Space Sci, Dallas, TX USA; [Ivchenko, Nickolay] Royal Inst Technol KTH, Div Space &amp; Plasma Phys, Stockholm, Sweden; [Moretto-Jorgensen, Therese] NASA, Ames Res Ctr, Moffett Field, CA USA; [Kervalishvili, Guram] GFZ German Res Ctr Geosci, Potsdam, Germany; [Knudsen, David; Liu, Han-Li] Univ Calgary, Dept Phys &amp; Astron, Calgary, AB, Canada; [Lu, Gang; Maute, Astrid] Natl Ctr Atmospher Res, High Altitude Observ, Boulder, CO USA; [Knudsen, David; Malaspina, David M.] Univ Colorado, Lab Atmospher &amp; Space Phys, Boulder, CO USA; [Marghitu, Octav] Inst Space Sci, Bucharest, Romania; [Miloch, Wojciech J.] Univ Oslo, Dept Phys, Oslo, Norway; [Olsen, Nils] Tech Univ Denmark, DTU Space, Copenhagen, Denmark; [Pfaff, Robert] NASA, Goddard Space Flight Ctr, Heliophys Sci Div, Greenbelt, MD USA; [Stolle, Claudia] Univ Rostock, Leibniz Inst Atmospher Phys, Kuhlungsborn, Germany; [Talaat, Elsayed] NOAA, Washington, DC USA; [Thayer, Jeffrey; Yamauchi, Masatoshi] Univ Colorado, Space Weather Technol &amp; Educ Ctr SWx TREC, Res, Boulder, CO USA; [Yamauchi, Masatoshi] Swedish Inst Space Phys IRF, Kiruna, Sweden</t>
  </si>
  <si>
    <t>Democritus University of Thrace; University of Helsinki; Finnish Meteorological Institute; University of Oulu; University System Of New Hampshire; University of New Hampshire; UK Research &amp; Innovation (UKRI); Natural Environment Research Council (NERC); NERC British Antarctic Survey; Universite de Toulouse; Universite Toulouse III - Paul Sabatier; Centre National de la Recherche Scientifique (CNRS); Royal Netherlands Meteorological Institute; New Jersey Institute of Technology; University of Texas System; University of Texas Dallas; Royal Institute of Technology; National Aeronautics &amp; Space Administration (NASA); NASA Ames Research Center; Helmholtz Association; Helmholtz-Center Potsdam GFZ German Research Center for Geosciences; University of Calgary; National Center Atmospheric Research (NCAR) - USA; University of Colorado System; University of Colorado Boulder; Institute of Space Science; University of Oslo; Technical University of Denmark; National Aeronautics &amp; Space Administration (NASA); NASA Goddard Space Flight Center; Leibniz Institut fur Atmospharenphysik e.V. an der Universitat Rostock (IAP); University of Rostock; National Oceanic Atmospheric Admin (NOAA) - USA; University of Colorado System; University of Colorado Boulder</t>
  </si>
  <si>
    <t>Sarris, T (corresponding author), Democritus Univ Thrace, Dept Elect &amp; Comp Engn, Xanthi, Greece.;Palmroth, M (corresponding author), Univ Helsinki, Dept Phys, Helsinki, Finland.;Palmroth, M (corresponding author), Finnish Meteorol Inst, Space &amp; Earth Observat Ctr, Helsinki, Finland.</t>
  </si>
  <si>
    <t>tsarris@ee.duth.gr; minna.palmroth@helsinki.fi</t>
  </si>
  <si>
    <t>Sarris, Theodore/KCL-0355-2024; Palmroth, Minna/A-7637-2018; Knudsen, David/JJF-1802-2023; Olsen, Nils/AAZ-1044-2021; Grandin, Maxime/AAZ-9888-2020; Verronen, Pekka T/G-6658-2014; Sandberg, Ingmar/C-6053-2014; Miloch, Wojciech/D-4880-2014; Ahmadi, Narges/M-9329-2019; Ivchenko, Nickolay/W-4656-2017; Dandouras, Iannis/V-2709-2017</t>
  </si>
  <si>
    <t>Palmroth, Minna/0000-0003-4857-1227; Olsen, Nils/0000-0003-1132-6113; Grandin, Maxime/0000-0002-6373-9756; Sandberg, Ingmar/0000-0001-9716-608X; Miloch, Wojciech/0000-0002-5202-750X; Ahmadi, Narges/0000-0001-5267-0485; Ivchenko, Nickolay/0000-0003-2422-5426; MALASPINA, DAVID/0000-0003-1191-1558; Psychalas, Christos/0009-0005-9560-218X; Verronen, P. T./0000-0002-3479-9071; Siemes, Christian/0000-0001-8316-1130; Marchaudon, Aurelie/0000-0002-1625-3462; Dandouras, Iannis/0000-0002-7121-1118</t>
  </si>
  <si>
    <t>10.3389/fspas.2022.1063190</t>
  </si>
  <si>
    <t>8Z0CD</t>
  </si>
  <si>
    <t>Green Published, Green Submitted, gold, Green Accepted</t>
  </si>
  <si>
    <t>WOS:000933056100001</t>
  </si>
  <si>
    <t>Davis, CL; Venturelli, RA; Michaud, AB; Hawkings, JR; Achberger, AM; Vick-Majors, TJ; Rosenheim, BE; Dore, JE; Steigmeyer, A; Skidmore, ML; Barker, JD; Benning, LG; Siegfried, MR; Priscu, JC; Christner, BC; Barbante, C; Bowling, M; Burnett, J; Campbell, T; Collins, B; Dean, C; Duling, D; Fricker, HA; Gagnon, A; Gardner, C; Gibson, D; Gustafson, C; Harwood, D; Kalin, J; Kasic, K; Kim, OS; Krula, E; Leventer, A; Li, W; Lyons, WB; McGill, P; McManis, J; McPike, D; Mironov, A; Patterson, M; Roberts, G; Rot, J; Trainor, C; Tranter, M; Winans, J; Zook, B</t>
  </si>
  <si>
    <t>Davis, Christina B.; Venturelli, Ryan R.; Michaud, Alexander M.; Hawkings, Jon J.; Achberger, Amanda E.; Vick-Majors, Trista E.; Rosenheim, Brad; Dore, John L.; Steigmeyer, August D.; Skidmore, Mark G.; Barker, Joel R.; Benning, Liane C.; Siegfried, Matthew C.; Priscu, John; Christner, Brent; Barbante, Carlo; Bowling, Mark; Burnett, Justin; Campbell, Timothy; Collins, Billy; Dean, Cindy; Duling, Dennis A.; Fricker, Helen; Gagnon, Alan; Gardner, Christopher; Gibson, Dar; Gustafson, Chloe; Harwood, David; Kalin, Jonas; Kasic, Kathy; Kim, Ok-Sun; Krula, Edwin; Leventer, Amy; Li, Wei; Lyons, W. Berry; McGill, Patrick; McManis, James; McPike, David; Mironov, Anatoly; Patterson, Molly; Roberts, Graham; Rot, James; Trainor, Cathy; Tranter, Martyn; Winans, John; Zook, Bob</t>
  </si>
  <si>
    <t>Biogeochemical and historical drivers of microbial community composition and structure in sediments from Mercer Subglacial Lake, West Antarctica</t>
  </si>
  <si>
    <t>ISME COMMUNICATIONS</t>
  </si>
  <si>
    <t>WHILLANS ICE STREAM; WATER DRILL SYSTEM; SULFATE REDUCTION; MARINE SEDIMENT; BENEATH; BACTERIA; WISSARD; PLEISTOCENE; SULFIDE; RATES</t>
  </si>
  <si>
    <t>Ice streams that flow into Ross Ice Shelf are underlain by water-saturated sediments, a dynamic hydrological system, and subglacial lakes that intermittently discharge water downstream across grounding zones of West Antarctic Ice Sheet (WAIS). A 2.06 m composite sediment profile was recently recovered from Mercer Subglacial Lake, a 15 m deep water cavity beneath a 1087 m thick portion of the Mercer Ice Stream. We examined microbial abundances, used 16S rRNA gene amplicon sequencing to assess community structures, and characterized extracellular polymeric substances (EPS) associated with distinct lithologic units in the sediments. Bacterial and archaeal communities in the surficial sediments are more abundant and diverse, with significantly different compositions from those found deeper in the sediment column. The most abundant taxa are related to chemolithoautotrophs capable of oxidizing reduced nitrogen, sulfur, and iron compounds with oxygen, nitrate, or iron. Concentrations of dissolved methane and total organic carbon together with water content in the sediments are the strongest predictors of taxon and community composition. &amp; delta;C-13 values for EPS (-25 to -30 &amp; PTSTHOUSND;) are consistent with the primary source of carbon for biosynthesis originating from legacy marine organic matter. Comparison of communities to those in lake sediments under an adjacent ice stream (Whillans Subglacial Lake) and near its grounding zone provide seminal evidence for a subglacial metacommunity that is biogeochemically and evolutionarily linked through ice sheet dynamics and the transport of microbes, water, and sediments beneath WAIS.</t>
  </si>
  <si>
    <t>[Davis, Christina B.; Christner, Brent] Univ Florida, Dept Microbiol &amp; Cell Sci, Gainesville, FL 32611 USA; [Venturelli, Ryan R.] Colorado Sch Mines, Dept Geol &amp; Geol Engn, Golden, CO USA; [Michaud, Alexander M.] Aarhus Univ, Ctr Geomicrobiol, Aarhus, Denmark; [Hawkings, Jon J.] Univ Penn, Dept Earth &amp; Environm Sci, Philadelphia, PA USA; [Achberger, Amanda E.] Texas A&amp;M Univ, Dept Oceanog, College Stn, TX USA; [Vick-Majors, Trista E.] Michigan Technol Univ, Dept Biol Sci, Houghton, MI USA; [Rosenheim, Brad] Univ S Florida, Coll Marine Sci, St Petersburg, FL USA; [Dore, John L.; Dean, Cindy; Li, Wei] Montana State Univ, Dept Land Resources &amp; Environm Sci, Bozeman, MT USA; [Steigmeyer, August D.; Skidmore, Mark G.; Campbell, Timothy] Montana State Univ, Dept Earth Sci, Bozeman, MT USA; [Barker, Joel R.] Univ Minnesota, Sch Earth &amp; Environm Sci, Minneapolis, MN USA; [Benning, Liane C.] GFZ German Res Ctr Geosci, Telegrafenberg, Potsdam, Germany; [Benning, Liane C.] Free Univ Berlin, Dept Earth Sci, Berlin, Germany; [Siegfried, Matthew C.] Colorado Sch Mines, Dept Geophys, Hydrol Sci &amp; Engn Program, Golden, CO USA; [Priscu, John] Polar Oceans Res Grp, Sheridan, MT USA; [Barbante, Carlo] Univ CaFoscari, Inst Dynam Environm Proc, Venice, Italy; [Bowling, Mark; Duling, Dennis A.; Gibson, Dar; Harwood, David; Kalin, Jonas; Krula, Edwin; McManis, James; McPike, David; Mironov, Anatoly; Roberts, Graham; Rot, James; Winans, John; Zook, Bob] Univ Nebraska, Antarctic Sci Management Off, Lincoln, NE USA; [Burnett, Justin] Univ Washington, Appl Phys Lab, Seattle, WA USA; [Collins, Billy; Trainor, Cathy] Montana State Univ, Sch Film &amp; Photog, Bozeman, MT USA; [Fricker, Helen] Univ Calif San Diego, Scripps Inst Oceanog, La Jolla, CA USA; [Gagnon, Alan] Woods Hole Oceanog Inst, Falmouth, MA USA; [Gardner, Christopher; Lyons, W. Berry] Ohio State Univ, Byrd Polar &amp; Climate Res Ctr, Sch Earth Sci, Columbus, OH USA; [Gustafson, Chloe] Columbia Univ, Dept Earth &amp; Environm Sci, New York, NY USA; [Harwood, David] Univ Nebraska, Dept Earth &amp; Atmospher Sci, Lincoln, NE USA; [Kasic, Kathy; McGill, Patrick] Calif State Univ, Film Program, Commun Studies, Sacramento, CA USA; [Kim, Ok-Sun] Korea Polar Res Inst, Div Polar Life Sci, Incheon, South Korea; [Leventer, Amy] Colgate Univ, Dept Geol, Hamilton, NY USA; [Patterson, Molly] Binghamton Univ, Dept Geol Sci &amp; Environm Studies, Vestal, NY USA; [Tranter, Martyn] Aarhus Univ, Dept Environm Sci, Aarhus, Denmark; [Michaud, Alexander M.] Bigelow Lab Ocean Sci, East Boothbay, ME USA</t>
  </si>
  <si>
    <t>State University System of Florida; University of Florida; Colorado School of Mines; Aarhus University; University of Pennsylvania; Texas A&amp;M University System; Texas A&amp;M University College Station; Michigan Technological University; State University System of Florida; University of South Florida; Montana State University System; Montana State University Bozeman; Montana State University System; Montana State University Bozeman; University of Minnesota System; University of Minnesota Twin Cities; Helmholtz Association; Helmholtz-Center Potsdam GFZ German Research Center for Geosciences; Free University of Berlin; Colorado School of Mines; Universita Ca Foscari Venezia; Consiglio Nazionale delle Ricerche (CNR); Istituto per la Dinamica dei Processi Ambientali (IDPA-CNR); University of Nebraska System; University of Nebraska Lincoln; University of Washington; University of Washington Seattle; Montana State University System; Montana State University Bozeman; University of California System; University of California San Diego; Scripps Institution of Oceanography; Woods Hole Oceanographic Institution; University System of Ohio; Ohio State University; Columbia University; University of Nebraska System; University of Nebraska Lincoln; California State University System; California State University Sacramento; Korea Polar Research Institute (KOPRI); Colgate University; State University of New York (SUNY) System; State University of New York (SUNY) Binghamton; Aarhus University; Bigelow Laboratory for Ocean Sciences</t>
  </si>
  <si>
    <t>Christner, BC (corresponding author), Univ Florida, Dept Microbiol &amp; Cell Sci, Gainesville, FL 32611 USA.</t>
  </si>
  <si>
    <t>xner@ufl.edu</t>
  </si>
  <si>
    <t>Roberts, Gareth M/H-4496-2011; Tranter, Martyn/E-3722-2010; Rosenheim, Brad/F-6349-2012</t>
  </si>
  <si>
    <t>Hawkings, Jon/0000-0003-4813-8474; Rosenheim, Brad/0000-0001-6141-4651; Vick-Majors, Trista/0000-0002-6868-4010</t>
  </si>
  <si>
    <t>US National Science Foundation [NSF-OPP 1543537, 1543396, 1543405, 1543453, 1543441]; Ice Drilling Program of Dartmouth College [NSF-PLR 1327315, MG25828]; New York Air National Guard and Kenn Borek Air; SALSA Project Coordinator at McMurdo Station</t>
  </si>
  <si>
    <t>US National Science Foundation(National Science Foundation (NSF)); Ice Drilling Program of Dartmouth College; New York Air National Guard and Kenn Borek Air; SALSA Project Coordinator at McMurdo Station</t>
  </si>
  <si>
    <t>This research was supported by the US National Science Foundation (Section for Antarctic Sciences, Antarctic Integrated System Science program) as part of the interdisciplinary Subglacial Antarctic Lakes Scientific Access (SALSA) project (NSF-OPP 1543537, 1543396, 1543405, 1543453 and 1543441). Hot water drilling activities were supported by a sub-award from the Ice Drilling Program of Dartmouth College (NSF-PLR 1327315) to the University of Nebraska-Lincoln. Access to Diamond Light Source Ltd (UK) for synchrotron beamtime was possible through a direct access grant (MG25828) to JRH and LGB. We thank the beamline staff, Dr. Tohru Araki, Dr. Burkhard Kaulich and Dr. Majid Kazemian, for their assistance and dedication during our beamtime experiments. We are indebted to the SALSA drillers and traverse personnel for logistical and science support; the New York Air National Guard and Kenn Borek Air for air support; C. Dean, the SALSA Project Manager; and R. Ricards, SALSA Project Coordinator at McMurdo Station.</t>
  </si>
  <si>
    <t>2730-6151</t>
  </si>
  <si>
    <t>ISME COMMUN</t>
  </si>
  <si>
    <t>ISME Commun.</t>
  </si>
  <si>
    <t>10.1038/s43705-023-00216-w</t>
  </si>
  <si>
    <t>Ecology; Microbiology</t>
  </si>
  <si>
    <t>P7CZ7</t>
  </si>
  <si>
    <t>WOS:001052229100001</t>
  </si>
  <si>
    <t>Martínez-Curci, NS; Fierro, P; Navedo, JG</t>
  </si>
  <si>
    <t>Martinez-Curci, Natalia S.; Fierro, Pablo; Navedo, Juan G.</t>
  </si>
  <si>
    <t>Does experimental seaweed cultivation affect benthic communities and shorebirds? Applications for extensive aquaculture</t>
  </si>
  <si>
    <t>ECOLOGICAL APPLICATIONS</t>
  </si>
  <si>
    <t>aquaculture; benthic assemblages; Chile; Gracilaria chilensis; macroalgae cultivation; seaweed farming; shorebirds; South America</t>
  </si>
  <si>
    <t>MIGRATORY SHOREBIRDS; ECOSYSTEM SERVICES; PACIFIC COAST; ESTUARY; CHILE; BIODIVERSITY; MULTIFUNCTIONALITY; DISTURBANCE; PREDATION; RESPONSES</t>
  </si>
  <si>
    <t>Extensive seaweed aquaculture is a growing industry expected to expand globally due to its relatively low impact and benefits in the form of ecosystem services. However, seaweeds are ecosystem engineers that may alter coastal environments by creating complex habitats on previously bare mudflats. These changes may scale up to top-consumers, particularly migratory shorebirds, species of conservation concern that regulate trophic webs at these habitats. Understanding how habitats are transformed and how this affects different species is critical to direct ecological applications for commercial seaweed management. We experimentally assessed through a Before-After Control-Impact design the potential changes exerted by Gracilaria chilensis farming on bare mudflats on the abundance, biomass, and assemblage structure of benthic macroinvertebrates, and their scaled-up effects on shorebirds' habitat use and prey consumption. As predicted, experimental cultivation of G. chilensis significantly affects different components of biodiversity that scale-up from lower to upper trophic levels. The total biomass of benthic macroinvertebrates increased with seaweed cultivation and remained high for at least 2 months after harvest, boosted by an increase in the median size of polychaetes, particularly Nereids. Tactile-foraging shorebirds tracked these changes at the patch level increasing their abundance and spending more time foraging at seaweed cultivated plots. These results suggest that seaweed farming has the potential to impact shorebird populations by favoring tactile-foraging species which could lead to a competitive disadvantage to species that rely on visual cues. Therefore, the establishment of new seaweed farms in bare mudflats at key sites for shorebirds must be planned warranting habitat heterogeneity (i.e., cultivated and non-cultivated areas) at the landscape level and based on a previous experimental approach to account for local characteristics. Fostering properly designed extensive seaweed farming over other aquaculture industries with greater negative environmental impacts would provide benefits for human well-being and for ecosystem functions.</t>
  </si>
  <si>
    <t>[Martinez-Curci, Natalia S.] Cornell Univ, Coastal Solut Fellows Program, Cornell Lab Ornithol, Ithaca, NY 14850 USA; [Martinez-Curci, Natalia S.; Fierro, Pablo; Navedo, Juan G.] Univ Austral Chile, Inst Ciencias Marinas &amp; Limnol, Vadivia, Chile; [Martinez-Curci, Natalia S.] Univ Nacl Mar Plata, Inst Invest Marinas &amp; Costeras, CONICET, Buenos Aires, Argentina; [Navedo, Juan G.] Univ Austral Chile, Estn Expt Quempillen, Ancud, Chile; [Navedo, Juan G.] Millennium Inst Biodivers Antarctic &amp; Subantarct, Santiago, Chile</t>
  </si>
  <si>
    <t>Cornell University; Universidad Austral de Chile; National University of Mar del Plata; Consejo Nacional de Investigaciones Cientificas y Tecnicas (CONICET); Universidad Austral de Chile</t>
  </si>
  <si>
    <t>Martínez-Curci, NS (corresponding author), Cornell Univ, Coastal Solut Fellows Program, Cornell Lab Ornithol, Ithaca, NY 14850 USA.;Martínez-Curci, NS (corresponding author), Univ Austral Chile, Inst Ciencias Marinas &amp; Limnol, Vadivia, Chile.;Martínez-Curci, NS (corresponding author), Univ Nacl Mar Plata, Inst Invest Marinas &amp; Costeras, CONICET, Buenos Aires, Argentina.</t>
  </si>
  <si>
    <t>nsm85@cornell.edu</t>
  </si>
  <si>
    <t>Martinez-Curci, Natalia Soledad/0000-0002-0104-7383; Fierro, Pablo/0000-0001-9996-2821</t>
  </si>
  <si>
    <t>Agencia Nacional deInvestigacion y Desarrollo [ICN2021_002]; Coastal Solutions Fellows Program, Cornell Lab of Ornithology, Cornell University</t>
  </si>
  <si>
    <t>Agencia Nacional deInvestigacion y Desarrollo; Coastal Solutions Fellows Program, Cornell Lab of Ornithology, Cornell University</t>
  </si>
  <si>
    <t>Coastal Solutions Fellows Program, Cornell Lab of Ornithology, Cornell University; Agencia Nacional deInvestigacion y Desarrollo, Grant/Award Number: ICN2021_002</t>
  </si>
  <si>
    <t>1051-0761</t>
  </si>
  <si>
    <t>1939-5582</t>
  </si>
  <si>
    <t>ECOL APPL</t>
  </si>
  <si>
    <t>Ecol. Appl.</t>
  </si>
  <si>
    <t>10.1002/eap.2799</t>
  </si>
  <si>
    <t>A9OP2</t>
  </si>
  <si>
    <t>WOS:000923411500001</t>
  </si>
  <si>
    <t>Shang, S; Liu, Y; Jiang, PF; Wang, YY; Fu, BS; Qi, LB</t>
  </si>
  <si>
    <t>Shang, Shan; Liu, Ying; Jiang, Pengfei; Wang, Yueyue; Fu, Baoshang; Qi, Libo</t>
  </si>
  <si>
    <t>Effects of partial replacement of unwashed Antarctic krill surimi by Litopenaeus vannamei surimi on the heat-induced gelling and three-dimensional-printing properties</t>
  </si>
  <si>
    <t>JOURNAL OF TEXTURE STUDIES</t>
  </si>
  <si>
    <t>3D printing; Antarctic krill; gelling properties; myofibrillar protein</t>
  </si>
  <si>
    <t>EUPHAUSIA-SUPERBA; MEAT PROTEINS; HIGH-PRESSURE; MUSCLE; GEL; QUALITY; TECHNOLOGIES; CARRAGEENAN; GELATION; STARCH</t>
  </si>
  <si>
    <t>There is an emerging consumption of the Antarctic krill (AK) muscle-based food due to its excellent nutritional value and enormous biomass storage capacity. However, the coarse texture of the muscle and the weak gelling properties of AK protein impede its expansion in surimi-based products. This investigation successfully prepared heat-induced gels of AK surimi with desirable textural properties by including Litopenaeus vannamei in varying proportions. Higher concentrations of L. vannamei resulted in improved three-dimensional printability, greater water-holding capacity (WHC), larger viscoelastic modulus, and a well-formed microstructural matrix of AK surimi, due to an increased level of myofibrillar protein. Compared with AK, L. vannamei muscle had double the salt-soluble protein content, which was corroborated by increased intensity of bands of actin, paramyosin, tropomyosin, and myosin light chains on reducing SDS-PAGE. DSC results indicated that a high ratio of L. vannamei elevated the denaturation temperature and enthalpy of myosin, sarcoplasmic protein, and actin, suggesting a high degree of cross-linking. It was also found that when hydroxypropyl cassava starch was added at 0.5% (w/w), WHC and gel strength were further improved with a more compact gel matrix. The successful preparation of unwashed mixed surimi with AK meat fully exploited in this study provides an option for AK surimi-based product industrialization.</t>
  </si>
  <si>
    <t>[Shang, Shan; Liu, Ying; Jiang, Pengfei; Wang, Yueyue; Fu, Baoshang; Qi, Libo] Dalian Polytech Univ, Natl Engn Res Ctr Seafood, Collaborat Innovat Ctr Prov &amp; Ministerial Coconstr, Sch Food Sci &amp; Technol, Dalian, Peoples R China; [Qi, Libo] Dalian Polytech Univ, Natl Engn Res Ctr Seafood, Collaborat Innovat Ctr Prov &amp; Ministerial Coconstr, Sch Food Sci &amp; Technol, Dalian 116034, Peoples R China</t>
  </si>
  <si>
    <t>Qi, LB (corresponding author), Dalian Polytech Univ, Natl Engn Res Ctr Seafood, Collaborat Innovat Ctr Prov &amp; Ministerial Coconstr, Sch Food Sci &amp; Technol, Dalian 116034, Peoples R China.</t>
  </si>
  <si>
    <t>qilibo@dlpu.edu.cn</t>
  </si>
  <si>
    <t>Wang, Yueyue/GNH-3153-2022</t>
  </si>
  <si>
    <t>Shang, Shan/0000-0002-0577-9952</t>
  </si>
  <si>
    <t>State Key Research and Development Plan New Production Creation, New Processing Technology Research &amp; Development of Aquatic Food [2019YFD0902000]</t>
  </si>
  <si>
    <t>State Key Research and Development Plan New Production Creation, New Processing Technology Research &amp; Development of Aquatic Food</t>
  </si>
  <si>
    <t>ACKNOWLEDGMENTS This work was supported by the State Key Research and Development Plan New Production Creation, New Processing Technology Research &amp; Development of Aquatic Food with High Quality (2019YFD0902000).</t>
  </si>
  <si>
    <t>0022-4901</t>
  </si>
  <si>
    <t>1745-4603</t>
  </si>
  <si>
    <t>J TEXTURE STUD</t>
  </si>
  <si>
    <t>J. Texture Stud.</t>
  </si>
  <si>
    <t>10.1111/jtxs.12739</t>
  </si>
  <si>
    <t>E6RX0</t>
  </si>
  <si>
    <t>WOS:000920661600001</t>
  </si>
  <si>
    <t>Dawkins, ECM; Stober, G; Janches, D; Carrillo-Sánchez, JD; Lieberman, RS; Jacobi, C; Moffat-Griffin, T; Mitchell, NJ; Cobbett, N; Batista, PP; Andrioli, VF; Buriti, RA; Murphy, DJ; Kero, J; Gulbrandsen, N; Tsutsumi, M; Kozlovsky, A; Kim, JH; Lee, C; Lester, M</t>
  </si>
  <si>
    <t>Dawkins, E. C. M.; Stober, G.; Janches, D.; Carrillo-Sanchez, J. D.; Lieberman, R. S.; Jacobi, C.; Moffat-Griffin, T.; Mitchell, N. J.; Cobbett, N.; Batista, P. P.; Andrioli, V. F.; Buriti, R. A.; Murphy, D. J.; Kero, J.; Gulbrandsen, N.; Tsutsumi, M.; Kozlovsky, A.; Kim, J. H.; Lee, C.; Lester, M.</t>
  </si>
  <si>
    <t>Solar Cycle and Long-Term Trends in the Observed Peak of the Meteor Altitude Distributions by Meteor Radars</t>
  </si>
  <si>
    <t>meteor; altitude; mesosphere; meteor radar; climate change; mesopause</t>
  </si>
  <si>
    <t>WAVE MOMENTUM FLUX; MIDDLE ATMOSPHERE; TEMPERATURE TRENDS; DECADAL VARIABILITY; CARBON-DIOXIDE; WATER-VAPOR; MESOSPHERE; REGION; MESOPAUSE; DYNAMICS</t>
  </si>
  <si>
    <t>The mesosphere/lower thermosphere (MLT, 80-100 km) region is an important boundary between Earth's atmosphere below and space above and may act as a sensitive indicator for anthropogenic climate change. Existing observational and modeling studies have shown the middle atmosphere and the MLT is cooling and contracting because of increasing greenhouse gas emissions. However, trend analyses are highly sensitive to the time periods covered, their length, and the measurement type and methodology used. We present for the first time the linear and 11-year solar cycle responses in the meteor ablation altitude distributions observed by 12 meteor radars at different locations. Decreasing altitudes were seen at all latitudes (linear trends varying from -10.97 to -817.95 m dec(-1)), and a positive correlation with solar activity was seen for most locations. The divergence of responses at high latitudes indicates an important and complex interplay between atmospheric changes and dynamics at varying time scales.</t>
  </si>
  <si>
    <t>[Dawkins, E. C. M.; Janches, D.; Carrillo-Sanchez, J. D.; Lieberman, R. S.] NASA Goddard Space Flight Ctr, ITM Phys Lab, Greenbelt, MD 20771 USA; [Dawkins, E. C. M.; Carrillo-Sanchez, J. D.] Catholic Univ Amer, Dept Phys, Washington, DC 20064 USA; [Stober, G.] Univ Bern, Inst Appl Phys, Microwave Phys, Bern, Switzerland; [Jacobi, C.] Univ Leipzig, Inst Meteorol, Leipzig, Germany; [Moffat-Griffin, T.; Mitchell, N. J.; Cobbett, N.] British Antarctic Survey, Cambridge, England; [Mitchell, N. J.] Univ Bath, Bath, England; [Batista, P. P.; Andrioli, V. F.] Natl Inst Space Res INPE, Sao Jose Dos Campos, Brazil; [Andrioli, V. F.] INPE, NSSC, China Brazil Joint Lab Space Weather, Sao Jose Dos Campos, Brazil; [Buriti, R. A.] Univ Fed Campina Grande, Dept Phys, Campina Grande, Brazil; [Murphy, D. J.] Australian Antarctic Div, Kingston, Tas, Australia; [Kero, J.] Swedish Inst Space Phys IRF, Kiruna, Sweden; [Gulbrandsen, N.] UiT Arctic Univ Norway, Tromso Geophys Observ, Tromso, Norway; [Tsutsumi, M.] Natl Inst Polar Res, Tachikawa, Japan; [Tsutsumi, M.] Grad Univ Adv Studies SOKENDAI, Tokyo, Japan; [Kozlovsky, A.] Univ Oulu, Sodankyla Geophys Observ, Oulu, Finland; [Kim, J. H.; Lee, C.] Korea Polar Res Inst, Div Atmospher Sci, Incheon, South Korea; [Lester, M.] Univ Leicester, Dept Phys &amp; Astron, Leicester, England</t>
  </si>
  <si>
    <t>National Aeronautics &amp; Space Administration (NASA); NASA Goddard Space Flight Center; Catholic University of America; University of Bern; Leipzig University; UK Research &amp; Innovation (UKRI); Natural Environment Research Council (NERC); NERC British Antarctic Survey; University of Bath; Instituto Nacional de Pesquisas Espaciais (INPE); Instituto Nacional de Pesquisas Espaciais (INPE); Universidade Federal de Campina Grande; Australian Antarctic Division; UiT The Arctic University of Tromso; Research Organization of Information &amp; Systems (ROIS); National Institute of Polar Research (NIPR) - Japan; Graduate University for Advanced Studies - Japan; University of Oulu; Korea Polar Research Institute (KOPRI); University of Leicester</t>
  </si>
  <si>
    <t>Dawkins, ECM (corresponding author), NASA Goddard Space Flight Ctr, ITM Phys Lab, Greenbelt, MD 20771 USA.;Dawkins, ECM (corresponding author), Catholic Univ Amer, Dept Phys, Washington, DC 20064 USA.</t>
  </si>
  <si>
    <t>erin.dawkins@nasa.gov</t>
  </si>
  <si>
    <t>BATISTA, PAULO PRADO/C-2616-2009; Andrioli, Vania F/C-9976-2012; Lester, Mark/C-9657-2016</t>
  </si>
  <si>
    <t>BATISTA, PAULO PRADO/0000-0002-5448-5803; Stober, Gunter/0000-0002-7909-6345; Mitchell, Nicholas/0000-0003-1149-8484; Carrillo Sanchez, Juan Diego/0000-0001-8230-4048; Jacobi, Christoph/0000-0002-7878-0110; Andrioli, Vania Fatima/0000-0001-9065-2122</t>
  </si>
  <si>
    <t>NASA ISFM programs for Heliophysics; Korea Polar Research Institute from the Ministry of Oceans and Fisheries [KOPRI PE22020]; Deutsche Forschungsgemein-schaft (DFG) [JA836/43-1]; UK Science and Technology Facilities Council [ST/W00089X/1]; NESC [TI-17-01204]; UK Natural Environment Research Council [NE/R001391, NE/R001235/1]; Sao Paulo State Research Support Foundation; Brazilian National Research Conseil; Australian Antarctic Science [2668, 4025, 4445]; NERC [NE/R001235/1] Funding Source: UKRI; STFC [ST/W00089X/1] Funding Source: UKRI</t>
  </si>
  <si>
    <t>NASA ISFM programs for Heliophysics; Korea Polar Research Institute from the Ministry of Oceans and Fisheries; Deutsche Forschungsgemein-schaft (DFG)(German Research Foundation (DFG)); UK Science and Technology Facilities Council(UK Research &amp; Innovation (UKRI)Science &amp; Technology Facilities Council (STFC)); NESC; UK Natural Environment Research Council(UK Research &amp; Innovation (UKRI)Natural Environment Research Council (NERC)); Sao Paulo State Research Support Foundation(Fundacao de Amparo a Pesquisa do Estado de Sao Paulo (FAPESP)); Brazilian National Research Conseil; Australian Antarctic Science; NERC(UK Research &amp; Innovation (UKRI)Natural Environment Research Council (NERC)); STFC(UK Research &amp; Innovation (UKRI)Science &amp; Technology Facilities Council (STFC))</t>
  </si>
  <si>
    <t>ED, DJ, JDCS, and RSL are supported through the NASA ISFM programs for Heliophysics. GS is a member of the Oeschger Center for Climate Change Research. J-HK and CL were supported by a Korea Polar Research Institute Grant (KOPRI PE22020) from the Ministry of Oceans and Fisheries. CJ acknowledges support by Deutsche Forschungsgemein-schaft (DFG) Grant JA836/43-1. ML acknowledges support from UK Science and Technology Facilities Council Grant ST/W00089X/1. TdF operation is supported by NESC assessment TI-17-01204. ROT and KEP radars were funded through UK Natural Environment Research Council Grants NE/R001391 and NE/R001235/1. CPa, SMa and CAR meteor radars were funded through Sao Paulo State Research Support Foundation and Brazilian National Research Conseil. DAV operation was supported by Australian Antarctic Science projects 2668, 4025, and 4445. Operation of KIR is provided by the Swedish Space Corporation (SSC) Esrange Space Center.</t>
  </si>
  <si>
    <t>JAN 28</t>
  </si>
  <si>
    <t>10.1029/2022GL101953</t>
  </si>
  <si>
    <t>9A6JQ</t>
  </si>
  <si>
    <t>WOS:000934162700004</t>
  </si>
  <si>
    <t>Jiang, B; Xie, ZQ; Chen, AF; Yue, FG; Yu, XW; Wang, LQ; Gu, WH; Wu, XD; Chai, ZY; Jin, RL</t>
  </si>
  <si>
    <t>Jiang, Bei; Xie, Zhouqing; Chen, Afeng; Yue, Fange; Yu, Xiawei; Wang, Longquan; Gu, Weihua; Wu, Xudong; Chai, Zhangyan; Jin, Ruilin</t>
  </si>
  <si>
    <t>Importance of Atmospheric Transport on Methanesulfonic Acid (MSA) Concentrations in the Arctic Ocean During Summer Under Global Warming</t>
  </si>
  <si>
    <t>methanesulfonic acid aerosol; Arctic Ocean; air mass transport; sea ice; temperature; marine boundary layer</t>
  </si>
  <si>
    <t>NORTH-ATLANTIC OSCILLATION; METHANE SULFONIC-ACID; DIMETHYL SULFIDE DMS; FT-IR PRODUCT; AEROSOL FORMATION; BIOGENIC SULFUR; SULFATE AEROSOL; BOUNDARY-LAYER; SEA-SALT; OXIDATION</t>
  </si>
  <si>
    <t>The climatic effects of aerosols derived from dimethyl sulfide (DMS) (e.g., methanesulfonic acid [MSA]) have long been of concern, particularly in the rapidly warming Arctic Ocean. Melting sea ice and increase in primary productivity can result in increased DMS emissions and MSA. However, the processes affecting MSA are complex. In addition to local sources, atmospheric chemistry processes, deposition, long-distance transport, and regional heterogeneities influence MSA. This study used aerosol samples from the Chinese Polar Research Expedition during the summer of 2010-2016 and divided them into the Chukchi Sea (CS), high Arctic Ocean (HAO), and sea near Greenland (NG) to study the factors that influence the changes in MSA. For CS, MSA concentrations were primarily influenced by long-distance transport from the Bering Sea air mass. Moreover, owing to the North Atlantic Oscillation, an increase in the Bering Sea temperature and a decrease in rainfall during air mass transport led to a significant increase in the concentration of MSA in the CS in 2016. When the sea ice concentration was between 0.2 and 0.6, high solar radiation likely promoted MSA formation in the HAO. For NG, the sources, rainfall and atmospheric chemical processes influenced the variations in MSA. This study highlights the importance of MSA transport in the CS and sea ice for MSA in the HAO under global warming. Plain Language Summary The Arctic is the most sensitive region in the world to climate change. Melting sea ice and rising temperatures are affecting the ecosystems of the Arctic Ocean. Methanesulfonic acid (MSA) are generated by the oxidation of dimethyl sulfide (DMS) produced by marine phytoplankton after being released into the atmosphere. DMS-derived aerosols in the Arctic Ocean substantially contribute to regional new particle formation and cloud condensation nuclei formation. This could have implications for climate in the Arctic Ocean. As MSA is a good indicator of DMS-derived aerosols, comprehensively understanding how environmental changes influence MSA concentrations is crucial to clarify how emission sources and aerosol-cloud interactions. This study demonstrates that the spatial and temporal distribution characteristics of MSA and their major influencing factors during summer in different sea areas of Arctic Ocean. The findings highlight that although the Chukchi Sea is one of the regions where the Arctic Ocean has warmed and marine primary productivity has increased significantly, the interannual variability of the MSA in this region is mainly influenced by the long-distance transport from the Bering Sea. However, for the High Arctic Ocean regions, sea ice contributes significantly to local MSA concentrations.</t>
  </si>
  <si>
    <t>[Jiang, Bei; Xie, Zhouqing; Chen, Afeng; Yue, Fange; Yu, Xiawei; Wang, Longquan; Gu, Weihua; Wu, Xudong; Jin, Ruilin] Univ Sci &amp; Technol China, Dept Environm Sci &amp; Engn, Anhui Key Lab Polar Environm &amp; Global Change, Hefei, Peoples R China; [Chai, Zhangyan] Univ Sci &amp; Technol China, Sch Life Sci, Hefei, Peoples R China</t>
  </si>
  <si>
    <t>Chinese Academy of Sciences; University of Science &amp; Technology of China, CAS; Chinese Academy of Sciences; University of Science &amp; Technology of China, CAS</t>
  </si>
  <si>
    <t>Gu, Weihua/ABG-5395-2021; Jiang, Bei/JDC-9899-2023; wu, xudong/KGL-1857-2024</t>
  </si>
  <si>
    <t>Jiang, Bei/0000-0001-5223-6742;</t>
  </si>
  <si>
    <t>This study was funded by National Natural Science Foundation of China (NSFC) (41941014). The authors thank the Chinese Arctic and Antarctic Administration for supporting the field campaign. The MERRA-2 data used in this study were provided by the Global Modeling and Assimilation Office (GMAO) at the NASA Goddard Space Flight Center. The authors acknowledge the Yaqiang Wang from the Chinese Academy of Meteorological Sciences for providing the TrajStat model. The authors thank Zheng Li, Juan Yu, Pengzhen He, Shidong Fan for sampling during field campaign, respectively.</t>
  </si>
  <si>
    <t>JAN 27</t>
  </si>
  <si>
    <t>e2022JD037271</t>
  </si>
  <si>
    <t>10.1029/2022JD037271</t>
  </si>
  <si>
    <t>9H4XC</t>
  </si>
  <si>
    <t>WOS:000938835500036</t>
  </si>
  <si>
    <t>Loeb, NA; Kennedy, A</t>
  </si>
  <si>
    <t>Loeb, Nicole A.; Kennedy, Aaron</t>
  </si>
  <si>
    <t>Blowing Snow at McMurdo Station, Antarctica During the AWARE Field Campaign: Multi-Instrument Observations of Blowing Snow</t>
  </si>
  <si>
    <t>blowing snow; AWARE; ceilometer; lidar; radar; McMurdo station</t>
  </si>
  <si>
    <t>SURFACE MASS-BALANCE; MODELING SNOWDRIFT SUBLIMATION; HIGH-SPECTRAL-RESOLUTION; ROSS ISLAND REGION; LIDAR; CLIMATE; EVENTS</t>
  </si>
  <si>
    <t>In polar regions, blowing snow (BLSN) can play a substantial role in regional thermodynamics and radiation properties. The extent of the impact depends upon the depth of the BLSN layer, a property that is difficult to measure and not well understood. The West Antarctic Radiation Experiment (AWARE) Field Campaign saw the deployment of a large suite of observational instruments to McMurdo Station, Antarctica, allowing for in-depth investigation of BLSN. During the year of the campaign, BLSN occurred similar to 7.4% of the time. In this study, additional remote sensing observations are used to supplement an existing ceilometer-based BLSN characterization algorithm creating a multi-instrument (MI) depth estimation algorithm to yield layer depths with more certainty. Backscatter coefficient and linear depolarization ratios from the micropulse and high spectral resolution lidar (HSRL) are incorporated along with color ratio derived from HSRL backscatter and Ka-band radar reflectivity observations. This provided estimates of BLSN depth that were less impacted by noise/artifacts in any one set of observations. When applied to the data from AWARE, the MI algorithm yielded an average depth of 168.2 m with similar to 60% of plumes less than 200 m in depth. Events occurring with precipitation saw the most value in the additional instruments, with the suite of observations allowing for more separation of BLSN particles from fallstreaks. Plain Language Summary This study used multiple lidar and radar instruments to identify the height of blowing snow (BLSN) layers at McMurdo Station in Antarctica. This information can be used to evaluate and improve BLSN models which have had minimal verification above ground. Results of this study compare well to prior studies, however, the suite of instruments demonstrate that agreement is partially due to compensating errors within single instrument (ceilometer) studies.</t>
  </si>
  <si>
    <t>[Loeb, Nicole A.] Univ Manitoba, Dept Environm &amp; Geog, Winnipeg, MB, Canada; [Kennedy, Aaron] Univ North Dakota, Dept Atmospher Sci, Grand Forks, ND 58202 USA</t>
  </si>
  <si>
    <t>University of Manitoba; University of North Dakota Grand Forks</t>
  </si>
  <si>
    <t>Kennedy, A (corresponding author), Univ North Dakota, Dept Atmospher Sci, Grand Forks, ND 58202 USA.</t>
  </si>
  <si>
    <t>aaron.kennedy@und.edu</t>
  </si>
  <si>
    <t>Loeb, Nicole/0000-0003-3852-5913</t>
  </si>
  <si>
    <t>DOE ASR Grant [DE-SC0019392]; U.S. Department of Energy (DOE) [DE-SC0019392] Funding Source: U.S. Department of Energy (DOE)</t>
  </si>
  <si>
    <t>DOE ASR Grant; U.S. Department of Energy (DOE)(United States Department of Energy (DOE))</t>
  </si>
  <si>
    <t>This research is funded by DOE ASR Grant DE-SC0019392. We would also like to thank Michael Ritsche and his colleagues at ARM for reprocessing the ceilometer data, as well as Alexandra Gossart for reviewing this paper and assistance with the ceilometer BLSN detection algorithm, and the Lidar group at the University of Wisconsin-Madison for providing the high-resolution HSRL data. Finally, Stephen Palm is also thanked for providing helpful feedback on the paper that led to the inclusion of sounding data.</t>
  </si>
  <si>
    <t>e2022JD037590</t>
  </si>
  <si>
    <t>10.1029/2022JD037590</t>
  </si>
  <si>
    <t>WOS:000938835500005</t>
  </si>
  <si>
    <t>Wüst, S; Bittner, M; Espy, PJ; French, WJR; Mulligan, FJ</t>
  </si>
  <si>
    <t>Wuest, Sabine; Bittner, Michael; Espy, Patrick J.; French, W. John R.; Mulligan, Frank J.</t>
  </si>
  <si>
    <t>Hydroxyl airglow observations for investigating atmospheric dynamics:results and challenges</t>
  </si>
  <si>
    <t>OH ROTATIONAL TEMPERATURE; BRUNT-VAISALA FREQUENCY; SCALE GRAVITY-WAVES; MESOPAUSE REGION; ATOMIC OXYGEN; MESOSPHERIC TEMPERATURES; THERMAL STRUCTURE; SECONDARY WAVES; MOMENTUM FLUX; LAYER HEIGHT</t>
  </si>
  <si>
    <t>Measurements of hydroxyl (OH*) airglow intensity are a straightforward and cost-efficient method which allows the derivation of information about the climate and dynamics of the upper mesosphere/lower thermosphere (UMLT) on different spatiotemporal scales during darkness. Today, instrument components can be bought off-the-shelf  and developments in detector technology allows operation without cooling, or at least without liquid nitrogen cooling, which is difficult to automate. This makes instruments compact and suitable for automated operation. Here, we briefly summarize why an OH* airglow layer exists, how atmospheric dynamics influence it and how temperature can be derived from OH* airglow measurements. Then, we provide an overview of the scientific results regarding atmospheric dynamics (mainly gravity waves (GWs) but also planetary waves (PWs) and infrasound) achieved with OH* airglow measurements. We focus on long-term ground-based OH* airglow measurements or airglow measurements using a network of ground-based instruments. The paper includes further results from global or near-global satellite-based OH* airglow measurements, which are of special importance for characterizing the OH* airglow layer. Additionally, the results from the very few available airborne case studies using OH* airglow instruments are summarized. Scientific and technical challenges for the next few years are described.</t>
  </si>
  <si>
    <t>[Wuest, Sabine; Bittner, Michael] Deutsch Zentrum Luft &amp; Raumfahrt Oberpfaffen, Erdbeobachtungszentrum, D-82234 Wessling, Germany; [Bittner, Michael] Univ Augsburg, Inst Phys, D-86159 Augsburg, Germany; [Espy, Patrick J.] Norwegian Univ Sci &amp; Technol, Dept Phys, Trondheim, Norway; [French, W. John R.] Australian Antarctic Div, 203 Channel Hwy, Kingston, Tas 7050, Australia; [Mulligan, Frank J.] Maynooth Univ, Dept Expt Phys, Maynooth, Kildare, Ireland</t>
  </si>
  <si>
    <t>University of Augsburg; Norwegian University of Science &amp; Technology (NTNU); Australian Antarctic Division; Maynooth University</t>
  </si>
  <si>
    <t>Wüst, S (corresponding author), Deutsch Zentrum Luft &amp; Raumfahrt Oberpfaffen, Erdbeobachtungszentrum, D-82234 Wessling, Germany.</t>
  </si>
  <si>
    <t>sabine.wuest@dlr.de</t>
  </si>
  <si>
    <t>French, John/0000-0001-9305-6190; Wust, Sabine/0000-0002-0359-4946; Espy, Patrick/0000-0002-0793-6202</t>
  </si>
  <si>
    <t>10.5194/acp-23-1599-2023</t>
  </si>
  <si>
    <t>8K3II</t>
  </si>
  <si>
    <t>Green Submitted, gold, Green Accepted</t>
  </si>
  <si>
    <t>WOS:000922999200001</t>
  </si>
  <si>
    <t>Burgay, F; Fernández, RP; Segato, D; Turetta, C; Blaszczak-Boxe, CS; Rhodes, RH; Scarchilli, C; Ciardini, V; Barbante, C; Saiz-Lopez, A; Spolaor, A</t>
  </si>
  <si>
    <t>Burgay, Francois; Fernandez, Rafael Pedro; Segato, Delia; Turetta, Clara; Blaszczak-Boxe, Christopher S.; Rhodes, Rachael H.; Scarchilli, Claudio; Ciardini, Virginia; Barbante, Carlo; Saiz-Lopez, Alfonso; Spolaor, Andrea</t>
  </si>
  <si>
    <t>200-year ice core bromine reconstruction at Dome C (Antarctica): observational and modelling results</t>
  </si>
  <si>
    <t>ATMOSPHERIC BOUNDARY-LAYER; SEA-SALT AEROSOL; VOLCANIC-ERUPTIONS; INORGANIC BROMINE; OZONE DESTRUCTION; SNOW ACCUMULATION; EAST ANTARCTICA; NITRATE; PHOTOLYSIS; CHEMISTRY</t>
  </si>
  <si>
    <t>Bromine enrichment (Br-enr) has been proposed as an ice core proxy for past sea-ice reconstruction. Understanding the processes that influence bromine preservation in the ice is crucial to achieve a reliable interpretation of ice core signals and to potentially relate them to past sea-ice variability. Here, we present a 210 years bromine record that sheds light on the main processes controlling bromine preservation in the snow and ice at Dome C, East Antarctic plateau. Using observations alongside a modelling approach, we demonstrate that the bromine signal is preserved at Dome C and it is not affected by the strong variations in ultraviolet radiation reaching the Antarctic plateau due to the stratospheric ozone hole. Based on this, we investigate whether the Dome C Br-enr record can be used as an effective tracer of past Antarctic sea ice. Due to the limited time window covered by satellite measurements and the low sea-ice variability observed during the last 30 years in East Antarctica, we cannot fully validate Br-enr as an effective proxy for past sea-ice reconstructions at Dome C.</t>
  </si>
  <si>
    <t>[Burgay, Francois] Paul Scherrer Inst, Lab Environm Chem LUC, CH-5232 Villigen, Switzerland; [Burgay, Francois; Segato, Delia; Turetta, Clara; Barbante, Carlo; Spolaor, Andrea] Univ Ca Foscari Venice, Dept Environm Sci Informat &amp; Stat, I-30172 Venice Mestre, Italy; [Fernandez, Rafael Pedro] FCEN UNCuyo, Inst Interdisciplinary Sci, Natl Res Council ICB CONICET, RA-5501 Mendoza, Argentina; [Segato, Delia; Turetta, Clara; Barbante, Carlo; Spolaor, Andrea] CNR, Inst Polar Sci, I-30172 Venice Mestre, Italy; [Blaszczak-Boxe, Christopher S.] Howard Univ, Interdisciplinary Studies Dept, Washington, DC 20059 USA; [Rhodes, Rachael H.] Univ Cambridge, Dept Earth Sci, Cambridge, England; [Scarchilli, Claudio; Ciardini, Virginia] ENEA, Lab Observat &amp; Measures Environm &amp; Climate SSPT P, Rome, Italy; [Saiz-Lopez, Alfonso] CSIC, Inst Phys Chem Rocasolano, Dept Atmospher Chem &amp; Climate, Madrid, Spain</t>
  </si>
  <si>
    <t>Swiss Federal Institutes of Technology Domain; Paul Scherrer Institute; Universita Ca Foscari Venezia; Consiglio Nazionale delle Ricerche (CNR); Istituto di Scienze Polari (ISP-CNR); Howard University; University of Cambridge; Italian National Agency New Technical Energy &amp; Sustainable Economics Development; Consejo Superior de Investigaciones Cientificas (CSIC); CSIC - Instituto de Quimica Fisica Rocasolano (IQFR)</t>
  </si>
  <si>
    <t>Spolaor, A (corresponding author), Univ Ca Foscari Venice, Dept Environm Sci Informat &amp; Stat, I-30172 Venice Mestre, Italy.;Spolaor, A (corresponding author), CNR, Inst Polar Sci, I-30172 Venice Mestre, Italy.</t>
  </si>
  <si>
    <t>andrea.spolaor@unive.it</t>
  </si>
  <si>
    <t>Saiz-Lopez, Alfonso/B-3759-2015; Fernandez, Rafael Pedro/ABF-2323-2020</t>
  </si>
  <si>
    <t>Saiz-Lopez, Alfonso/0000-0002-0060-1581; Fernandez, Rafael Pedro/0000-0002-4114-5500; Burgay, Francois/0000-0002-2657-6900; Segato, Delia/0000-0003-3375-3319; Rhodes, Rachael/0000-0001-7511-1969; Scarchilli, Claudio/0000-0002-2414-2439; Barbante, Carlo/0000-0003-4177-2288; Spolaor, Andrea/0000-0001-8635-9193</t>
  </si>
  <si>
    <t>EPICA [815384]; Programma Nazionale per la Ricerca in Antartide (PNRA) [PNRA16_00295]; Bilateral international exchange award Royal Society (UK)-CNR [IEC/R2/202110]</t>
  </si>
  <si>
    <t>EPICA; Programma Nazionale per la Ricerca in Antartide (PNRA); Bilateral international exchange award Royal Society (UK)-CNR</t>
  </si>
  <si>
    <t>This research has been supported by the Horizon 2020 (Beyond EPICA; grant no. 815384), by the Programma Nazionale per la Ricerca in Antartide (PNRA; project no.PNRA16_00295), and by the bilateral international exchange award Royal Society (UK)-CNR, titled Antarctic sea-ice history: developing robust ice core proxies (grant no. IEC/R2/202110), awarded to Rachael H. Rhodes and Andrea Spolaor.</t>
  </si>
  <si>
    <t>10.5194/tc-17-391-2023</t>
  </si>
  <si>
    <t>8K3JS</t>
  </si>
  <si>
    <t>WOS:000923002800001</t>
  </si>
  <si>
    <t>Sulbaran-Bracho, Y; Orellana-Saez, M; Castro-Severyn, J; Galbán-Malagón, C; Castro-Nallar, E; Poblete-Castro, I</t>
  </si>
  <si>
    <t>Sulbaran-Bracho, Yoelvis; Orellana-Saez, Matias; Castro-Severyn, Juan; Galban-Malagon, Cristobal; Castro-Nallar, Eduardo; Poblete-Castro, Ignacio</t>
  </si>
  <si>
    <t>Continuous bioreactors enable high-level bioremediation of diesel-contaminated seawater at low and mesophilic temperatures using Antarctic bacterial consortia: Pollutant analysis and microbial community composition</t>
  </si>
  <si>
    <t>Antarctic bacterial communities; Diesel biodegradation; Continuous bioreactor; Seawater; Low temperature</t>
  </si>
  <si>
    <t>POLYCYCLIC AROMATIC-HYDROCARBONS; ENHANCED BIODEGRADATION; DEGRADING BACTERIA; NUTRIENT COMPONENT; OIL DEGRADATION; FUEL SPILL; BIOSURFACTANT; SOILS; OPTIMIZATION; NAPHTHALENE</t>
  </si>
  <si>
    <t>In 2020, more than 21,000 tons of diesel oil were released accidently into the environment with most of it contaminating water bodies. There is an urgent need for sustainable technologies to clean up rivers and oceans to protect wildlife and human health. One solution is harnessing the power of bacterial consortia; however isolated microbes from different environments have shown low diesel bioremediation rates in seawater thus far. An outstanding question is whether Antarctic microorganisms that thrive in environments polluted with hydro-carbons exhibit better diesel degrading activities when propagated at higher temperatures than those encoun-tered in their natural ecosystems.Here, we isolated bacterial consortia, LR-30 (30 degrees C) and LR-10 (10 degrees C), from the Antarctic rhizosphere soil of Deschampsia antarctica (Livingston Island), that used diesel oil as the only carbon substrate. We found that LR-30 and LR-10 batch bioreactors metabolized nearly the entire diesel content when the initial concentration was 10 (g/L) in seawater. Increasing the initial diesel concentration to 50 gDiesel/L, LR-30 and LR-10 bioconverted 33.4 and 31.2 gDiesel/L in 7 days, respectively. The 16S rRNA gene sequencing profiles revealed that the dominant bacterial genera of the inoculated LR-30 community were Achromobacter (50.6%), Pseudomonas (25%) and Rhodanobacter (14.9%), whereas for LR-10 were Pseudomonas (58%), Candidimonas (10.3%) and Renibacterium (7.8%). We also established continuous bioreactors for diesel biodegradation where LR-30 bioremediated diesel at an unprecedent rate of (34.4 g/L per day), while LR-10 achieved (24.5 g/L per day) at 10 degrees C for one month. The abundance of each bacterial genera present significantly fluctuated at some point during the diesel biore-mediation process, yet Achromobacter and Pseudomonas were the most abundant member at the end of the batch and continuous bioreactors for LR-30 and LR-10, respectively.</t>
  </si>
  <si>
    <t>[Sulbaran-Bracho, Yoelvis; Orellana-Saez, Matias; Poblete-Castro, Ignacio] Univ Santiago Chile USACH, Fac Engn, Dept Chem &amp; Bioproc Engn, Biosyst Engn Lab, Santiago 9170022, Chile; [Castro-Severyn, Juan] Univ Catolica Norte, Fac Ingn &amp; Ciencias Geol, Lab Microbiol Aplicada &amp; Extremofilos, Antofagasta, Chile; [Galban-Malagon, Cristobal] Univ Mayor, GEMA, Ctr Genom Ecol &amp; Environm, Camino Piramide 5750, Santiago, Chile; [Castro-Nallar, Eduardo] Univ Talca, Fac Ciencias Salud, Dept Microbiol, Campus Talca,Avda Lircay S-N, Talca, Chile; [Castro-Nallar, Eduardo] Univ Talca, Ctr Ecol Integrat, Campus Talca,Avda Lircay S-N, Talca, Chile</t>
  </si>
  <si>
    <t>Universidad de Santiago de Chile; Universidad Catolica del Norte; Universidad Mayor; Universidad de Talca; Universidad de Talca</t>
  </si>
  <si>
    <t>Poblete-Castro, I (corresponding author), Univ Santiago Chile USACH, Fac Engn, Dept Chem &amp; Bioproc Engn, Santiago 9170022, Chile.</t>
  </si>
  <si>
    <t>ignacio.poblete.c@usach.cl</t>
  </si>
  <si>
    <t>Castro-Nallar, Eduardo/0000-0003-4384-8661; Galban Malagon, Cristobal/0000-0001-8397-5804; Sulbaran, Yoelvis/0009-0005-4887-0691</t>
  </si>
  <si>
    <t>ANID-PIA-ANILLO INACH [1200834]; FONDECYT [1210332, 1210946, RG_21_19]; INACH [RG_21_18, RT_12_17]; [ACT-192057]</t>
  </si>
  <si>
    <t>ANID-PIA-ANILLO INACH; FONDECYT(Comision Nacional de Investigacion Cientifica y Tecnologica (CONICYT)CONICYT FONDECYT); INACH;</t>
  </si>
  <si>
    <t>This work was founded by ANID-PIA-ANILLO INACH ACT-192057, FONDECYT 1200834, FONDECYT 1210332, INACH RG_21_18, INACH RG_17_19, FONDECYT 1210946, and INACH RT_12_17.</t>
  </si>
  <si>
    <t>10.1016/j.envpol.2023.121139</t>
  </si>
  <si>
    <t>8Q8NG</t>
  </si>
  <si>
    <t>WOS:000927456500001</t>
  </si>
  <si>
    <t>Pastíriková, LK; Hrbácek, F; Uxa, T; Láska, K</t>
  </si>
  <si>
    <t>Pastirikova, Lucia Kaplan; Hrbacek, Filip; Uxa, Tomas; Laska, Kamil</t>
  </si>
  <si>
    <t>Permafrost table temperature and active layer thickness variability on James Ross Island, Antarctic Peninsula, in 2004-2021</t>
  </si>
  <si>
    <t>Permafrost; Active layer; TTOP model; Stefan model; Antarctic Peninsula; Climate change</t>
  </si>
  <si>
    <t>CALM-S SITE; THERMAL REGIME; SNOW COVER; CLIMATE VARIABILITY; LIVINGSTON ISLAND; SOIL; MODEL; THAW; EVOLUTION; LAKE</t>
  </si>
  <si>
    <t>Climate change and its impacts on sensitive polar ecosystems are relatively little studied in Antarctic regions. Permafrost and active layer changes over time in periglacial regions of the world are important indicators of climate variability. These changes (e. g. permafrost degradation, increasing of the active layer thickness) can have a significant impact on Antarctic terrestrial ecosystems. The study site (AWS-JGM) is located on the Ulu Peninsula in the north of James Ross Island. Ground temperatures at depths of 5, 50, and 75 cm have been measured at the site since 2011, while air temperature began to be measured in 2004. The main objective is to evaluate the year-to-year variability of the reconstructed temperature of the top of the permafrost table and the active layer thickness (ALT) since 2004 based on air temperature data using TTOP and Stefan models, respectively. The models were verified against direct observations from a reference period 2011/12-2020/21 showing a strong correlation of 0.95 (RMSE = 0.52) and 0.84 (RMSE = 3.54) for TTOP and Stefan models, respectively. The reconstructed average temperature of the permafrost table for the period 2004/05-2020/21 was -5.8 degrees C with a trend of -0.1 degrees C/decade, while the average air temperature reached -6.6 degrees C with a trend of 0.6 degrees C/decade. Air temperatures did not have an increasing trend throughout the period, but in the first part of the period (2004/05-2010/11) showed a decreasing tendency (-1.3 degrees C/decade). In the period 2011/ 12-2020/21, it was a warming of 1.9 degrees C/decade. The average modelled ALT for the period 2004/05-2020/21 reached a value of 60cm with a trend of -1.6 cm/decade. Both models were found to provide reliable results, and thus they significantly expand the information about the permafrost and ALT, which is necessary for a better understanding of their spatiotemporal variability and the impact of climate change on the cryosphere.</t>
  </si>
  <si>
    <t>[Pastirikova, Lucia Kaplan; Hrbacek, Filip; Laska, Kamil] Masaryk Univ, Dept Geog, Kotlarska 267-2, Brno 60177, Czech Republic; [Uxa, Tomas] Czech Acad Sci, Inst Geophys, Prague, Czech Republic</t>
  </si>
  <si>
    <t>Masaryk University Brno; Czech Academy of Sciences; Institute of Geophysics of the Czech Academy of Sciences</t>
  </si>
  <si>
    <t>Pastíriková, LK (corresponding author), Masaryk Univ, Dept Geog, Kotlarska 267-2, Brno 60177, Czech Republic.</t>
  </si>
  <si>
    <t>l.pastirikova17@gmail.com</t>
  </si>
  <si>
    <t>Laska, Kamil/L-7875-2013; Uxa, Tomáš/B-8885-2017</t>
  </si>
  <si>
    <t>Laska, Kamil/0000-0002-5199-9737; Uxa, Tomáš/0000-0001-9911-6529</t>
  </si>
  <si>
    <t>Ministry of Education, Youth and Sports of the Czech Republic project; Czech Science Foundation project [MUNI/A/1393/2021]; [GM22-28659M]</t>
  </si>
  <si>
    <t>Ministry of Education, Youth and Sports of the Czech Republic project; Czech Science Foundation project(Grant Agency of the Czech Republic);</t>
  </si>
  <si>
    <t>This research was supported by the Ministry of Education, Youth and Sports of the Czech Republic project (VAN 2022) , Czech Science Foundation project (GM22-28659M) and Specific research-support for student projects (MUNI/A/1393/2021) .</t>
  </si>
  <si>
    <t>10.1016/j.scitotenv.2023.161690</t>
  </si>
  <si>
    <t>8P7EP</t>
  </si>
  <si>
    <t>WOS:000926683900001</t>
  </si>
  <si>
    <t>Katsumata, K; Yamazaki, K</t>
  </si>
  <si>
    <t>Katsumata, Katsuro; Yamazaki, Kaihe</t>
  </si>
  <si>
    <t>Diapycnal and isopycnal mixing along the continental rise in the Australian-Antarctic Basin</t>
  </si>
  <si>
    <t>Mixing; Diapycnal diffusion; Isopycnal diffusion; Water mass transformation</t>
  </si>
  <si>
    <t>CIRCUMPOLAR CURRENT SOUTH; EDDY DIFFUSIVITY; OVERTURNING CIRCULATION; PART II; OCEAN; COEFFICIENTS; BUDGET; SLOPE; JETS; MODE</t>
  </si>
  <si>
    <t>Shipboard measurements of temperature, salinity and horizontal current velocity were used to estimate diapycnal and isopycnal diffusivities in the Australian sector of the Southern Ocean between 120 degrees E and 150 degrees E near 64 degrees S, along the climatological positions of the Southern Antarctic Circumpolar Current Front and the Southern Boundary. The diapycnal diffusivities estimated by the finescale parameterization on the neutral density surfaces of 1028.05, 1028.2, and 1028.3 kg m-3 are (9.5 +/- 6.8) x 10-5, (10.7 +/- 2.6) x 10-5, and (13.8 +/- 3.7) x 10-5 m2s-1, respectively (mean +/- one standard deviation). At these densities, salinity and temperature decreased with depth but salt fingering was unlikely. Using the water mass transformation framework and a box inverse model, the isopycnal diffusivities were estimated from the diapycnal diffusivities. Climatological estimates of the isopycnal diffusivities in the density ranges of Upper Circumpolar Deep Water, Lower Circumpolar Deep Water, and Antarctic Bottom Water were -30 +/- 116, 16 +/- 319, and -30 +/- 83 m2s-1, respectively. These diffusivities were likely underestimates by 10 to 20 m2s-1 because eddy transport could not be considered in the climatological data. The weak isopycnal diffusivities were not inconsistent with diffusivity suppressed by the frontal jets. The large uncertainties were caused by the uncertainty in the box inverse model and the fact that the size of the box was comparable to the advection speed times the diffusion time scale.</t>
  </si>
  <si>
    <t>[Katsumata, Katsuro] JAMSTEC, Yokosuka, Japan; [Yamazaki, Kaihe] Univ Tasmania, Inst Marine &amp; Antarctic Studies, Hobart, Australia</t>
  </si>
  <si>
    <t>Japan Agency for Marine-Earth Science &amp; Technology (JAMSTEC); University of Tasmania</t>
  </si>
  <si>
    <t>Katsumata, K (corresponding author), JAMSTEC, Yokosuka, Japan.</t>
  </si>
  <si>
    <t>k.katsumata@jamstec.go.jp</t>
  </si>
  <si>
    <t>Yamazaki, Kaihe/HRC-7878-2023</t>
  </si>
  <si>
    <t>Yamazaki, Kaihe/0000-0003-3631-5365; Katsumata, Katsuro/0000-0002-4683-7610</t>
  </si>
  <si>
    <t>Institute of Cetacean Research, Japan; Japan Fisheries Research and Education Agency; Fisheries Agency of Japan; Ministry of Education, Cul-ture, Sports, Science, and Technology of the Japanese Government [PLR-1425989]; NSF XSEDE; SOCCOM NSF; [17H06317]; Grants-in-Aid for Scientific Research [22J00870] Funding Source: KAKEN</t>
  </si>
  <si>
    <t>Institute of Cetacean Research, Japan; Japan Fisheries Research and Education Agency; Fisheries Agency of Japan; Ministry of Education, Cul-ture, Sports, Science, and Technology of the Japanese Government(Ministry of Education, Culture, Sports, Science and Technology, Japan (MEXT)); NSF XSEDE(National Science Foundation (NSF)); SOCCOM NSF; ; Grants-in-Aid for Scientific Research(Ministry of Education, Culture, Sports, Science and Technology, Japan (MEXT)Japan Society for the Promotion of ScienceGrants-in-Aid for Scientific Research (KAKENHI))</t>
  </si>
  <si>
    <t>We thank the officers, crew, and researchers onboard the R/V Kaiyo-Maru for their assistance with the survey. This study was conducted as a part of the multidisciplinary ecosystem survey in the eastern Indian sector of the Antarctic (Commission for the Conservation of Antarctic Marine Living Resources Division 58.4.1) with a focus on Antarctic krill. The Kaiyo-Maru survey was supported by the Institute of Cetacean Research, Japan, the Japan Fisheries Research and Education Agency, and the Fisheries Agency of Japan. This work was also supported by the Ministry of Education, Cul-ture, Sports, Science, and Technology of the Japanese Government grants 17H06317 (as part of the GRAntarctic project) . Computational resources for the SOSE were provided by NSF XSEDE resource grant OCE130007 and SOCCOM NSF award PLR-1425989.</t>
  </si>
  <si>
    <t>10.1016/j.pocean.2023.102979</t>
  </si>
  <si>
    <t>8Q9BZ</t>
  </si>
  <si>
    <t>WOS:000927494900001</t>
  </si>
  <si>
    <t>Renfrew, IA; Huang, J; Semper, S; Barrell, C; Terpstra, A; Pickart, RS; Vage, K; Elvidge, AD; Spengler, T; Strehl, AM; Weiss, A</t>
  </si>
  <si>
    <t>Renfrew, Ian A. A.; Huang, Jie; Semper, Stefanie; Barrell, Christopher; Terpstra, Annick; Pickart, Robert S. S.; Vage, Kjetil; Elvidge, Andrew D. D.; Spengler, Thomas; Strehl, Anna-Marie; Weiss, Alexandra</t>
  </si>
  <si>
    <t>Coupled atmosphere-ocean observations of a cold-air outbreak and its impact on the Iceland Sea</t>
  </si>
  <si>
    <t>QUARTERLY JOURNAL OF THE ROYAL METEOROLOGICAL SOCIETY</t>
  </si>
  <si>
    <t>cold-air outbreak; in situ observations; mixed-layer depth; Nordic Seas; subpolar seas; turbulent fluxes</t>
  </si>
  <si>
    <t>DENMARK STRAIT OVERFLOW; BOUNDARY-LAYER; LABRADOR-SEA; OVERTURNING CIRCULATION; DEEP CONVECTION; IRMINGER SEA; HEAT FLUXES; POLAR LOWS; ICE-ZONE; TIP JET</t>
  </si>
  <si>
    <t>Marine cold-air outbreaks (CAOs) are vigorous equatorward excursions of cold air over the ocean, responsible for the majority of wintertime oceanic heat loss from the subpolar seas of the North Atlantic. However, the impact of individual CAO events on the ocean is poorly understood. Here we present the first coupled observations of the atmosphere and ocean during a wintertime CAO event, between 28 February and 13 March 2018, in the subpolar North Atlantic region. Comprehensive observations are presented from five aircraft flights, a research vessel, a meteorological buoy, a subsurface mooring, an ocean glider, and an Argo float. The CAO event starts abruptly with substantial changes in temperature, humidity and wind throughout the atmospheric boundary layer. The CAO is well mixed vertically and, away from the sea-ice edge, relatively homogeneous spatially. During the CAO peak, higher sensible heat fluxes occupy at least the lowest 200 m of the atmospheric boundary layer, while higher latent heat fluxes are confined to the surface layer. The response of the ocean to the CAO is spatially dependent. In the interior of the Iceland Sea the mixed layer cools, while in the boundary current region it warms. In both locations, the mixed layer deepens and becomes more saline. Combining our observations with one-dimensional mixed-layer modelling, we show that in the interior of the Iceland Sea, atmospheric forcing dominates the ocean response. In contrast, in the boundary current region lateral advection and mixing counteract the short-term impact of the atmospheric forcing. Time series observations of the late-winter period illustrate a highly variable ocean mixed layer, with lateral advection and mixing often masking the ocean's general cooling and deepening response to individual CAO events.</t>
  </si>
  <si>
    <t>[Renfrew, Ian A. A.; Barrell, Christopher; Terpstra, Annick; Elvidge, Andrew D. D.] Univ East Anglia, Sch Environm Sci, Norwich, England; [Huang, Jie; Semper, Stefanie; Pickart, Robert S. S.] Woods Hole Oceanog Inst, Woods Hole, MA USA; [Semper, Stefanie; Terpstra, Annick; Vage, Kjetil; Spengler, Thomas; Strehl, Anna-Marie] Univ Bergen, Geophys Inst, Bergen, Norway; [Semper, Stefanie; Terpstra, Annick; Vage, Kjetil; Spengler, Thomas; Strehl, Anna-Marie] Bjerknes Ctr Climate Res, Bergen, Norway; [Weiss, Alexandra] British Antarctic Survey, Cambridge, England; [Renfrew, Ian A. A.] Univ East Anglia, Ctr Ocean &amp; Atmospher Sci, Sch Environm Sci, Norwich Res Pk, Norwich NR4 7TJ, England</t>
  </si>
  <si>
    <t>University of East Anglia; Woods Hole Oceanographic Institution; University of Bergen; Bjerknes Centre for Climate Research; UK Research &amp; Innovation (UKRI); Natural Environment Research Council (NERC); NERC British Antarctic Survey; University of East Anglia</t>
  </si>
  <si>
    <t>Renfrew, IA (corresponding author), Univ East Anglia, Ctr Ocean &amp; Atmospher Sci, Sch Environm Sci, Norwich Res Pk, Norwich NR4 7TJ, England.</t>
  </si>
  <si>
    <t>i.renfrew@uea.ac.uk</t>
  </si>
  <si>
    <t>Renfrew, Ian A/E-4057-2010; Våge, Kjetil/AAG-6208-2019; Huang, Jie/KCX-8283-2024</t>
  </si>
  <si>
    <t>Elvidge, Andrew/0000-0002-7099-902X; Renfrew, Ian/0000-0001-9379-8215; Huang, Jie/0000-0003-1134-5752; Semper, Stefanie/0000-0003-1083-4642; Barrell, Chris/0000-0002-0494-9884</t>
  </si>
  <si>
    <t>Natural Environment Research Council [NE/N009754/1]; National Science Foundation [227777]; Norges Forskningsrad [608695, 101022251]; Sixth Framework Programme [BFS2016REK01]; TrondMohn Foundation; Research Council of Norway; Norges Forskningsrad; Sixth Framework Programme [608695, 101022251]; TrondMohn Foundation [BFS2016REK01]; Research Council of Norway; [OCE-1558742]; [280573]; NERC [NE/N009754/1] Funding Source: UKRI; Marie Curie Actions (MSCA) [101022251] Funding Source: Marie Curie Actions (MSCA)</t>
  </si>
  <si>
    <t>Natural Environment Research Council(UK Research &amp; Innovation (UKRI)Natural Environment Research Council (NERC)); National Science Foundation(National Science Foundation (NSF)); Norges Forskningsrad(Research Council of Norway); Sixth Framework Programme(European Union (EU)); TrondMohn Foundation; Research Council of Norway(Research Council of Norway); Norges Forskningsrad(Research Council of Norway); Sixth Framework Programme(European Union (EU)); TrondMohn Foundation; Research Council of Norway(Research Council of Norway); ; ; NERC(UK Research &amp; Innovation (UKRI)Natural Environment Research Council (NERC)); Marie Curie Actions (MSCA)(Marie Curie Actions)</t>
  </si>
  <si>
    <t>National Science Foundation, Grant/Award Number: OCE-1558742;Natural Environment Research Council, Grant/Award Number: NE/N009754/1;Norges Forskningsrad, Grant/Award Numbers: 280573, 227777; Sixth Framework Programme, Grant/Award Numbers: 608695, 101022251; TrondMohn Foundation, Grant/Award Number:BFS2016REK01; Research Council of Norway</t>
  </si>
  <si>
    <t>0035-9009</t>
  </si>
  <si>
    <t>1477-870X</t>
  </si>
  <si>
    <t>Q J ROY METEOR SOC</t>
  </si>
  <si>
    <t>Q. J. R. Meteorol. Soc.</t>
  </si>
  <si>
    <t>10.1002/qj.4418</t>
  </si>
  <si>
    <t>9K8WL</t>
  </si>
  <si>
    <t>WOS:000923352800001</t>
  </si>
  <si>
    <t>de Vos, M; Kountouris, P; Rabenstein, L; Shears, J; Suhrhoff, M; Katlein, C</t>
  </si>
  <si>
    <t>de Vos, Marc; Kountouris, Panagiotis; Rabenstein, Lasse; Shears, John; Suhrhoff, Mira; Katlein, Christian</t>
  </si>
  <si>
    <t>Understanding the drift of Shackleton's Endurance during its last days before it sank in November 1915, using meteorological reanalysis data</t>
  </si>
  <si>
    <t>HISTORY OF GEO- AND SPACE SCIENCES</t>
  </si>
  <si>
    <t>SEA-ICE DRIFT; WEDDELL SEA; MODEL</t>
  </si>
  <si>
    <t>On 5 December 1914, Sir Ernest Shackleton and his crew set sail from South Georgia aboard the wooden barquentine vessel Endurance, beginning the Imperial Trans-Antarctic Expedition to cross the Antarctic continent. However, Shackleton and his crew never reached land because the vessel became beset in the sea ice of the Weddell Sea in January 1915. Endurance then drifted in the pack for 11 months, was crushed by the ice, and sank on 21 November 1915. Over many years, various predictions were made about the location of the wreck. These were based largely on navigational fixes taken by Captain Frank Worsley, the navigator of the Endurance, 3 d prior to and 1 d after the sinking of Endurance. On 5 March 2022, the Endurance22 expedition located the wreck some 9.4 km southeast of Worsley's estimated sinking position. In this paper, we describe the use of meteorological reanalysis data to reconstruct the likely ice drift trajectory of Endurance for the period between Worsley's final two fixes, at some point along which the vessel sank. Reconstructions are sensitive to choices of wind factor and turning angle, but allow an envelope of possible scenarios to be developed. A likely scenario yields a simulated sinking location some 3.5 km from the position at which the wreck finally was found, with a trajectory describing an excursion to the southeast and an anticlockwise turn to the northwest prior to sinking. Despite numerous sources of uncertainty, these results show the potential for such methods in marine archaeology.</t>
  </si>
  <si>
    <t>[de Vos, Marc] South African Weather Serv, Marine Res Unit, ZA-7525 Cape Town, South Africa; [Kountouris, Panagiotis; Rabenstein, Lasse; Suhrhoff, Mira] Drift &amp; Noise Polar Serv, D-28195 Bremen, Germany; [Rabenstein, Lasse] Shears Polar Ltd, Cambridge PE283LR, Cambs, England; [Katlein, Christian] Alfred Wegener Inst Helmholtz Zent Polar &amp; Meeres, D-27570 Bremerhaven, Germany</t>
  </si>
  <si>
    <t>South African Weather Service (SAWS)</t>
  </si>
  <si>
    <t>de Vos, M (corresponding author), South African Weather Serv, Marine Res Unit, ZA-7525 Cape Town, South Africa.</t>
  </si>
  <si>
    <t>marc.devos@alumni.uct.ac.za</t>
  </si>
  <si>
    <t>Katlein, Christian/0000-0003-2422-0414; De Vos, Marc/0000-0001-8996-5500</t>
  </si>
  <si>
    <t>Falklands Maritime Heritage Trust</t>
  </si>
  <si>
    <t>The authors would like to thank the following. The Falklands Maritime Heritage Trust for conceptualising and enabling this expedition and our participation in it; Director of Exploration for Endurance22, Mensun Bound, for encouraging the authors to publish our research; Naomi Boneham at the Archives of the Scott Polar Research Institute, University of Cambridge, for the short-notice provision of Hussey's original meteorological records while we were at sea; Julian Dowdeswell and Toby Benham for the provision of the digitised Endurance drift track, and Chairman of the Falklands Maritime Heritage Trust Donald Lamont and Director of Endurance22 Subsea Operations, Nico Vincent, for their valuable input to our manuscript.</t>
  </si>
  <si>
    <t>2190-5010</t>
  </si>
  <si>
    <t>2190-5029</t>
  </si>
  <si>
    <t>HIST GEO- SPACE SCI</t>
  </si>
  <si>
    <t>Hist. Geo- Space Sci.</t>
  </si>
  <si>
    <t>10.5194/hgss-14-1-2023</t>
  </si>
  <si>
    <t>Geosciences, Multidisciplinary; History &amp; Philosophy Of Science</t>
  </si>
  <si>
    <t>Geology; History &amp; Philosophy of Science</t>
  </si>
  <si>
    <t>8H3BF</t>
  </si>
  <si>
    <t>WOS:000920908400001</t>
  </si>
  <si>
    <t>Turu, V; Peña-Monné, JL; Cunha, PP; Jalut, G; Buylaert, JP; Murray, AS; Bridgland, D; Faurschou-Knudsen, M; Oliva, M; Carrasco, RM; Ros, X; Turu-Font, L; Roca, JV</t>
  </si>
  <si>
    <t>Turu, Valenti; Pena-Monne, Jose Luis; Cunha, Pedro P.; Jalut, Guy; Buylaert, Jan-Pieter; Murray, Andrew S.; Bridgland, David; Faurschou-Knudsen, Mads; Oliva, Marc; Carrasco, Rosa M.; Ros, Xavier; Turu-Font, Laia; Ventura Roca, Josep</t>
  </si>
  <si>
    <t>Glacial-interglacial cycles in the south-central and southeastern Pyrenees since ∼180 ka (NE Spain-Andorra-S France)</t>
  </si>
  <si>
    <t>QUATERNARY RESEARCH</t>
  </si>
  <si>
    <t>End moraines; Penultimate glacial cycle; Last glacial cycle; SW Europe; Luminescence dating methods</t>
  </si>
  <si>
    <t>LATE PLEISTOCENE; LAST DEGLACIATION; EXPOSURE AGES; NW IBERIA; MAXIMUM; CHRONOLOGY; VALLEY; QUATERNARY; VEGETATION; EVOLUTION</t>
  </si>
  <si>
    <t>This study uses luminescence and C-14 accelerator mass spectrometry procedures to date relevant glaciofluvial and glacial deposits from the south-central and southeastern Pyrenees (Andorra-France-Spain). We distinguish two types of end-moraine complexes: (1) those in which at least a far-flung moraine exists beyond a frequently nested end-moraine complex (the most common) and (2) those in which a close-nested end moraine encompasses at least two glacial cycles. Both types formed within six distinctive glacial intervals: (1) A penultimate glacial cycle during Marine Oxygen Isotope Stage (MIS) 6 and older glaciofluvial terraces occurred beyond the range of the luminescence dating method. (2) An early glacial advance in MIS 5d (similar to 97 -15/+19 ka) was followed by glacial retreat during MIS 5c (&lt; 91 +/- 9 ka). (3) The last maximum ice extent (LMIE) was in early MIS 4 (similar to 74 +/- 4.5 ka). (4) Unexpectedly, glaciers thinned during the second half of MIS 3 (similar to 39 -6/+11 ka). (5) During the MIS 3-2 transition, glaciers subsequently fluctuated behind the LMIE limits. (6) The global last glacial maximum (LGM) started as early as similar to 26.6 +/- 0.365 ka b2k, and the corresponding end moraines were built behind the LMIE limits or merged with it, forming close-nested moraines.</t>
  </si>
  <si>
    <t>[Turu, Valenti; Jalut, Guy; Ros, Xavier; Ventura Roca, Josep] Marcel Chevalier Earth Sci Fdn, Andorra La Vella AD500, Principat Andor, Andorra; [Turu, Valenti] Univ Barcelona, Dept Dinam Terra &amp; Ocea, Fac Ciencies Terra, Barcelona 08028, Spain; [Turu, Valenti; Carrasco, Rosa M.; Ventura Roca, Josep] Castilla La Mancha Univ, Dept Environm Sci, Toledo 45004, Spain; [Turu, Valenti; Oliva, Marc; Ventura Roca, Josep] Barcelona Univ, Dept Geog, ANTALP Antarctic Arctic &amp; Alpine Environm, Barcelona 08001, Spain; [Pena-Monne, Jose Luis] Univ Zaragoza, Dept Geog &amp; Ordenac Terr &amp; IUCA, Zaragoza 50009, Spain; [Cunha, Pedro P.] Univ Coimbra, MARE Marine &amp; Environm Sci Ctr, Dept Earth Sci, P-3000195 Coimbra, Portugal; [Buylaert, Jan-Pieter] Tech Univ Denmark, Dept Phys, Riso Campus, DK-2800 Lyngby, Denmark; [Murray, Andrew S.] Aarhus Univ, Nord Lab Luminescence Dating, DK-8000 Aarhus, Denmark; [Bridgland, David] Univ Durham, Dept Geog, Stackton Rd, Durham DH1 3LE, England; [Faurschou-Knudsen, Mads] Aarhus Univ, Dept Geosci, Igeotest SL1,Carrer Dr Nequi 4, DK-8000 Aarhus, Denmark; [Turu-Font, Laia] Univ Autonoma Barcelona, Dept Ciencies Antiguitat &amp; Edat Mitjana, Bellaterra 08193, Spain</t>
  </si>
  <si>
    <t>University of Barcelona; University of Barcelona; University of Zaragoza; Universidade de Coimbra; Technical University of Denmark; Aarhus University; Durham University; Aarhus University; Autonomous University of Barcelona</t>
  </si>
  <si>
    <t>Turu, V (corresponding author), Marcel Chevalier Earth Sci Fdn, Igeotest SL1,Carrer Dr Nequi 4, Andorra La Vella AD500, Principat dAndo, Andorra.</t>
  </si>
  <si>
    <t>vturu@andorra.ad</t>
  </si>
  <si>
    <t>Bridgland, David/JJG-2309-2023; Oliva, Marc/K-5423-2014; Carrasco González, Rosa María/F-4973-2016; Turu, Valenti/J-3554-2018; Buylaert, Jan-Pieter/A-3220-2012; Cunha, Pedro/O-6959-2015</t>
  </si>
  <si>
    <t>Carrasco González, Rosa María/0000-0001-8762-6951; Turu, Valenti/0000-0002-5087-2064; Buylaert, Jan-Pieter/0000-0003-0587-8077; Murray, Andrew/0000-0001-5559-1862; Cunha, Pedro/0000-0002-9956-4652</t>
  </si>
  <si>
    <t>0033-5894</t>
  </si>
  <si>
    <t>1096-0287</t>
  </si>
  <si>
    <t>QUATERNARY RES</t>
  </si>
  <si>
    <t>Quat. Res.</t>
  </si>
  <si>
    <t>PII S0033589422000680</t>
  </si>
  <si>
    <t>10.1017/qua.2022.68</t>
  </si>
  <si>
    <t>G3VX2</t>
  </si>
  <si>
    <t>WOS:000918505300001</t>
  </si>
  <si>
    <t>Calderan, SV; Leaper, R; Andrews-Goff, V; Miller, BS; Olson, PA; Reyes, MVR; Bell, E; Double, MC</t>
  </si>
  <si>
    <t>Calderan, Susannah V.; Leaper, Russell; Andrews-Goff, Virginia; Miller, Brian S.; Olson, Paula A.; Reyes, M. V. Reyes; Bell, Elanor; Double, Michael C.</t>
  </si>
  <si>
    <t>Surfacing rates, swim speeds, and patterns of movement of Antarctic blue whales</t>
  </si>
  <si>
    <t>blue whales; Antarctic; photogrammetry; photo-identification; behaviour</t>
  </si>
  <si>
    <t>BALAENOPTERA-MUSCULUS; ACOUSTIC LOCALIZATION; DIVING BEHAVIOR; CALL PRODUCTION; PACIFIC; MODEL</t>
  </si>
  <si>
    <t>During three surveys in the austral summers of 2013, 2015, 2019, data on Antarctic blue whale blow rates, dive times, swim speeds, and broadscale movements were collected using video photogrammetric tracking and intra-voyage photo-identification. A total of 24.4 hours of video observations were suitable for blow interval or movement analysis. Similar to other blue whale populations, Antarctic blue whale dive behaviour comprised a sequence of short dives followed by a long dive with a mean dive time for short dives of 17.6 s, and a mean long dive time of 189.3 s. Two separate methods were used to estimate the average blow rate for Antarctic blue whales, giving estimates of 59.7 and 63.2 blows per hour. The overall mean swim speed over the course of all suitable video track segments was 1.59 ms(-1), but there were significant differences between years in the mean of the overall movement rate for each track; average movement rates were lower in 2015 compared to 2013 and 2019 (0.90 ms(-1), 1.84 and 1.55 ms(-1) respectively), with higher rates of turning in 2015. In 2019, there was faster overall movement through the study area in a consistent direction. The total number of photo-identified blue whales re-sighted intra-season in 2013 was nine (out of 50 identified individuals); in 2015 it was seven (out of 46); in 2019 two (out of 25). Whales remained for several days with little overall movement within the 2015 study area, whereas they were moving through the study area in 2019, which would explain the low number of intra-season resights. The predominant heading in 2019 was towards the area of Antarctic blue whale concentrations at the entrance to the Ross Sea observed in previous years. The photo-identification data also show a high proportion of resighted whales with coherent movements. This suggests that Antarctic blue whales might travel together, at least over periods of several days or sometimes up to a month. The differences between behaviours in 2015 and 2019 in particular may be related to differences in the characteristics of krill swarms between the study areas.</t>
  </si>
  <si>
    <t>[Calderan, Susannah V.; Leaper, Russell; Andrews-Goff, Virginia; Miller, Brian S.; Olson, Paula A.; Reyes, M. V. Reyes; Bell, Elanor; Double, Michael C.] Australian Antarctic Div, Dept Climate Change Energy Environm &amp; Water, Kingston, Tas, Australia; [Calderan, Susannah V.] Scottish Assoc Marine Sci SAMS, Argyll, Scotland; [Leaper, Russell] Int Fund Anim Welf, London, England; [Olson, Paula A.] NOAA, Natl Marine Fisheries Serv, Southwest Fisheries Sci Ctr, La Jolla, CA USA; [Reyes, M. V. Reyes] Whale &amp; Dolphin Conservat, Chippenham, Wilts, England; [Reyes, M. V. Reyes] Fdn Cethus, Buenos Aires, Argentina</t>
  </si>
  <si>
    <t>Australian Antarctic Division; National Oceanic Atmospheric Admin (NOAA) - USA</t>
  </si>
  <si>
    <t>Calderan, SV (corresponding author), Australian Antarctic Div, Dept Climate Change Energy Environm &amp; Water, Kingston, Tas, Australia.;Calderan, SV (corresponding author), Scottish Assoc Marine Sci SAMS, Argyll, Scotland.</t>
  </si>
  <si>
    <t>susannah.calderan@sams.ac.uk</t>
  </si>
  <si>
    <t>Miller, Brian/0000-0001-7615-3044</t>
  </si>
  <si>
    <t>Australian Antarctic Division; CSIRO Marine National Facility; New Zealand's National Institute of Water &amp; Atmospheric Research; Antarctica New Zealand; New Zealand Ministry for Business, Innovation and Employment; International Whaling Commission Southern Ocean Research Partnership</t>
  </si>
  <si>
    <t>Australian Antarctic Division; CSIRO Marine National Facility; New Zealand's National Institute of Water &amp; Atmospheric Research; Antarctica New Zealand; New Zealand Ministry for Business, Innovation and Employment(New Zealand Ministry of Business, Innovation and Employment (MBIE)); International Whaling Commission Southern Ocean Research Partnership</t>
  </si>
  <si>
    <t>It is a pleasure to acknowledge the input and assistance of the voyage leaders, scientists, support staff, vessel crew and management on the three voyages during which our data were collected: Amaltal Explorer (2013), Tangaroa (2015), and RV Investigator (2019; (IN2019_V01)). We thank the Australian Antarctic Division, CSIRO Marine National Facility, New Zealand's National Institute of Water &amp; Atmospheric Research, Antarctica New Zealand, the New Zealand Ministry for Business, Innovation and Employment, and the International Whaling Commission Southern Ocean Research Partnership for funding and logistical support. Thank you to all those who have contributed photographs to the Antarctic Blue Whale Catalogue. We are grateful to Simon Wotherspoon for analytical advice. Thank you to Trevor Joyce and to the reviewers for their constructive comments.</t>
  </si>
  <si>
    <t>JAN 26</t>
  </si>
  <si>
    <t>10.3389/fmars.2023.1087967</t>
  </si>
  <si>
    <t>8Z0NW</t>
  </si>
  <si>
    <t>WOS:000933086800001</t>
  </si>
  <si>
    <t>Riaz, J; Bestley, S; Wotherspoon, S; Cox, MJ; Emmerson, L</t>
  </si>
  <si>
    <t>Riaz, Javed; Bestley, Sophie; Wotherspoon, Simon; Cox, Martin J.; Emmerson, Louise</t>
  </si>
  <si>
    <t>Spatial link between Adelie penguin foraging effort and krill swarm abundance and distribution</t>
  </si>
  <si>
    <t>foraging behaviour; Pygoscelis adeliae; Euphausia superba; krill swarm; dive behaviour; predator-prey</t>
  </si>
  <si>
    <t>EUPHAUSIA-SUPERBA ABUNDANCE; PREDATOR-PREY INTERACTIONS; ANTARCTIC KRILL; BECHERVAISE-ISLAND; EAST ANTARCTICA; MARINE PREDATORS; FEEDING PERFORMANCE; TEMPORAL VARIATION; DIVING BEHAVIOR; SOUTHERN-OCEAN</t>
  </si>
  <si>
    <t>Understanding how predator foraging behaviour is influenced by the distribution and abundance of prey is a fundamental challenge in marine foraging ecology. This is particularly relevant in Southern Ocean ecosystems where the relationships between select predator species and Antarctic krill (Euphausia superba) can inform ecosystem conservation and precautionary fisheries management. In this study, we examine the spatial associations between krill swarm characteristics and Adelie penguin (Pygoscelis adeliae) foraging effort at Bechervaise Island, a long-term monitoring site in East Antarctica. Spatially integrating two years of regional-scale krill acoustic data with contemporaneous horizontal and vertical movement information from chick-rearing adult Adelie penguins, we assessed how penguin foraging effort changed in relation to krill swarm abundance and distribution across the survey area. Our findings show that penguin diving effort was focused in areas with a high number of krill swarms, yet they did not focus their effort in areas with high krill biomass. These results suggest the spatial organisation of Adelie penguin foraging effort can provide an indication of krill presence (and/or availability) but may not reflect krill abundance. We discuss our results in the context of penguin foraging strategies, capturing single krill within the water column rather than the engulfment feeding strategy of larger marine mammals such as whales. Our work substantially improves understanding of penguin-krill dynamics in East Antarctica and provides a greater level of nuance regarding the utility of Adelie penguins as indicator species under CCAMLR's Ecosystem Monitoring Programme (CEMP). Understanding these predator-prey linkages will become increasingly important for managing any expanding krill fisheries in the region or changes in the prey field under future climate change scenarios. Thus, our results can be interpreted alongside other ecological indicators to support management of the East Antarctic sector of the Southern Ocean ecosystem.</t>
  </si>
  <si>
    <t>[Riaz, Javed; Bestley, Sophie] Univ Tasmania, Inst Marine &amp; Antarctic Studies, Hobart, Tas, Australia; [Riaz, Javed; Wotherspoon, Simon; Cox, Martin J.; Emmerson, Louise] Australian Antarctic Div, Kingston, Tas, Australia</t>
  </si>
  <si>
    <t>University of Tasmania; Australian Antarctic Division</t>
  </si>
  <si>
    <t>Riaz, J (corresponding author), Univ Tasmania, Inst Marine &amp; Antarctic Studies, Hobart, Tas, Australia.;Riaz, J (corresponding author), Australian Antarctic Div, Kingston, Tas, Australia.</t>
  </si>
  <si>
    <t>javed.riaz@utas.edu.au</t>
  </si>
  <si>
    <t>Riaz, Javed/0000-0002-2729-6433</t>
  </si>
  <si>
    <t>Australian Research Council Discovery Early Career Research Award (DECRA); [DE180100828]</t>
  </si>
  <si>
    <t>Australian Research Council Discovery Early Career Research Award (DECRA)(Australian Research Council);</t>
  </si>
  <si>
    <t>SB was supported under the Australian Research Council Discovery Early Career Research Award (DECRA) project DE180100828. This work is a contribution to Australian Antarctic Science project AAS # 4518 drawing on data from projects #2205 and 2722.</t>
  </si>
  <si>
    <t>10.3389/fmars.2023.1060984</t>
  </si>
  <si>
    <t>8V4NG</t>
  </si>
  <si>
    <t>WOS:000930608200001</t>
  </si>
  <si>
    <t>Spillias, S; Valin, H; Batka, M; Sperling, F; Havlík, P; Leclère, D; Cottrell, RS; O'Brien, KR; McDonald-Madden, E</t>
  </si>
  <si>
    <t>Spillias, Scott; Valin, Hugo; Batka, Miroslav; Sperling, Frank; Havlik, Petr; Leclere, David; Cottrell, Richard S.; O'Brien, Katherine R.; McDonald-Madden, Eve</t>
  </si>
  <si>
    <t>Reducing global land-use pressures with seaweed farming</t>
  </si>
  <si>
    <t>ASPARAGOPSIS-TAXIFORMIS; METHANE PRODUCTION; MACROALGAE; AQUACULTURE; BIOMASS; CARBON; DIET</t>
  </si>
  <si>
    <t>Agricultural expansion to meet humanity's growing needs for food and materials is a leading driver of land-use change, exacerbating climate change and biodiversity loss. Seaweed biomass farmed in the ocean could help reduce demand for terrestrial crops and reduce agricultural greenhouse gas emissions by providing a substitute or supplement for food, animal feed and biofuels. Here we model the global expansion potential of seaweed farming and explore how increased seaweed utilization under five different scenarios that consider dietary, livestock feed and fuel production seaweed usage may affect the environmental footprint of agriculture. For each scenario, we estimate the change in environmental impacts on land from increased seaweed adoption and map plausible marine farming expansion on the basis of 34 commercially important seaweed species. We show that similar to 650 million hectares of global ocean could support seaweed farms. Cultivating Asparagopsis for ruminant feed provided the highest greenhouse gas mitigation of the scenarios considered (similar to 2.6 Gt CO(2)e yr(-1)). Substituting human diets at a rate of 10% globally is predicted to spare up to 110 million hectares of land. We illustrate that global production of seaweed has the potential to reduce the environmental impacts of terrestrial agriculture, but caution is needed to ensure that these challenges are not displaced from the land to the ocean.</t>
  </si>
  <si>
    <t>[Spillias, Scott; Cottrell, Richard S.; McDonald-Madden, Eve] Univ Queensland, Sch Earth &amp; Environm Sci, St Lucia, Qld, Australia; [Spillias, Scott; Cottrell, Richard S.; McDonald-Madden, Eve] Univ Queensland, Ctr Biodivers &amp; Conservat Sci, St Lucia, Qld, Australia; [Spillias, Scott; Valin, Hugo; Batka, Miroslav; Sperling, Frank; Havlik, Petr; Leclere, David] Int Inst Appl Syst Anal, Biodivers &amp; Nat Resources Program, Laxenburg, Austria; [Sperling, Frank] CSIRO Agr &amp; Food, St Lucia, Qld, Australia; [Cottrell, Richard S.] Univ Tasmania, Ctr Marine Socioecol, Hobart, Tas, Australia; [Cottrell, Richard S.] Univ Tasmania, Inst Marine &amp; Antarctic Studies, Hobart, Tas, Australia; [O'Brien, Katherine R.] Univ Queensland, Sch Chem Engn, St Lucia, Qld, Australia</t>
  </si>
  <si>
    <t>University of Queensland; University of Queensland; International Institute for Applied Systems Analysis (IIASA); Commonwealth Scientific &amp; Industrial Research Organisation (CSIRO); University of Tasmania; University of Tasmania; University of Queensland</t>
  </si>
  <si>
    <t>Spillias, S (corresponding author), Univ Queensland, Sch Earth &amp; Environm Sci, St Lucia, Qld, Australia.;Spillias, S (corresponding author), Univ Queensland, Ctr Biodivers &amp; Conservat Sci, St Lucia, Qld, Australia.;Spillias, S (corresponding author), Int Inst Appl Syst Anal, Biodivers &amp; Nat Resources Program, Laxenburg, Austria.</t>
  </si>
  <si>
    <t>s.spillias@uq.edu.au</t>
  </si>
  <si>
    <t>; O'Brien, Katherine/J-3198-2014</t>
  </si>
  <si>
    <t>Leclere, David/0000-0002-8658-1509; O'Brien, Katherine/0000-0001-8972-9161; Valin, Hugo/0000-0002-0618-773X; Spillias, Scott/0000-0002-1310-5202</t>
  </si>
  <si>
    <t>United States National Member Organization; Australian Government</t>
  </si>
  <si>
    <t>United States National Member Organization; Australian Government(Australian Government)</t>
  </si>
  <si>
    <t>We thank P. Lauri (International Institute for Applied Systems Analysis) for help with modelling afforestation. Part of the research was developed in the Young Scientists Summer Program at the International Institute for Applied Systems Analysis, Laxenburg (Austria) with financial support from the United States National Member Organization. S.S. was funded by a Research Training Program Scholarship from the Australian Government.</t>
  </si>
  <si>
    <t>10.1038/s41893-022-01043-y</t>
  </si>
  <si>
    <t>AG8A0</t>
  </si>
  <si>
    <t>WOS:000920854200007</t>
  </si>
  <si>
    <t>Hann, AM; Bernard, KS; Kohut, J; Oliver, MJ; Statscewich, H</t>
  </si>
  <si>
    <t>Hann, Ashley M.; Bernard, Kim S.; Kohut, Josh; Oliver, Matthew J.; Statscewich, Hank</t>
  </si>
  <si>
    <t>New insight into Salpa thompsoni distribution via glider-borne acoustics</t>
  </si>
  <si>
    <t>acoustic detection; zooplankton; salps; Western Antarctic Peninsula; autonomous underwater glider; gelatinous blooms; water masses; diel vertical migration</t>
  </si>
  <si>
    <t>WESTERN ANTARCTIC PENINSULA; KRILL EUPHAUSIA-SUPERBA; CIRCUMPOLAR DEEP-WATER; SEA-ICE EXTENT; SOUTHERN-OCEAN; AUSTRAL SUMMER; CONTINENTAL-SHELF; EAST ANTARCTICA; BIOGENIC CARBON; ZOOPLANKTON</t>
  </si>
  <si>
    <t>Salpa thompsoni is an ephemerally abundant pelagic tunicate in the waters of the Southern Ocean that makes significant contributions to carbon flux and nutrient recycling in the region. While S. thompsoni, hereafter referred to as salps, was historically described as a polar-temperate species with a latitudinal range of 40 - 60 degrees S, observations of salps in coastal waters of the Western Antarctic Peninsula have become more common in the last 50 years. There is a need to better understand the variability in salp densities and vertical distribution patterns in Antarctic waters to improve predictions of their contribution to the global carbon cycle. We used acoustic data obtained from an echosounder mounted to an autonomous underwater Slocum glider to investigate the anomalously high densities of salps observed in Palmer Deep Canyon, at the Western Antarctic Peninsula, in the austral summer of 2020. Acoustic measurements of salps were made synchronously with temperature and salinity recordings (all made on the glider downcasts), and asynchronously with chlorophyll-a measurements (made on the glider upcasts and matched to salp measurements by profile) across the depth of the water column near Palmer Deep Canyon for 60 days. Using this approach, we collected high-resolution data on the vertical and temporal distributions of salps, their association with key water masses, their diel vertical migration patterns, and their correlation with chlorophyll-a. While salps were recorded throughout the water column, they were most prevalent in Antarctic Surface Water. A peak in vertical distribution was detected from 0 - 50 m regardless of time of day or point in the summer season. We found salps did not undergo diel vertical migration in the early season, but following the breakdown of the remnant Winter Water layer in late January, marginal diel vertical migration was initiated and sustained through to the end of our study. There was a significant, positive correlation between salp densities and chlorophyll-a. To our knowledge, this is the first high resolution assessment of salp spatial (on the vertical) and temporal distributions in the Southern Ocean as well as the first to use glider-borne acoustics to assess salps in situ.</t>
  </si>
  <si>
    <t>[Hann, Ashley M.; Bernard, Kim S.] Oregon State Univ, Coll Earth Ocean &amp; Atmospher Sci, Corvallis, OR 97331 USA; [Kohut, Josh] Rutgers State Univ, Inst Marine &amp; Coastal Sci, New Brunswick, NJ USA; [Oliver, Matthew J.] Univ Delaware, Coll Earth Ocean &amp; Environm, Lewes, DE USA; [Statscewich, Hank] Univ Alaska Fairbanks, Coll Fisheries &amp; Ocean Sci, Fairbanks, AK USA</t>
  </si>
  <si>
    <t>Oregon State University; Rutgers University System; Rutgers University New Brunswick; University of Delaware; University of Alaska System; University of Alaska Fairbanks</t>
  </si>
  <si>
    <t>Hann, AM; Bernard, KS (corresponding author), Oregon State Univ, Coll Earth Ocean &amp; Atmospher Sci, Corvallis, OR 97331 USA.</t>
  </si>
  <si>
    <t>amhann94@gmail.com; Kim.bernard@oregonstate.edu</t>
  </si>
  <si>
    <t>10.3389/fmars.2022.857560</t>
  </si>
  <si>
    <t>8S7EB</t>
  </si>
  <si>
    <t>WOS:000928738900001</t>
  </si>
  <si>
    <t>van Wessem, JM; van den Broeke, MR; Wouters, B; Lhermitte, S</t>
  </si>
  <si>
    <t>van Wessem, J. Melchior; van den Broeke, Michiel R. R.; Wouters, Bert; Lhermitte, Stef</t>
  </si>
  <si>
    <t>Variable temperature thresholds of melt pond formation on Antarctic ice shelves</t>
  </si>
  <si>
    <t>SURFACE MASS-BALANCE; CLIMATE; MELTWATER; PENINSULA; MODEL</t>
  </si>
  <si>
    <t>Melt ponding is an important process for the stability of ice shelves. Here the authors estimate the temperature thresholds at which melt ponding emerges over Antarctic ice shelves and find that cold and dry ice shelves are more vulnerable to melt ponding than expected. It has been argued that the -5 degrees C annual mean 2 m air temperature isotherm defines a limit of ice shelf viability on the Antarctic Peninsula as melt ponding increases at higher temperatures. It is, however, presently unknown whether this threshold can also be applied to other Antarctic ice shelves. Here we use two present-day and three future high-resolution Antarctic climate simulations to predict warming thresholds for Antarctic ice shelf melt pond formation on the basis of the melt-over-accumulation ratio. The associated warming thresholds match well with observed melt pond volumes and are found to be spatially highly variable and controlled by snow accumulation. For relatively wet ice shelves, the -5 degrees C temperature threshold was confirmed; but cold and dry ice shelves such as Amery, Ross and Filchner-Ronne are more vulnerable than previously thought, with threshold temperatures well below -15 degrees C. Coupled Model Intercomparison Project Phase 6 models predict that towards the end of this century these thresholds can be reached on many ice shelves, even on cold ice shelves and under moderate warming scenarios.</t>
  </si>
  <si>
    <t>[van Wessem, J. Melchior; van den Broeke, Michiel R. R.; Wouters, Bert] Univ Utrecht, Inst Marine &amp; Atmospher Res Utrecht, Utrecht, Netherlands; [Wouters, Bert; Lhermitte, Stef] Delft Univ Technol, Dept Geosci &amp; Remote Sensing, Delft, Netherlands; [Lhermitte, Stef] Katholieke Univ Leuven, Dept Earth &amp; Environm Sci, Leuven, Belgium</t>
  </si>
  <si>
    <t>Utrecht University; Delft University of Technology; KU Leuven</t>
  </si>
  <si>
    <t>van Wessem, JM; van den Broeke, MR; Wouters, B (corresponding author), Univ Utrecht, Inst Marine &amp; Atmospher Res Utrecht, Utrecht, Netherlands.;Wouters, B; Lhermitte, S (corresponding author), Delft Univ Technol, Dept Geosci &amp; Remote Sensing, Delft, Netherlands.;Lhermitte, S (corresponding author), Katholieke Univ Leuven, Dept Earth &amp; Environm Sci, Leuven, Belgium.</t>
  </si>
  <si>
    <t>j.m.vanwessem@uu.nl; m.r.vandenbroeke@uu.nl; Bert.Wouters@tudelft.nl; S.Lhermitte@tudelft.nl</t>
  </si>
  <si>
    <t>Van den Broeke, Michiel R./F-7867-2011; Lhermitte, Stef (Stefaan)/A-3385-2013; Wouters, Bert/A-5301-2017</t>
  </si>
  <si>
    <t>Van den Broeke, Michiel R./0000-0003-4662-7565; Lhermitte, Stef (Stefaan)/0000-0002-1622-0177; Wouters, Bert/0000-0002-1086-2435</t>
  </si>
  <si>
    <t>Netherlands Organisation for Scientific Research (NWO) VENI [VI.Veni.192.083]; Netherlands Earth System Science Centre; PROTECT; European Union [869304]; NWO [OCENW.GROOT.2019.091]</t>
  </si>
  <si>
    <t>Netherlands Organisation for Scientific Research (NWO) VENI(Netherlands Organization for Scientific Research (NWO)); Netherlands Earth System Science Centre; PROTECT; European Union(European Union (EU)); NWO(Netherlands Organization for Scientific Research (NWO))</t>
  </si>
  <si>
    <t>J.M.v.W. acknowledges support by PROTECT contribution number 53 and was funded by the Netherlands Organisation for Scientific Research (NWO) VENI grant no. VI.Veni.192.083. M.R.v.d.B. acknowledges support from the Netherlands Earth System Science Centre and PROTECT. This project has received funding from the European Union's Horizon 2020 research and innovation programme under grant agreement no. 869304, PROTECT contribution number 53. S.L. and B.W. were supported by grant no. OCENW.GROOT.2019.091 funded by NWO. We acknowledge L. van Kampenhout for providing the CESM2 forcing data.</t>
  </si>
  <si>
    <t>10.1038/s41558-022-01577-1</t>
  </si>
  <si>
    <t>9C8EX</t>
  </si>
  <si>
    <t>WOS:000923635600001</t>
  </si>
  <si>
    <t>Shaw, JT; Foulds, A; Wilde, S; Barker, P; Squires, FA; Lee, JM; Purvis, R; Burton, R; Colfescu, I; Mobbs, S; Cliff, S; Bauguitte, SJB; Young, S; Schwietzke, S; Allen, G</t>
  </si>
  <si>
    <t>Shaw, Jacob T.; Foulds, Amy; Wilde, Shona; Barker, Patrick; Squires, Freya A.; Lee, James; Purvis, Ruth; Burton, Ralph; Colfescu, Ioana; Mobbs, Stephen; Cliff, Samuel; Bauguitte, Stephane J. -B.; Young, Stuart; Schwietzke, Stefan; Allen, Grant</t>
  </si>
  <si>
    <t>Flaring efficiencies and NOx emission ratios measured for offshore oil and gas facilities in the North Sea</t>
  </si>
  <si>
    <t>METHANE EMISSIONS; ABSORPTION SPECTROMETER; COMBUSTION EFFICIENCY; AIRBORNE MEASUREMENTS; ATMOSPHERIC METHANE; AIR-POLLUTION; BLACK CARBON; FLARES; CH4; QUANTIFICATION</t>
  </si>
  <si>
    <t>Gas flaring is a substantial global source of carbon emissions to atmosphere and is targeted as a route to mitigating the oil and gas sector carbon footprint due to the waste of resources involved. However, quantifying carbon emissions from flaring is resource-intensive, and no studies have yet assessed flaring emissions for offshore regions. In this work, we present carbon dioxide (CO2), methane (CH4), ethane (C2H6), and NOx (nitrogen oxide) data from 58 emission plumes identified as gas flaring, measured during aircraft campaigns over the North Sea (UK and Norway) in 2018 and 2019. Median combustion efficiency, the efficiency with which carbon in the flared gas is converted to CO2 in the emission plume, was 98.4 % when accounting for C2H6 or 98.7 % when only accounting for CH4. Higher combustion efficiencies were measured in the Norwegian sector of the North Sea compared with the UK sector. Destruction removal efficiencies (DREs), the efficiency with which an individual species is combusted, were 98.5 % for CH4 and 97.9 % for C2H6. Median NOx emission ratios were measured to be 0.003 ppmppm(-1)CO(2) and 0.26 ppmppm(-1)CH(4), and the median C2H6:CH4 ratio was measured to be 0.11 ppmppm(-1). The highest NOx emission ratios were observed from floating production storage and offloading (FPSO) vessels, although this could potentially be due to the presence of alternative NO(x )sources on board, such as diesel generators. The measurements in this work were used to estimate total emissions from the North Sea from gas flaring of 1.4 Tgyr(-1) CO2, 6.3 Ggyr(-1) CH4, 1.7 Ggyr(-1) C2H6 and 3.9 Ggyr(-1) NOx.</t>
  </si>
  <si>
    <t>[Shaw, Jacob T.; Foulds, Amy; Barker, Patrick; Allen, Grant] Univ Manchester, Dept Earth &amp; Environm Sci, Oxford Rd, Manchester M139PL, Lancs, England; [Wilde, Shona; Squires, Freya A.; Lee, James; Purvis, Ruth; Cliff, Samuel; Young, Stuart] Univ York, Dept Chem, Wolfson Atmospher Chem Labs, York YO105DD, N Yorkshire, England; [Lee, James; Purvis, Ruth] Univ York, Natl Ctr Atmospher Sci, York YO105DD, N Yorkshire, England; [Burton, Ralph; Colfescu, Ioana; Mobbs, Stephen] Univ Leeds, Natl Ctr Atmospher Sci, Sch Earth &amp; Environm, Leeds LS29JT, England; [Cliff, Samuel; Bauguitte, Stephane J. -B.] Cranfield Univ, Facil Airborne Atmospher Measurements FAAM 125, Cranfield MK430AL, Beds, England; [Schwietzke, Stefan] Environm Def Fund, Berlin, Germany; [Shaw, Jacob T.; Barker, Patrick] Natl Phys Lab NPL, Hampton Rd, Teddington TW110LW, England; [Squires, Freya A.] NERC, British Antarctic Survey, Cambridge CB30ET, Cambs, England</t>
  </si>
  <si>
    <t>University of Manchester; University of York - UK; University of York - UK; University of Leeds; Cranfield University; Environmental Defense Fund; National Physical Laboratory - UK; UK Research &amp; Innovation (UKRI); Natural Environment Research Council (NERC); NERC British Antarctic Survey</t>
  </si>
  <si>
    <t>Allen, G (corresponding author), Univ Manchester, Dept Earth &amp; Environm Sci, Oxford Rd, Manchester M139PL, Lancs, England.</t>
  </si>
  <si>
    <t>grant.allen@manchester.ac.uk</t>
  </si>
  <si>
    <t>lee, sooyoon/JEP-0415-2023; Squires, Freya/IRZ-4422-2023; Allen, Grant/A-7737-2013</t>
  </si>
  <si>
    <t>Squires, Freya/0000-0002-3364-4617; Allen, Grant/0000-0002-7070-3620; Shaw, Jacob/0000-0003-3558-3894; Lee, James D/0000-0001-5397-2872; Wilde, Shona Elizabeth/0000-0002-0429-4347; Purvis, Ruth/0000-0003-3375-3765; Mobbs, Stephen/0000-0003-3872-9422</t>
  </si>
  <si>
    <t>Climate and Clean Air Coalition (CCAC) Oil and Gas Methane Science Studies (MSS); Environmental Defense Fund; Oil and Gas Climate Initiative; European Commission; CCAC [DTIE19-020]; Natural Environment Research Council (NERC) [NE/R01451X/1, NE/N015835/1]; NERC [NE/N015835/1, NE/T014849/1] Funding Source: UKRI</t>
  </si>
  <si>
    <t>Climate and Clean Air Coalition (CCAC) Oil and Gas Methane Science Studies (MSS); Environmental Defense Fund; Oil and Gas Climate Initiative; European Commission(European Union (EU)European Commission Joint Research Centre); CCAC; Natural Environment Research Council (NERC)(UK Research &amp; Innovation (UKRI)Natural Environment Research Council (NERC)); NERC(UK Research &amp; Innovation (UKRI)Natural Environment Research Council (NERC))</t>
  </si>
  <si>
    <t>This work was supported by the Climate and Clean Air Coalition (CCAC) Oil and Gas Methane Science Studies (MSS) hosted by the United Nations Environment Programme. Funding was provided by the Environmental Defense Fund, the Oil and Gas Climate Initiative, the European Commission, and the CCAC (grant no. DTIE19-020). The aircraft data used in this publication were collected as part of two projects: the Demonstration Of A Comprehensive Approach To Monitoring Emissions From Oil and Gas Installations (AEOG) project (grant no. NE/R01451X/1) and the Methane Observations and Yearly Assessment (MOYA) project (grant no. NE/N015835/1), both funded by the Natural Environment Research Council (NERC).</t>
  </si>
  <si>
    <t>10.5194/acp-23-1491-2023</t>
  </si>
  <si>
    <t>8K0TS</t>
  </si>
  <si>
    <t>WOS:000922823300001</t>
  </si>
  <si>
    <t>Jonsen, ID; Grecian, WJ; Phillips, L; Carroll, G; McMahon, C; Harcourt, RG; Hindell, MA; Patterson, TA</t>
  </si>
  <si>
    <t>Jonsen, Ian D. D.; Grecian, W. James; Phillips, Lachlan; Carroll, Gemma; McMahon, Clive; Harcourt, Robert G. G.; Hindell, Mark A. A.; Patterson, Toby A. A.</t>
  </si>
  <si>
    <t>aniMotum, an R package for animal movement data: Rapid quality control, behavioural estimation and simulation</t>
  </si>
  <si>
    <t>METHODS IN ECOLOGY AND EVOLUTION</t>
  </si>
  <si>
    <t>animal movement; biologging; bio-telemetry; move persistence; movement behaviour; random walk; simulation; state-space model</t>
  </si>
  <si>
    <t>STATE-SPACE MODELS; ABSENCE</t>
  </si>
  <si>
    <t>Animal tracking data are indispensable for understanding the ecology, behaviour and physiology of mobile or cryptic species. Meaningful signals in these data can be obscured by noise due to imperfect measurement technologies, requiring rigorous quality control as part of any comprehensive analysis. State-space models are powerful tools that separate signal from noise. These tools are ideal for quality control of error-prone location data and for inferring where animals are and what they are doing when they record or transmit other information. However, these statistical models can be challenging and time-consuming to fit to diverse animal tracking data sets. The R package aniMotum eases the tasks of conducting quality control on and inference of changes in movement from animal tracking data. This is achieved via: (1) a simple but extensible workflow that accommodates both novice and experienced users; (2) automated processes that alleviate complexity from data processing and model specification/fitting steps; (3) simple movement models coupled with a powerful numerical optimization approach for rapid and reliable model fitting. We highlight aniMotum's capabilities through three applications to real animal tracking data. Full R code for these and additional applications is included as Supporting Information, so users can gain a deeper understanding of how to use aniMotum for their own analyses.</t>
  </si>
  <si>
    <t>[Jonsen, Ian D. D.; Phillips, Lachlan; Harcourt, Robert G. G.] Macquarie Univ, Sch Nat Sci, Sydney, NSW, Australia; [Grecian, W. James] Univ St Andrews, Scottish Oceans Inst, Sea Mammal Res Unit, St Andrews, Scotland; [Carroll, Gemma] Environm Def Fund, Seattle, WA USA; [McMahon, Clive] Sydney Inst Marine Sci, Mosman, NSW, Australia; [Hindell, Mark A. A.] Univ Tasmania, Inst Marine &amp; Antarctic Studies, Hobart, Tas, Australia; [Patterson, Toby A. A.] CSIRO Oceans &amp; Atmosphere, Hobart, Tas, Australia; [Grecian, W. James] Univ Durham, Dept Geog, Durham, England</t>
  </si>
  <si>
    <t>Macquarie University; University of St Andrews; Sydney Institute of Marine Science; University of Tasmania; Commonwealth Scientific &amp; Industrial Research Organisation (CSIRO); Durham University</t>
  </si>
  <si>
    <t>Jonsen, ID (corresponding author), Macquarie Univ, Sch Nat Sci, Sydney, NSW, Australia.</t>
  </si>
  <si>
    <t>ian.jonsen@mq.edu.au</t>
  </si>
  <si>
    <t>McMahon, Clive R/D-5713-2013; Patterson, Toby A/B-3836-2011; Hindell, Mark A/K-1131-2013; Carroll, Gemma/K-3203-2014; Grecian, James/A-7689-2012</t>
  </si>
  <si>
    <t>McMahon, Clive R/0000-0001-5241-8917; Phillips, Lachlan/0000-0002-7635-2817; Carroll, Gemma/0000-0001-7776-0946; Jonsen, Ian/0000-0001-5423-6076; Hindell, Mark/0000-0002-7823-7185; Harcourt, Robert/0000-0003-4666-2934; Patterson, Toby/0000-0002-7150-9205; Grecian, James/0000-0002-6428-719X</t>
  </si>
  <si>
    <t>Office of Naval Research; CSIRO; CNES-TOSCA; Australia's Integrated Marine Observing System (IMOS); Australian Research Council; Fisheries and Oceans Canada; NERC Arctic Office; UKRI Natural Environment Research Council; German Federal Ministry of Education and Research [N00014-18-1-2405]; [LP160100162]; [NE/P00623X/1]; [NE/P006035/1]</t>
  </si>
  <si>
    <t>Office of Naval Research(Office of Naval Research); CSIRO(Commonwealth Scientific &amp; Industrial Research Organisation (CSIRO)); CNES-TOSCA; Australia's Integrated Marine Observing System (IMOS); Australian Research Council(Australian Research Council); Fisheries and Oceans Canada; NERC Arctic Office; UKRI Natural Environment Research Council(UK Research &amp; Innovation (UKRI)Natural Environment Research Council (NERC)); German Federal Ministry of Education and Research(Federal Ministry of Education &amp; Research (BMBF)); ; ;</t>
  </si>
  <si>
    <t>Office of Naval Research, Grant/Award Number: N00014-18-1-2405; CSIRO; CNES-TOSCA; Australia's Integrated Marine Observing System (IMOS); Australian Research Council, Grant/Award Number: LP160100162; Fisheries and Oceans Canada; NERC Arctic Office, Grant/Award Number: NE/P00623X/1 and NE/P006035/1; UKRI Natural Environment Research Council; German Federal Ministry of Education and Research</t>
  </si>
  <si>
    <t>2041-210X</t>
  </si>
  <si>
    <t>2041-2096</t>
  </si>
  <si>
    <t>METHODS ECOL EVOL</t>
  </si>
  <si>
    <t>Methods Ecol. Evol.</t>
  </si>
  <si>
    <t>10.1111/2041-210X.14060</t>
  </si>
  <si>
    <t>D9DO5</t>
  </si>
  <si>
    <t>WOS:000920797800001</t>
  </si>
  <si>
    <t>Cisterna-Concha, A; Calderón-Quirgas, C; Silva-Andrades, F; Muñoz, R; Norambuena, HV</t>
  </si>
  <si>
    <t>Cisterna-Concha, Andrea; Calderon-Quirgas, Camila; Silva-Andrades, Fernanda; Munoz, Richard; Norambuena, Heraldo V.</t>
  </si>
  <si>
    <t>Reencounter with the past: occurrence of sei whale (Balaenoptera borealis) in an old hunting area in the south-eastern Pacific Ocean</t>
  </si>
  <si>
    <t>NATURE CONSERVATION-BULGARIA</t>
  </si>
  <si>
    <t>Balaenoptera borealis; Caleta Chome; Chile; Sei whale; South-eastern Pacific</t>
  </si>
  <si>
    <t>WESTERN NORTH PACIFIC; MARINE MAMMALS; UPWELLING AREA; COASTAL ZONE; CONCEPCION; BACTERIOPLANKTON; PHYTOPLANKTON; HABITAT; CYCLES; SYSTEM</t>
  </si>
  <si>
    <t>The sei whale (Balaenoptera borealis) was intensively exploited throughout its range, with about 110.000 individuals hunted by pelagic fleets in Antarctic waters between 1960 and 1970. In addition, basic information on its distribution, migratory routes, and feeding grounds in the southeastern Pacific, has been poorly documented. In the case of Chile, recent information consists mainly of accidental records. This research presents the first sei whale photo-identification catalog for south-central Chile. From November 2019 to January 2020, 88 individuals were recorded from land-based and boat surveys at Caleta Chome. Of these, 12 individuals were photo-identified through scars or distinctive notches in the dorsal fins. The peak of sightings occurred during December 2019; two individuals were sighted on more than one occasion.</t>
  </si>
  <si>
    <t>[Cisterna-Concha, Andrea; Calderon-Quirgas, Camila] Ctr Estudios Mastozool Marina, Concepcion, Chile; [Cisterna-Concha, Andrea; Munoz, Richard] Univ Concepcion, Fac Ciencias Nat &amp; Oceanog, Dept Oceanog, Programa Doctorado Oceanog, Concepcion, Chile; [Calderon-Quirgas, Camila] Univ Concepcion, Fac Ciencias Nat &amp; Oceanog, Dept Oceanog, Programa Magister Ciencias Menc Oceanog, Concepcion, Chile; [Silva-Andrades, Fernanda] Turismo Chome Aventura, Hualpen, Biobio, Chile; [Munoz, Richard] Univ Catolica Santisima Concepcion, Fac Ciencias, Dept Ecol, Concepcion, Chile; [Norambuena, Heraldo V.] Univ Santo Tomas, Fac Ciencias, Ctr Bahia Lomas, Concepcion, Chile; [Norambuena, Heraldo V.] Ctr Estudios Agr &amp; Ambientales, Valdivia, Chile</t>
  </si>
  <si>
    <t>Universidad de Concepcion; Universidad de Concepcion; Universidad Catolica de la Santisima Concepcion; Universidad Santo Tomas</t>
  </si>
  <si>
    <t>Norambuena, HV (corresponding author), Univ Santo Tomas, Fac Ciencias, Ctr Bahia Lomas, Concepcion, Chile.;Norambuena, HV (corresponding author), Ctr Estudios Agr &amp; Ambientales, Valdivia, Chile.</t>
  </si>
  <si>
    <t>hnorambuena@santotomas.cl</t>
  </si>
  <si>
    <t>Calderon Quirgas, Camila Eugenia/0009-0008-2569-632X; Antonio Munoz Herrera, Richard/0000-0003-0066-0298</t>
  </si>
  <si>
    <t>1314-6947</t>
  </si>
  <si>
    <t>1314-3301</t>
  </si>
  <si>
    <t>NAT CONSERV-BULGARIA</t>
  </si>
  <si>
    <t>Nat. Conserv.-Bulgaria</t>
  </si>
  <si>
    <t>10.3897/natureconservation.51.95690</t>
  </si>
  <si>
    <t>8S8OP</t>
  </si>
  <si>
    <t>WOS:000928834100001</t>
  </si>
  <si>
    <t>Caetano, L; Guallar, C; Martin, J; Vidal, M; da Cunha, LC; Vieira, R; Amora-Nogueira, L; Pelegri, JL; Marotta, H</t>
  </si>
  <si>
    <t>Caetano, Ludmila; Guallar, Carles; Martin, Jacobo; Vidal, Montserrat; da Cunha, Leticia Cotrim; Vieira, Rosemary; Amora-Nogueira, Leonardo; Pelegri, Josep L.; Marotta, Humberto</t>
  </si>
  <si>
    <t>Multiple controls on carbon dioxide sequestration in the beagle channel (Southern Patagonia) in early fall</t>
  </si>
  <si>
    <t>High -resolution spatial variability; Patagonia; Sub -Antarctic waters; Beagle Channel; pCO(2)</t>
  </si>
  <si>
    <t>ORGANIC-MATTER; OCEAN; CO2; PHYTOPLANKTON; CHLOROPHYLL; AMERICA; STRAITS; FLUXES; PCO(2); VARIABILITY</t>
  </si>
  <si>
    <t>Subpolar coastal waters are key hotspots in the global carbon cycle. However, the small-scale distribution of partial pressure of carbon dioxide (pCO2) in these environments and the physical and biological controls underlying this variability are still poorly understood. Here, we examine simultaneous high-resolution spatial measurements of wind speed and pCO(2), temperature, salinity, and in-vivo chlorophyll-a fluorescence (chl-a fluo, a proxy of phytoplankton biomass) in surface waters that were obtained during an oceanographic survey in the Argentinian Beagle Channel (subantarctic Atlantic Patagonian) in early fall 2017. The 240 km study transect (centered at 55 degrees S - 67 degrees W) was divided into two zones: (A1) The Beagle Channel innermost portion, semi-enclosed and subject to strong continental influence and (A2) its eastern outlet towards the open Southwest Atlantic. Discrete seawater samples were also collected for apparent oxygen utilization (AOU), nutrients and pH measurements. High-resolution spatial measurements revealed the persistence of pCO(2) below atmospheric equilibrium, increasing in median (interquartile range 25-75%) from 314 mu atm in the inner Beagle Channel (A1) to 348 mu atm towards the adjacent open sea (A2). A decrease in atmospheric CO2 sequestration was associated with an increase in water temperature from 9.5 degrees C to 10.7 degrees C, salinity from 30.8 to 32.5, and chl-a fluo from 2.24 to 2.91 mg m(-3) along the coastal-offshore gradient. Low AOU and nutrient levels were found in regions inside the channel. Indeed, the relationships between CO2 and temperature or salinity were significantly different from those expected from the theoretical solubility effect, indicating a dominance of metabolic over physicochemical controls on this gas. Moreover, physical factors such as vertical stratification contributed to the variable surface pCO2 values. These findings reveal the existence of short-scale spatial variability of CO2 in the Beagle Channel, improving our understanding of the multiple controls on atmospheric carbon sequestration in extensive subpolar continental shelves.</t>
  </si>
  <si>
    <t>[Caetano, Ludmila; Vieira, Rosemary; Amora-Nogueira, Leonardo; Marotta, Humberto] Univ Fed Fluminense UFF, Dept Geog, Grad Program Geog, Lab Sedimentary &amp; Environm Proc LAPSA, Rio De Janeiro, Brazil; [Caetano, Ludmila; Amora-Nogueira, Leonardo; Marotta, Humberto] Univ Fed Fluminense UFF, Res Ctr Biomass &amp; Water Management NAB, Grad Program Geosci Environm Geochem, Ecosyst &amp; Global Change Lab LEMG,Rede BrOA, Rio De Janeiro, Brazil; [Guallar, Carles; Pelegri, Josep L.] CSIC, Inst Ciencies Mar, Dept Phys &amp; Technol Oceanog, Unidad Asociada ULPGC, Barcelona, Spain; [Guallar, Carles; Vidal, Montserrat] Univ Barcelona, Dept Evolutionary Biol Ecol &amp; Environm Sci, Barcelona, Spain; [Martin, Jacobo] Ctr Austral Invest Cient CADIC CONICET, Lab Oceanog &amp; Proc Costeros, Ushuaia, Argentina; [Martin, Jacobo] Univ Barcelona, Dept Earth &amp; Ocean Dynam, CRG Marine Geosci, Barcelona, Spain; [da Cunha, Leticia Cotrim] Univ Estado Rio De Janeiro, Fac Oceanog, Grad Program Oceanog, Rede BrOA,RedeClima,INPE, Rio De Janeiro, Brazil</t>
  </si>
  <si>
    <t>Universidade Federal Fluminense; Universidade Federal Fluminense; Consejo Superior de Investigaciones Cientificas (CSIC); CSIC - Centro Mediterraneo de Investigaciones Marinas y Ambientales (CMIMA); CSIC - Instituto de Ciencias del Mar (ICM); University of Barcelona; Consejo Nacional de Investigaciones Cientificas y Tecnicas (CONICET); University of Barcelona; Universidade do Estado do Rio de Janeiro; Instituto Nacional de Pesquisas Espaciais (INPE)</t>
  </si>
  <si>
    <t>Marotta, H (corresponding author), Univ Fed Fluminense UFF, Dept Geog, Grad Program Geog, Lab Sedimentary &amp; Environm Proc LAPSA, Rio De Janeiro, Brazil.</t>
  </si>
  <si>
    <t>humbertomarotta@id.uff.br</t>
  </si>
  <si>
    <t>Martin, Jacobo/F-1388-2011; Pelegrí, Josep L/L-5815-2014; Amora-Nogueira, Leonardo/P-6208-2017; Cotrim da Cunha, Leticia/F-5732-2010; Marotta, Humberto/F-9554-2012; Vidal, Montserrat/L-6051-2014; da Cunha, Leticia Cotrim/J-5153-2012</t>
  </si>
  <si>
    <t>Martin, Jacobo/0000-0001-8933-7731; Pelegrí, Josep L/0000-0003-0661-2190; Amora-Nogueira, Leonardo/0000-0002-4864-5110; Cotrim da Cunha, Leticia/0000-0001-8035-1430; Marotta, Humberto/0000-0002-2828-6595; Vieira, Rosemary/0000-0003-0312-2890</t>
  </si>
  <si>
    <t>Spanish Government [CTM2014-56987-P, RTI2018- 100844-B-C33]; Spanish Government through the Severo Ochoa Centre of Excellence [CEX2019-000928-S]; Council for Research and Scientific Development of Brazil (CNPq) [203366/2019-0, 314995/2020-0]; Research Support Foundation of the State of Rio de Janeiro [E-26/211.329/2021, E-26/201.118/2022]; FAPERJ Scientist of Our State fellowships; UERJ/PROCIENCIA fellowship; CADIC-CONICET</t>
  </si>
  <si>
    <t>Spanish Government(Spanish Government); Spanish Government through the Severo Ochoa Centre of Excellence; Council for Research and Scientific Development of Brazil (CNPq)(Conselho Nacional de Desenvolvimento Cientifico e Tecnologico (CNPQ)Fundacao de Apoio a Pesquisa do Distrito Federal (FAPDF)); Research Support Foundation of the State of Rio de Janeiro; FAPERJ Scientist of Our State fellowships(Fundacao Carlos Chagas Filho de Amparo a Pesquisa do Estado do Rio De Janeiro (FAPERJ)); UERJ/PROCIENCIA fellowship; CADIC-CONICET(Consejo Nacional de Investigaciones Cientificas y Tecnicas (CONICET))</t>
  </si>
  <si>
    <t>We acknowledge support from the Spanish Government through grants CTM2014-56987-P (VA-DE-RETRO Project) and RTI2018- 100844-B-C33 (SAGA project) and also recognize the institutional support of the Spanish Government through the Severo Ochoa Centre of Excellence accreditation (CEX2019-000928-S) . This study was funded by grants from the Council for Research and Scientific Development of Brazil (CNPq, 203366/2019-0, 314995/2020-0) and the Research Support Foundation of the State of Rio de Janeiro (E-26/211.329/2021 and E-26/201.118/2022) . H.M. and L.C.C. were awarded by CNPq Research Productivity and FAPERJ Scientist of Our State fellowships. L.C.C. was awarded by UERJ/PROCIENCIA fellowship. We warmly thank Dr. Gustavo Lovrich from CADIC-CONICET for a very generous donation</t>
  </si>
  <si>
    <t>10.1016/j.jmarsys.2023.103858</t>
  </si>
  <si>
    <t>C3SN0</t>
  </si>
  <si>
    <t>WOS:000961153900001</t>
  </si>
  <si>
    <t>Warburton, KLP; Hewitt, DR; Neufeld, JA</t>
  </si>
  <si>
    <t>Warburton, K. L. P.; Hewitt, D. R.; Neufeld, J. A.</t>
  </si>
  <si>
    <t>Shear dilation of subglacial till results in time-dependent sliding laws</t>
  </si>
  <si>
    <t>PROCEEDINGS OF THE ROYAL SOCIETY A-MATHEMATICAL PHYSICAL AND ENGINEERING SCIENCES</t>
  </si>
  <si>
    <t>subglacial till; glacier dynamics; basal sliding</t>
  </si>
  <si>
    <t>ANTARCTIC ICE STREAM; TIDAL MODULATION; BASAL MECHANICS; STATE FRICTION; FLOW; SLIP; DEFORMATION; GLACIERS; VELOCITY; BEHAVIOR</t>
  </si>
  <si>
    <t>The dynamics of glacial sliding over water-saturated tills are poorly constrained and difficult to capture realistically in large-scale models. Experiments characterize till as a plastic material with a pressure-dependent yield stress, but the subglacial water pressure may fluctuate on annual to daily timescales, leading to transient adjustment of the till. We construct a continuum two-phase model of coupled fluid and solid deformation, describing the movement of water through the pore space of a till that is itself dilating and deforming. By forcing the model with time-dependent effective pressure at the ice-till interface, we infer the resulting relationships between basal traction, solid fraction and rate of deformation. We find that shear dilation introduces internal pressure variations and transient dilatant strengthening emerges, leading to hysteretic behaviour in low-permeability materials. The result is a time-dependent effective sliding law, with permeability-dependent lag between changes in effective pressure and the slidingspeed. This deviation from traditional steady-state sliding laws may play an important role in a wide range of transient ice-sheet phenomena, from glacier surges to the tidal response of ice streams.</t>
  </si>
  <si>
    <t>[Warburton, K. L. P.] Dartmouth Coll, Thayer Sch Engn, Hanover, NH 03755 USA; [Warburton, K. L. P.; Neufeld, J. A.] Univ Cambridge, Dept Appl Math &amp; Theoret Phys, Wilberforce Rd, Cambridge CB3 0WA, England; [Hewitt, D. R.] UCL, Dept Math, 25 Gordon St, London WC1H 0AY, England; [Neufeld, J. A.] Univ Cambridge, Ctr Environm &amp; Ind Flows, Madingley Rise, Cambridge CB3 0EZ, England; [Neufeld, J. A.] Univ Cambridge, Dept Earth Sci, Bullard Labs, Madingley Rise, Cambridge CB3 0EZ, England</t>
  </si>
  <si>
    <t>Dartmouth College; University of Cambridge; University of London; University College London; University of Cambridge; University of Cambridge</t>
  </si>
  <si>
    <t>Warburton, KLP (corresponding author), Dartmouth Coll, Thayer Sch Engn, Hanover, NH 03755 USA.;Warburton, KLP (corresponding author), Univ Cambridge, Dept Appl Math &amp; Theoret Phys, Wilberforce Rd, Cambridge CB3 0WA, England.</t>
  </si>
  <si>
    <t>klpw3@cam.ac.uk</t>
  </si>
  <si>
    <t>Neufeld, Jerome A/A-2387-2016</t>
  </si>
  <si>
    <t>Neufeld, Jerome A/0000-0002-3284-5169; Warburton, Katarzyna/0000-0002-5537-0557; Hewitt, Duncan/0000-0001-6190-5514</t>
  </si>
  <si>
    <t>Natural Environment Research Council [NE/L002507/1]</t>
  </si>
  <si>
    <t>Natural Environment Research Council(UK Research &amp; Innovation (UKRI)Natural Environment Research Council (NERC))</t>
  </si>
  <si>
    <t>K.L.P.W. was supported by the Natural Environment Research Council (grant no. NE/L002507/1) during the development of this project.</t>
  </si>
  <si>
    <t>1364-5021</t>
  </si>
  <si>
    <t>1471-2946</t>
  </si>
  <si>
    <t>P ROY SOC A-MATH PHY</t>
  </si>
  <si>
    <t>Proc. R. Soc. A-Math. Phys. Eng. Sci.</t>
  </si>
  <si>
    <t>JAN 25</t>
  </si>
  <si>
    <t>10.1098/rspa.2022.0536</t>
  </si>
  <si>
    <t>A1HA8</t>
  </si>
  <si>
    <t>Green Submitted, Green Published, hybrid</t>
  </si>
  <si>
    <t>WOS:000952696900009</t>
  </si>
  <si>
    <t>Xavier, JC; Golikov, AV; Queirós, JP; Perales-Raya, C; Rosas-Luis, R; Abreu, J; Bello, G; Bustamante, P; Capaz, JC; Dimkovikj, VH; González, AF; Guímaro, H; Guerra-Marrero, A; Gomes-Pereira, JN; Hernández-Urcera, J; Kubodera, T; Laptikhovsky, V; Lefkaditou, E; Lishchenko, F; Luna, A; Liu, BL; Pierce, GJ; Pissarra, V; Reveillac, E; Romanov, EV; Rosa, R; Roscian, M; Rose-Mann, L; Rouget, I; Sánchez, P; Sánchez-Márquez, A; Seixas, S; Souquet, L; Varela, J; Vidal, EAG; Cherel, Y</t>
  </si>
  <si>
    <t>Xavier, Jose C.; Golikov, Alexey V.; Queiros, Jose P.; Perales-Raya, Catalina; Rosas-Luis, Rigoberto; Abreu, Jose; Bello, Giambattista; Bustamante, Paco; Capaz, Juan C.; Dimkovikj, Valerie H.; Gonzalez, Angel F.; Guimaro, Hugo; Guerra-Marrero, Airam; Gomes-Pereira, Jose N.; Hernandez-Urcera, Jorge; Kubodera, Tsunemi; Laptikhovsky, Vladimir; Lefkaditou, Evgenia; Lishchenko, Fedor; Luna, Amanda; Liu, Bilin; Pierce, Graham J.; Pissarra, Vasco; Reveillac, Elodie; Romanov, Evgeny V.; Rosa, Rui; Roscian, Marjorie; Rose-Mann, Lisa; Rouget, Isabelle; Sanchez, Pilar; Sanchez-Marquez, Antoni; Seixas, Sonia; Souquet, Louise; Varela, Jaquelino; Vidal, Erica A. G.; Cherel, Yves</t>
  </si>
  <si>
    <t>The significance of cephalopod beaks as a research tool: An update (vol 13, 1038064, 2022)</t>
  </si>
  <si>
    <t>Cephalopod ecology; beak taxonomy; composition; morphology; microstructure; paleontology; cephalopod trophic dynamics; cephalopod population dynamics; cephalopod ecotoxicology</t>
  </si>
  <si>
    <t>[Xavier, Jose C.; Queiros, Jose P.; Abreu, Jose; Guimaro, Hugo; Seixas, Sonia] Univ Coimbra, Marine &amp; Environm Sci Ctr, Dept Life Sci, ARNET Aquat Res Network, Coimbra, Portugal; [Xavier, Jose C.; Queiros, Jose P.; Abreu, Jose; Guimaro, Hugo] NERC, British Antarctic Survey, Cambridge, England; [Golikov, Alexey V.] GEOMAR Helmholtz Ctr Ocean Res Kiel, Kiel, Germany; [Perales-Raya, Catalina] CSIC, IEO, Santa Cruz De Tenerife, Spain; [Rosas-Luis, Rigoberto] CONACYT Tecnol Nacl Mexico IT, Chetmal, Quintana Roo, Mexico; [Bustamante, Paco; Reveillac, Elodie] La Rochelle Univ, Littoral Environm &amp; Soc LIENSs, CNRS, UMR 7266, La Rochelle, France; [Bustamante, Paco] IUF, Paris, France; [Capaz, Juan C.] Univ Algarve, Ctr Marine Sci, Campus Gambelas, Faro, Portugal; [Dimkovikj, Valerie H.] Coastal Carolina Univ, Dept Marine Sci, Conway, SC USA; [Gonzalez, Angel F.; Hernandez-Urcera, Jorge; Pierce, Graham J.] CSIC, Inst Invest Marinas, Vigo, Spain; [Guimaro, Hugo; Guerra-Marrero, Airam] Univ Lad Palmas de Gran Canaria, IU ECOAQUA, Edf Ciencias Basicas,Campus Tafira, Las Palmas Gran Canaria, Spain; [Gomes-Pereira, Jose N.] Atlantic Naturalist Assoc, Horta, Portugal; [Kubodera, Tsunemi] Natl Museum Nat &amp; Sci, Tokyo, Japan; [Laptikhovsky, Vladimir] CEFAS, Lowestoft, Suffolk, England; [Lefkaditou, Evgenia] HCMR, Athens, Greece; [Lishchenko, Fedor] Russian Acad Sci, AN Severtsov Inst Ecol &amp; Evolut, Lab Ecol &amp; Morphol Marine Invertebrates, Moscow, Russia; [Luna, Amanda] Univ Vigo, Fac Marine Sci, Dept Ecol &amp; Anim Biol, Vigo, Spain; [Liu, Bilin] Shanghai Ocean Univ, Coll Marine Sci, Shanghai, Peoples R China; [Pissarra, Vasco; Rosa, Rui; Varela, Jaquelino] Univ Lisbon, Fac Ciencias, MARE Marine &amp; Environm Sci Ctr, Lab Maritimo Guia,ARNET Aquat Res Network, Cascais, Portugal; [Romanov, Evgeny V.] Ctr Tech Rech &amp; Valorisat Milieux Aquat CITEB, Le Port, Ile De La Reuni, France; [Roscian, Marjorie; Rouget, Isabelle] Sorbonne Univ, CR2P, CNRS, Paris, France; [Rose-Mann, Lisa] Univ S Florida, Coll Marine Sci, St Petersburg, FL USA; [Sanchez, Pilar; Sanchez-Marquez, Antoni] CSIC, Inst Ciences Mar, Barcelona, Spain; [Seixas, Sonia] Univ Aberta, Rua Escola Politecn, Lisbon, Portugal; [Souquet, Louise] UCL, Fac Engn Sci, Dept Mech Engn, London, England; [Vidal, Erica A. G.] Fed Univ Parana UFPR, Ctr Marine Studies, Pontal Do Parana, PR, Brazil; [Cherel, Yves] La Rochelle Univ, Ctr Etud Biol Chize, CNRS, UMR 7372, Villiers En Bois, France</t>
  </si>
  <si>
    <t>Universidade de Coimbra; UK Research &amp; Innovation (UKRI); Natural Environment Research Council (NERC); NERC British Antarctic Survey; Helmholtz Association; GEOMAR Helmholtz Center for Ocean Research Kiel; Consejo Superior de Investigaciones Cientificas (CSIC); Centre National de la Recherche Scientifique (CNRS); CNRS - Institute of Ecology &amp; Environment (INEE); Universidade do Algarve; Coastal Carolina University; Consejo Superior de Investigaciones Cientificas (CSIC); CSIC - Instituto de Investigaciones Marinas (IIM); National Museum of Nature and Science; Centre for Environment Fisheries &amp; Aquaculture Science; Hellenic Centre for Marine Research; Russian Academy of Sciences; Saratov Scientific Center of the Russian Academy of Sciences; Severtsov Institute of Ecology &amp; Evolution; Universidade de Vigo; Shanghai Ocean University; Universidade de Lisboa; Centre National de la Recherche Scientifique (CNRS); Sorbonne Universite; State University System of Florida; University of South Florida; Consejo Superior de Investigaciones Cientificas (CSIC); CSIC - Centro Mediterraneo de Investigaciones Marinas y Ambientales (CMIMA); CSIC - Instituto de Ciencias del Mar (ICM); Universidade Aberta; University of London; University College London; Universidade Federal do Parana; Centre National de la Recherche Scientifique (CNRS); CNRS - Institute of Ecology &amp; Environment (INEE)</t>
  </si>
  <si>
    <t>Xavier, JC (corresponding author), Univ Coimbra, Marine &amp; Environm Sci Ctr, Dept Life Sci, ARNET Aquat Res Network, Coimbra, Portugal.;Xavier, JC (corresponding author), NERC, British Antarctic Survey, Cambridge, England.</t>
  </si>
  <si>
    <t>jxavier@zoo.uc.pt</t>
  </si>
  <si>
    <t>Perales-Raya, Catalina/ABA-1332-2021; Xavier, José/KFB-6739-2024; Guímaro, Hugo/JNE-7768-2023; Rosas-Luis, Rigoberto/AAB-8012-2019; Golikov, Alexey/T-3504-2019; Bustamante, Paco/G-5833-2011; Rosa, Rui/A-4580-2009; Seixas, Sónia/E-3430-2015; Lishchenko, Fedor/AAR-2800-2021</t>
  </si>
  <si>
    <t>Perales-Raya, Catalina/0000-0001-7782-2561; Rosas-Luis, Rigoberto/0000-0002-7785-7120; Golikov, Alexey/0000-0002-1596-2857; Bustamante, Paco/0000-0003-3877-9390; Rosa, Rui/0000-0003-2801-5178; Seixas, Sónia/0000-0002-9635-6321; Lishchenko, Fedor/0000-0001-8340-346X; Queiros, Jose Pedro/0000-0003-2763-2529; Guimaro, Hugo/0000-0002-9418-3439; Guerra, Airam/0000-0002-8226-1786; /0000-0002-9621-6660</t>
  </si>
  <si>
    <t>10.3389/fphys.2023.1140110</t>
  </si>
  <si>
    <t>9K1YF</t>
  </si>
  <si>
    <t>WOS:000940668100001</t>
  </si>
  <si>
    <t>Veres, AN; Ekaykin, AA; Golobokova, LP; Khodzher, TV; Khuriganowa, OI; Turkeev, AV</t>
  </si>
  <si>
    <t>Veres, Arina N.; Ekaykin, Alexey A.; Golobokova, Liudmila P.; Khodzher, Tamara V.; Khuriganowa, Olga I.; Turkeev, Alexey V.</t>
  </si>
  <si>
    <t>A record of volcanic eruptions over the past 2,200 years from Vostok firn cores, central East Antarctica</t>
  </si>
  <si>
    <t>volcanic inventory; Vostok station; Late Holocene; firn core; East Antarctica; non-sea-salt sulfates; electrical conductivity</t>
  </si>
  <si>
    <t>POLAR ICE CORES; SNOW; ACCUMULATION; CLIMATE; AEROSOL; CHRONOLOGY; BCE</t>
  </si>
  <si>
    <t>Introduction: The products of volcanic eruptions found in the snow, firn and ice deposits of the polar ice sheets are precious sources of information on the volcanic forcing of the climate system in the recent or remote past. On the other hand, the layers containing the traces of well-known eruptions serve as absolute age markers that help to construct the depth-age scale for the snow-firn thickness.Methods: In this study we present new records of the sulfate concentrations and electrical conductivity (ECM) from three shallow (up to 70 m depth) firn cores drilled in the vicinity of Vostok station (central East Antarctica).Results: In the non-sea-salt sulfate and ECM profiles we were able to identify 68 peaks that can be interpreted as traces of volcanic events.Discussion: 22 of these peaks can be unambiguously attributed to well-known volcanic eruptions (including Tambora 1816 CE, Huaynaputina 1601 CE, Samalas 1258 CE, Ilopango 541 CE and others), which allowed to construct a robust depth-age scale for the cores. 37 events have their counterparts in other Antarctic cores, but cannot be associated with welldated eruptions. Finally, 9 peaks do not have analogues in the other cores, i.e., they may be traces of so far unknown volcanic events. According to the newly constructed depth-age function, the deepest studied firn layers (70.20 m) are dated by 192 BCE.</t>
  </si>
  <si>
    <t>[Veres, Arina N.; Ekaykin, Alexey A.; Turkeev, Alexey V.] Arctic &amp; Antarctic Res Inst, Climate &amp; Environm Res Lab, St Petersburg, Russia; [Ekaykin, Alexey A.] St Petersburg State Univ, Inst Earth Sci, St Petersburg, Russia; [Golobokova, Liudmila P.; Khodzher, Tamara V.; Khuriganowa, Olga I.] Russian Acad Sci, Limnol Inst, Lab Hydrochem &amp; Chem Atmosphere, Siberian Branch, Irkutsk, Russia; [Veres, Arina N.] Arctic &amp; Antarctic Res Inst, Climate &amp; Environm Res Lab, St Petersburg, Russia; [Ekaykin, Alexey A.] St Petersburg State Univ, Arctic &amp; Antarctic Res Inst, Inst Earth Sci, Climate &amp; Environm Res Lab, St Petersburg, Russia</t>
  </si>
  <si>
    <t>Arctic &amp; Antarctic Research Institute; Saint Petersburg State University; Irkutsk Science Centre of the Russian Academy of Sciences; Russian Academy of Sciences; Limnological Institute SB RAS; Arctic &amp; Antarctic Research Institute; Arctic &amp; Antarctic Research Institute; Saint Petersburg State University</t>
  </si>
  <si>
    <t>Veres, AN (corresponding author), Arctic &amp; Antarctic Res Inst, Climate &amp; Environm Res Lab, St Petersburg, Russia.;Ekaykin, AA (corresponding author), St Petersburg State Univ, Arctic &amp; Antarctic Res Inst, Inst Earth Sci, Climate &amp; Environm Res Lab, St Petersburg, Russia.</t>
  </si>
  <si>
    <t>veres@aari.ru; ekaykin@aari.ru</t>
  </si>
  <si>
    <t>Ekaykin, Alexey A./K-9894-2015</t>
  </si>
  <si>
    <t>Russian Science Foundation [21-17-00246]</t>
  </si>
  <si>
    <t>The Funding for this research was provided by Russian Science Foundation grant 21-17-00246.</t>
  </si>
  <si>
    <t>10.3389/feart.2023.1075739</t>
  </si>
  <si>
    <t>9C3ZA</t>
  </si>
  <si>
    <t>WOS:000935358400001</t>
  </si>
  <si>
    <t>Hurd, CL; Wright, JT; Layton, C; Strain, EMA; Britton, D; Visch, W; Barrett, N; Bennett, S; Chang, KJL; Edgar, G; Fitton, JH; Greeno, D; Jameson, I; Johnson, CR; Karpiniec, SS; Kraft, GT; Ling, SD; Macleod, CM; Paine, ER; Park, A; Sanderson, JC; Schmid, M; Scott, FJ; Shelamoff, V; Stringer, DN; Tatsumi, M; White, CA; Willis, A</t>
  </si>
  <si>
    <t>Hurd, Catriona L.; Wright, Jeffrey T.; Layton, Cayne; Strain, Elisabeth M. A.; Britton, Damon; Visch, Wouter; Barrett, Neville; Bennett, Scott; Chang, Kim Jye Lee; Edgar, Graham; Fitton, J. Helen; Greeno, Dean; Jameson, Ian; Johnson, Craig R.; Karpiniec, Sam S.; Kraft, Gerald T.; Ling, Scott D.; Macleod, Catriona M.; Paine, Ellie R.; Park, Ahyoung; Sanderson, J. Craig; Schmid, Matthias; Scott, Fiona J.; Shelamoff, Victor; Stringer, Damien N.; Tatsumi, Masayuki; White, Camille A.; Willis, Anusuya</t>
  </si>
  <si>
    <t>From Tasmania to the world: long and strong traditions in seaweed use, research, and development</t>
  </si>
  <si>
    <t>BOTANICA MARINA</t>
  </si>
  <si>
    <t>aquaculture; ecology; ocean global change; physiology; seaweeds; taxonomy</t>
  </si>
  <si>
    <t>KELP UNDARIA-PINNATIFIDA; PHYTAL ANIMAL COMMUNITIES; URCHIN HELIOCIDARIS-ERYTHROGRAMMA; MARINE RESERVES; BENTHIC HABITAT; BIOGEOGRAPHIC VARIATION; MACROALGAL ASSEMBLAGES; DURVILLAEA-POTATORUM; BIOTIC INTERACTIONS; ECKLONIA-RADIATA</t>
  </si>
  <si>
    <t>Tasmania is an island state in south-eastern Australia that has a long and rich history of seaweed use, research, and development. It is a cool-temperate system with 750 macroalgal species currently described. Tasmanian Aboriginal peoples have lived on this land for at least 40,000 years utilising seaweed as food, shelter, water carriers and medicine, as well as for ceremonial reasons. Modern taxonomic investigations began with French naturalist Jacques-Julien Houtou de La Billardiere in 1791, and there are 184 type specimens of seaweeds originating from Tasmania. Ecological and physiological studies of seaweed in Tasmania have focussed on the dominant large brown seaweeds (Laminariales and Fucales) and have contributed significantly to the global understanding of these systems, particularly related to community resilience, seaweed-urchin interactions, their habitat-forming role for other species, responses to global change, and restoration of lost habitat. Ocean warming and changing oceanography have caused a 95% decline in surface canopy cover of Macrocystis pyrifera in eastern Tasmania since the 1950s and led to a focus on restoring these lost forests. Tasmanian seaweed communities have a uniquely high proportion (up to &amp; SIM;90%) of seaweeds that rely solely on CO2 for photosynthesis, which has implications for responses to ocean acidification. Tasmania has industries that use brown seaweeds for fucoidan extraction and beach-cast harvest for alginates, fertilisers, and feeds for agriculture. New aquaculture initiatives include integrated multi-trophic aquaculture, offshore kelp mariculture and Asparagopsis cultivation for bioactive products to reduce methane emissions in ruminants, as and the development of unexploited species including Caulerpa spp. for food.</t>
  </si>
  <si>
    <t>[Hurd, Catriona L.; Wright, Jeffrey T.; Layton, Cayne; Strain, Elisabeth M. A.; Britton, Damon; Visch, Wouter; Barrett, Neville; Bennett, Scott; Edgar, Graham; Johnson, Craig R.; Ling, Scott D.; Macleod, Catriona M.; Paine, Ellie R.; Sanderson, J. Craig; Schmid, Matthias; Shelamoff, Victor; Tatsumi, Masayuki; White, Camille A.] Univ Tasmania, Inst Marine &amp; Antarctic Studies, 20 Castray Esplanade, Hobart, TAS 7001, Australia; [Layton, Cayne; Greeno, Dean] Univ Tasmania, Ctr Marine Socioecol, Hobart, TAS, Australia; [Chang, Kim Jye Lee; Jameson, Ian; Willis, Anusuya] CSIRO, Australian Natl Algae Culture Collect, Natl Collect &amp; Marine Infrastructure, Hobart, TAS, Australia; [Fitton, J. Helen] RDAdvisor, Hobart, TAS, Australia; [Greeno, Dean] Univ Tasmania, Riawunna Ctr, Launceston, TAS, Australia; [Karpiniec, Sam S.; Park, Ahyoung; Stringer, Damien N.] Marinova Pty Ltd, 249 Kennedy Dr, Cambridge, TAS 7170, Australia; [Kraft, Gerald T.] Univ Melbourne, Sch Biol Sci, Parkville, VIC 3010, Australia; [Kraft, Gerald T.; Scott, Fiona J.] Tasmanian Museum &amp; Art Gallery, Tasmanian Herbarium, Hobart, TAS, Australia; [Schmid, Matthias] Trinity Coll Dublin, Sch Nat Sci, Dublin, Ireland; [Tatsumi, Masayuki] Sea Forest Ltd, 488 Freestone Point Rd, Triabunna, TAS 7190, Australia</t>
  </si>
  <si>
    <t>University of Tasmania; University of Tasmania; Commonwealth Scientific &amp; Industrial Research Organisation (CSIRO); University of Tasmania; University of Melbourne; Trinity College Dublin</t>
  </si>
  <si>
    <t>Hurd, CL; Wright, JT; Layton, C; Strain, EMA; Britton, D; Visch, W (corresponding author), Univ Tasmania, Inst Marine &amp; Antarctic Studies, 20 Castray Esplanade, Hobart, TAS 7001, Australia.;Layton, C (corresponding author), Univ Tasmania, Ctr Marine Socioecol, Hobart, TAS, Australia.</t>
  </si>
  <si>
    <t>Catriona.Hurd@utas.edu.au; jeffrey.wright@utas.edu.au; Cayne.Layton@utas.edu.au; elisabeth.strain@utas.edu.au; damon.britton@utas.edu.au; wouter.visch@utas.edu.au</t>
  </si>
  <si>
    <t>Hurd, Catriona L/J-2411-2013; Strain, Elisabeth/U-3520-2017; Wilis, Anusuya/AAV-6917-2020; Edgar, Graham/AAY-3797-2020; Layton, Cayne/J-8443-2013; Bennett, Scott/A-8747-2016; Barrett, Neville/J-7593-2014</t>
  </si>
  <si>
    <t>Wilis, Anusuya/0000-0003-0829-7446; Edgar, Graham/0000-0003-0833-9001; Layton, Cayne/0000-0002-3390-6437; Bennett, Scott/0000-0003-2969-7430; Visch, Wouter/0000-0003-4291-6239; Barrett, Neville/0000-0002-6167-1356; Britton, Damon/0000-0002-9029-7527</t>
  </si>
  <si>
    <t>0006-8055</t>
  </si>
  <si>
    <t>1437-4323</t>
  </si>
  <si>
    <t>BOT MAR</t>
  </si>
  <si>
    <t>Bot. Marina</t>
  </si>
  <si>
    <t>10.1515/bot-2022-0061</t>
  </si>
  <si>
    <t>8N8XF</t>
  </si>
  <si>
    <t>WOS:000922672800001</t>
  </si>
  <si>
    <t>Wang, YT; Zhang, XY; Ning, WT; Lazzara, MA; Ding, MH; Reijmer, CH; Smeets, PCJP; Grigioni, P; Heil, P; Thomas, ER; Mikolajczyk, D; Welhouse, LJ; Keller, LM; Zhai, ZS; Sun, YQ; Hou, SG</t>
  </si>
  <si>
    <t>Wang, Yetang; Zhang, Xueying; Ning, Wentao; Lazzara, Matthew A.; Ding, Minghu; Reijmer, Carleen H.; Smeets, Paul C. J. P.; Grigioni, Paolo; Heil, Petra; Thomas, Elizabeth R.; Mikolajczyk, David; Welhouse, Lee J.; Keller, Linda M.; Zhai, Zhaosheng; Sun, Yuqi; Hou, Shugui</t>
  </si>
  <si>
    <t>The AntAWS dataset: a compilation of Antarctic automatic weather stationobservations</t>
  </si>
  <si>
    <t>SURFACE MASS-BALANCE; ATMOSPHERIC BOUNDARY-LAYER; ROSS ICE SHELF; DOME-C; WIND-FIELD; TEMPERATURE; CLIMATE; REANALYSES; AUTUMN; TOWER</t>
  </si>
  <si>
    <t>A new meteorological dataset derived from records of Antarctic automatic weather stations (here called the AntAWS dataset) at 3 h, daily and monthly resolutions including quality control information is presented here. This dataset integrates the measurements of air temperature, air pressure, relative humidity, and wind speed and direction from 267 Antarctic AWSs obtained from 1980 to 2021. The AWS spatial distribution remains heterogeneous, with the majority of instruments located in near-coastal areas and only a few inland on the East Antarctic Plateau. Among these 267 AWSs, 63 have been operating for more than 20 years and 27 of them in excess of more than 30 years. Of the five meteorological parameters, the measurements of air temperature have the best continuity and the highest data integrity. The overarching aim of this comprehensive compilation of AWS observations is to make these data easily and widely accessible for efficient use in local, regional and continental studies; it may be accessed at https://doi.org/10.48567/key7-ch19 (Wang et al., 2022). This dataset is invaluable for improved characterization of the surface climatology across the Antarctic continent, to improve our understanding of Antarctic surface snow-atmosphere interactions including precipitation events associated with atmospheric rivers and to evaluate regional climate models or meteorological reanalysis products.</t>
  </si>
  <si>
    <t>[Wang, Yetang; Zhang, Xueying; Ning, Wentao; Zhai, Zhaosheng; Sun, Yuqi] Shandong Normal Univ, Coll Geog &amp; Environm, Jinan 250014, Peoples R China; [Lazzara, Matthew A.; Mikolajczyk, David; Welhouse, Lee J.; Keller, Linda M.] Univ Wisconsin, Antarctic Meteorol Res &amp; Data Ctr, Space Sci &amp; Engn Ctr, Madison, WI USA; [Ding, Minghu] Chinese Acad Meteorol Sci, State Key Lab Severe Weather, Beijing 100081, Peoples R China; [Reijmer, Carleen H.; Smeets, Paul C. J. P.] Univ Utrecht, Inst Marine &amp; Atmospher Res Utrecht, Utrecht, Netherlands; [Grigioni, Paolo] ENEA, Lab Measurements &amp; Observat Environm &amp; Climate, I-00123 Rome, Italy; [Heil, Petra] Australian Antarctic Div, Kingston, Tas 7050, Australia; [Heil, Petra] Univ Tasmania, Australian Antarctic Program Partnership, Hobart, Tas 7001, Australia; [Thomas, Elizabeth R.] British Antarctic Survey, Cambridge, England; [Hou, Shugui] Shanghai Jiao Tong Univ, Sch Oceanog, Shanghai 200240, Peoples R China</t>
  </si>
  <si>
    <t>Shandong Normal University; University of Wisconsin System; University of Wisconsin Madison; China Meteorological Administration; Chinese Academy of Meteorological Sciences (CAMS); Utrecht University; Italian National Agency New Technical Energy &amp; Sustainable Economics Development; Australian Antarctic Division; University of Tasmania; UK Research &amp; Innovation (UKRI); Natural Environment Research Council (NERC); NERC British Antarctic Survey; Shanghai Jiao Tong University</t>
  </si>
  <si>
    <t>Wang, YT (corresponding author), Shandong Normal Univ, Coll Geog &amp; Environm, Jinan 250014, Peoples R China.;Hou, SG (corresponding author), Shanghai Jiao Tong Univ, Sch Oceanog, Shanghai 200240, Peoples R China.</t>
  </si>
  <si>
    <t>yetangwang@sdnu.edu.cn; shuguihou@sjtu.edu.cn</t>
  </si>
  <si>
    <t>LI, SHA/JNR-9956-2023; zhang, jiayue/JUF-0129-2023; lu, yuan/JZD-0832-2024; Zhang, Wenbin/JXX-8070-2024; liu, sha/JXL-6600-2024; Yu, Yue/JWP-9103-2024; zhang, xueying/JMB-7808-2023; Thomas, Elizabeth Ruth/ADF-3660-2022; Ding, Minghu/AFU-3600-2022</t>
  </si>
  <si>
    <t>Thomas, Elizabeth Ruth/0000-0002-3010-6493; Ding, Minghu/0000-0002-1142-6598; Reijmer, Carleen/0000-0001-8299-3883; Heil, Petra/0000-0003-2078-0342; Lazzara, Matthew/0000-0002-4343-498X</t>
  </si>
  <si>
    <t>National Natural Science Foundation of China [41971081, 41830644, 42122047]; National Key Research and Development Program of China [2020YFA0608202]; Strategic Priority Research Program of the Chinese Academy of Sciences [XDA19070103]; Project for Outstanding Youth Innovation Team in the Universities of Shandong Province [2019KJH011]; Basic Research Fund of the Chinese Academy of Meteorological Sciences [2021Y021, 2021Z006]; US National Science Foundation Office of Polar Programs [1924730, 1951720, 1951603]; Australian Antarctic Program [AAS187, 4007, 5032, 4506]; Australian government, Antarctic Science Collaboration Initiative program [ASCI000002]; International Space Science Institute (Switzerland) [405]; Office of Polar Programs (OPP); Directorate For Geosciences [1924730, 1951720] Funding Source: National Science Foundation; Office of Polar Programs (OPP); Directorate For Geosciences [1951603] Funding Source: National Science Foundation</t>
  </si>
  <si>
    <t>National Natural Science Foundation of China(National Natural Science Foundation of China (NSFC)); National Key Research and Development Program of China; Strategic Priority Research Program of the Chinese Academy of Sciences(Chinese Academy of Sciences); Project for Outstanding Youth Innovation Team in the Universities of Shandong Province; Basic Research Fund of the Chinese Academy of Meteorological Sciences; US National Science Foundation Office of Polar Programs(National Science Foundation (NSF)); Australian Antarctic Program; Australian government, Antarctic Science Collaboration Initiative program(Australian Government); International Space Science Institute (Switzerland); Office of Polar Programs (OPP); Directorate For Geosciences(National Science Foundation (NSF)NSF - Directorate for Geosciences (GEO)); Office of Polar Programs (OPP); Directorate For Geosciences(National Science Foundation (NSF)NSF - Directorate for Geosciences (GEO))</t>
  </si>
  <si>
    <t>This work was provided by the National Natural Science Foundation of China (41971081, 41830644 and 42122047), the National Key Research and Development Program of China (2020YFA0608202), the Strategic Priority Research Program of the Chinese Academy of Sciences (XDA19070103), the Project for Outstanding Youth Innovation Team in the Universities of Shandong Province (2019KJH011) and the Basic Research Fund of the Chinese Academy of Meteorological Sciences (2021Y021 and 2021Z006). This work is also supported by funding to the University ofWisconsin-Madison and Madison Area Technical College from the US National Science Foundation Office of Polar Programs (1924730, 1951720, and 1951603) and by the Australian Antarctic Program under projects AAS187, 4007, 5032 and 4506. Petra Heil was supported by grant funding from the Australian government as part of the Antarctic Science Collaboration Initiative program (ASCI000002; Australian Antarctic Program Partnership) and the International Space Science Institute (Switzerland) Project 405.</t>
  </si>
  <si>
    <t>JAN 24</t>
  </si>
  <si>
    <t>10.5194/essd-15-411-2023</t>
  </si>
  <si>
    <t>8I6XP</t>
  </si>
  <si>
    <t>WOS:000921875400001</t>
  </si>
  <si>
    <t>Mächler, L; Baggenstos, D; Krauss, F; Schmitt, J; Bereiter, B; Walther, R; Reinhard, C; Tuzson, B; Emmenegger, L; Fischer, H</t>
  </si>
  <si>
    <t>Machler, Lars; Baggenstos, Daniel; Krauss, Florian; Schmitt, Jochen; Bereiter, Bernhard; Walther, Remo; Reinhard, Christoph; Tuzson, Bela; Emmenegger, Lukas; Fischer, Hubertus</t>
  </si>
  <si>
    <t>Laser-induced sublimation extraction for centimeter-resolution multi-species greenhouse gas analysis on ice cores</t>
  </si>
  <si>
    <t>ATMOSPHERIC MEASUREMENT TECHNIQUES</t>
  </si>
  <si>
    <t>ATMOSPHERIC NITROUS-OXIDE; HIGH-PRECISION; MIXING RATIOS; ISOTOPIC COMPOSITION; CO2; METHANE; N2O; AIR; CH4; VARIABILITY</t>
  </si>
  <si>
    <t>Precision, accuracy, and temporal resolution are key to making full use of atmospheric trace gas records in ice cores. These aspects will become especially crucial for ice cores that aim to extend the ice core record to the last 1.5 Myr, i.e., across the Mid-Pleistocene Transition (as currently drilled within the European project Beyond EPICA - Oldest Ice Core (BE-OIC)). The ice from this period is expected to be close to bedrock and, due to glacier flow, extremely thinned with 15 000 years of climate history contained in only 1 m of ice. Accordingly, for a century-scale resolution, the sample vertical extent must be reduced to a few centimeters containing only about 1-2 mL air STP.We present a novel combined system for the extraction and the simultaneous measurement of CO2, CH4, and N2O concentrations, as well as delta(CO2)-C-13, which achieves a vertical resolution of 1-2 cm (3.5x3.5 cm cross section) with precisions of 0.4 ppm, 3 ppb, 1 ppb, and 0.04 % , respectively, in sublimation tests with standard gas over gas-free ice. This is accomplished by employing a directional and continuous laser-induced sublimation followed by analysis of the sample gas by a quantum cascade laser absorption spectrometer (QCLAS). Besides the low sample volume requirements and the vertical resolution capabilities, the described method holds additional advantages over previous methods, including the immunity of the highly specific QCLAS analysis to drilling fluid contamination as well as the non-destructive nature of the spectroscopic gas analysis. The combined extraction and analysis system was extensively tested by sublimating gas-free ice with introduction of a standard gas to determine the accuracy and characterize potential artifacts. Moreover, Antarctic ice samples were measured to confirm the measurement performance, covering the range of variability expected in Pleistocene ice and highlighting the vertical resolution capabilities critical for its application within BE-OIC.</t>
  </si>
  <si>
    <t>[Machler, Lars; Baggenstos, Daniel; Krauss, Florian; Schmitt, Jochen; Bereiter, Bernhard; Walther, Remo; Reinhard, Christoph; Fischer, Hubertus] Univ Bern, Climate &amp; Environm Phys, CH-3012 Bern, Switzerland; [Machler, Lars; Baggenstos, Daniel; Krauss, Florian; Schmitt, Jochen; Bereiter, Bernhard; Walther, Remo; Reinhard, Christoph; Fischer, Hubertus] Univ Bern, Oeschger Ctr Climate Change Res, CH-3012 Bern, Switzerland; [Bereiter, Bernhard; Tuzson, Bela; Emmenegger, Lukas] Empa Swiss Fed Lab Mat Sci &amp; Technol, Lab Air Pollut Environm Technol, CH-8600 Dubendorf, Switzerland; [Baggenstos, Daniel] Australian Antarctic Div, Antarctic Climate Program, Channel Highway, Kingston, Tas 7050, Australia</t>
  </si>
  <si>
    <t>University of Bern; University of Bern; Swiss Federal Institutes of Technology Domain; Swiss Federal Laboratories for Materials Science &amp; Technology (EMPA); Australian Antarctic Division</t>
  </si>
  <si>
    <t>Baggenstos, D (corresponding author), Univ Bern, Climate &amp; Environm Phys, CH-3012 Bern, Switzerland.;Baggenstos, D (corresponding author), Univ Bern, Oeschger Ctr Climate Change Res, CH-3012 Bern, Switzerland.;Baggenstos, D (corresponding author), Australian Antarctic Div, Antarctic Climate Program, Channel Highway, Kingston, Tas 7050, Australia.</t>
  </si>
  <si>
    <t>daniel.baggenstos@unibe.ch</t>
  </si>
  <si>
    <t>Baggenstos, Daniel/AAK-5751-2021; Schmitt, Jochen/B-7893-2009; Fischer, Hubertus/A-1211-2014</t>
  </si>
  <si>
    <t>Baggenstos, Daniel/0000-0001-9756-6884; Schmitt, Jochen/0000-0003-4695-3029; Tuzson, Bela/0000-0001-7442-5405; Fischer, Hubertus/0000-0002-2787-4221</t>
  </si>
  <si>
    <t>H2020 European Research Council [667507]; Schweizerischer National fonds zur Forderung der Wissenschaftlichen Forschung [200020B_200328]; Swiss National Science Foundation (SNF) [200020B_200328] Funding Source: Swiss National Science Foundation (SNF); European Research Council (ERC) [667507] Funding Source: European Research Council (ERC)</t>
  </si>
  <si>
    <t>H2020 European Research Council(Horizon 2020European Research Council (ERC)); Schweizerischer National fonds zur Forderung der Wissenschaftlichen Forschung(Swiss National Science Foundation (SNSF)); Swiss National Science Foundation (SNF)(Swiss National Science Foundation (SNSF)); European Research Council (ERC)(European Research Council (ERC)Spanish Government)</t>
  </si>
  <si>
    <t>This research has been supported by the H2020 European Research Council (grant no. 667507) and the Schweizerischer National fonds zur Forderung der Wissenschaftlichen Forschung (grant no. 200020B_200328).</t>
  </si>
  <si>
    <t>1867-1381</t>
  </si>
  <si>
    <t>1867-8548</t>
  </si>
  <si>
    <t>ATMOS MEAS TECH</t>
  </si>
  <si>
    <t>Atmos. Meas. Tech.</t>
  </si>
  <si>
    <t>10.5194/amt-16-355-2023</t>
  </si>
  <si>
    <t>8I7AP</t>
  </si>
  <si>
    <t>WOS:000921883200001</t>
  </si>
  <si>
    <t>Rampasso, IS; Anholon, R; Quelhas, OLG; Velazquez, L; Mac-Lean, C</t>
  </si>
  <si>
    <t>Rampasso, Izabela Simon; Anholon, Rosley; Quelhas, Osvaldo Luiz Goncalves; Velazquez, Luis; Mac-Lean, Claudia</t>
  </si>
  <si>
    <t>Latin American perspectives on sustainability in higher education</t>
  </si>
  <si>
    <t>INTERNATIONAL JOURNAL OF SUSTAINABILITY IN HIGHER EDUCATION</t>
  </si>
  <si>
    <t>[Rampasso, Izabela Simon] Univ Catolica Norte, Dept Ingn Ind, Coquimbo, Chile; [Anholon, Rosley] Univ Estadual Campinas, Sch Mech Engn, Campinas, Brazil; [Quelhas, Osvaldo Luiz Goncalves] Univ Fed Fluminense, Escola Engn, Niteroi, Brazil; [Velazquez, Luis] Univ Sonora, Dept Ind Engn, Div Engn, Hermosillo, Mexico; [Mac-Lean, Claudia] Univ Magallanes, GAIA Antarctic Res Ctr, Punta Arenas, Chile</t>
  </si>
  <si>
    <t>Universidad Catolica del Norte; Universidade Estadual de Campinas; Universidade Federal Fluminense; Universidad de Sonora; Universidad de Magallanes</t>
  </si>
  <si>
    <t>Rampasso, IS (corresponding author), Univ Catolica Norte, Dept Ingn Ind, Coquimbo, Chile.</t>
  </si>
  <si>
    <t>Anholon, Rosley/C-3650-2018; QUELHAS, OSVALDO OLGQ/I-8171-2017; Rampasso, Izabela Simon/H-1755-2018</t>
  </si>
  <si>
    <t>Anholon, Rosley/0000-0003-3163-6119; Rampasso, Izabela Simon/0000-0003-1633-6628</t>
  </si>
  <si>
    <t>EMERALD GROUP PUBLISHING LTD</t>
  </si>
  <si>
    <t>BINGLEY</t>
  </si>
  <si>
    <t>HOWARD HOUSE, WAGON LANE, BINGLEY BD16 1WA, W YORKSHIRE, ENGLAND</t>
  </si>
  <si>
    <t>1467-6370</t>
  </si>
  <si>
    <t>1758-6739</t>
  </si>
  <si>
    <t>INT J SUST HIGHER ED</t>
  </si>
  <si>
    <t>Int. J. Sustain. High. Educ.</t>
  </si>
  <si>
    <t>10.1108/IJSHE-02-2023-523</t>
  </si>
  <si>
    <t>Green &amp; Sustainable Science &amp; Technology; Education &amp; Educational Research</t>
  </si>
  <si>
    <t>Science &amp; Technology - Other Topics; Education &amp; Educational Research</t>
  </si>
  <si>
    <t>8F1YA</t>
  </si>
  <si>
    <t>WOS:000919462500001</t>
  </si>
  <si>
    <t>Burns, SM; Bundy, RM; Abbott, W; Abdala, Z; Sterling, AR; Chappell, PD; Jenkins, BD; Buck, KN</t>
  </si>
  <si>
    <t>Burns, Shannon M.; Bundy, Randelle M.; Abbott, William; Abdala, Zuzanna; Sterling, Alexa R.; Chappell, P. Dreux; Jenkins, Bethany D.; Buck, Kristen N.</t>
  </si>
  <si>
    <t>Interactions of bioactive trace metals in shipboard Southern Ocean incubation experiments</t>
  </si>
  <si>
    <t>ATLANTIC SECTOR; IRON LIMITATION; PHYTOPLANKTON GROWTH; DISSOLVED IRON; DRAKE PASSAGE; CADMIUM; MANGANESE; ZINC; COPPER; ZN</t>
  </si>
  <si>
    <t>In the Southern Ocean, it is well-known that iron (Fe) limits phytoplankton growth. Yet, other trace metals can also affect phytoplankton physiology. This study investigated feedbacks between phytoplankton growth and dissolved Fe, manganese (Mn), cobalt (Co), nickel (Ni), copper (Cu), zinc (Zn), and cadmium (Cd) concentrations in Southern Ocean shipboard incubations. Three experiments were conducted in September-October 2016 near the West Antarctic Peninsula: Incubations 1 and 3 offshore in the Antarctic Circumpolar Current, and Incubation 2 inshore in Bransfield Strait. Additions of Fe and/or vitamin B-12 to inshore and offshore waters were employed and allowed assessment of metal (M) uptake relative to soluble reactive phosphorus (P) across a wide range of initial conditions. Offshore, treatments of &gt;1 nmol L-1 added Fe were Fe-replete, whereas inshore waters were already Fe-replete. Results suggest Mn was a secondary limiting nutrient inshore and offshore. No Fe-vitamin B-12 colimitation was observed. Overall, M:P uptake in the incubations was closely related to initial dissolved M:P for Fe, Mn, Co, Ni, and Cd, and for Cu inshore. Final concentrations of Fe and Zn were similar across light treatments of the experiments despite very different phytoplankton responses, and we observed evidence for Co/Cd/Zn substitution and for recycling of biogenic metals as inventories plateaued. In dark bottles, the absence of Mn oxidation may have allowed more efficient recycling of Fe and other trace metals. Our results provide insight into factors governing trace metal uptake, with implications for phytoplankton community composition locally and preformed micronutrient bioavailability in Southern Ocean water masses.</t>
  </si>
  <si>
    <t>[Burns, Shannon M.; Abbott, William; Buck, Kristen N.] Univ S Florida, Coll Marine Sci, St Petersburg, FL 33701 USA; [Bundy, Randelle M.] Univ Washington, Sch Oceanog, Seattle, WA USA; [Abbott, William] NOAA, Marine Operat Ctr Pacific, Newport, OR USA; [Abbott, William] Old Dominion Univ, Dept Ocean &amp; Earth Sci, Norfolk, VA USA; [Abdala, Zuzanna] NOAA, Off Habitat Conservat, Natl Marine Fisheries Serv, Silver Spring, MD USA; [Sterling, Alexa R.; Jenkins, Bethany D.] Univ Rhode Isl, Dept Cell &amp; Mol Biol, Kingston, RI USA; [Jenkins, Bethany D.] Univ Rhode Isl, Grad Sch Oceanog, Narragansett, RI USA; [Buck, Kristen N.] Oregon State Univ, Coll Earth Ocean &amp; Atmospher Sci, Corvallis, OR 97331 USA</t>
  </si>
  <si>
    <t>State University System of Florida; University of South Florida; University of Washington; University of Washington Seattle; National Oceanic Atmospheric Admin (NOAA) - USA; Old Dominion University; National Oceanic Atmospheric Admin (NOAA) - USA; University of Rhode Island; University of Rhode Island; Oregon State University</t>
  </si>
  <si>
    <t>Burns, SM; Buck, KN (corresponding author), Univ S Florida, Coll Marine Sci, St Petersburg, FL 33701 USA.;Buck, KN (corresponding author), Oregon State Univ, Coll Earth Ocean &amp; Atmospher Sci, Corvallis, OR 97331 USA.</t>
  </si>
  <si>
    <t>sburns4@usf.edu; kristen.buck@oregonstate.edu</t>
  </si>
  <si>
    <t>Buck, Kristen/O-3988-2014; Bundy, Randelle M./J-8453-2016</t>
  </si>
  <si>
    <t>Buck, Kristen/0000-0002-3871-870X; Bundy, Randelle M./0000-0002-0600-3953; Chappell, Phoebe Dreux/0000-0001-5212-6228; Abdala, Zuzanna/0000-0002-9666-8405; Burns, Shannon/0000-0002-1569-3060</t>
  </si>
  <si>
    <t>U.S. National Science Foundation [NSF OPP-1443483, NSF OPP-1443474, NSF OPP-1443646]</t>
  </si>
  <si>
    <t>U.S. National Science Foundation(National Science Foundation (NSF))</t>
  </si>
  <si>
    <t>This work was supported by funding from the U.S. National Science Foundation: NSF OPP-1443483 to KNB, NSF OPP-1443474 to BDJ, and NSF OPP-1443646 to PDC. We declare no conflicts of interest. We thank Rob Sherrell for use of his x-Niskin samplers and the Palmer LTER program for the use of their trace metal sampling rosette. We thank Travis Mellett for mobilization assistance. We also thank the captain and crew of the R/V/I/B Nathaniel B. Palmer, and students Sveinn Einarsson, Noahie Encarnacion, Kristofer Gomes, Laura Holland, and PolarTrek teacher Cara Pekarcik, for help with carrying out the incubations. We thank Ana Aguilar-Islas, Jessica Fitzsimmons, Laramie Jensen, and Angie Milne for their assistance with seaFAST method development and Salvatore Caprara, Ethan Goddard, and Kelly Deister for Element XR ICP-MS assistance at USF.</t>
  </si>
  <si>
    <t>10.1002/lno.12290</t>
  </si>
  <si>
    <t>Q4JG2</t>
  </si>
  <si>
    <t>WOS:000919802900001</t>
  </si>
  <si>
    <t>Feldmann, J; Levermann, A</t>
  </si>
  <si>
    <t>Feldmann, Johannes; Levermann, Anders</t>
  </si>
  <si>
    <t>Timescales of outlet-glacier flow with negligible basal friction: theory, observations and modeling</t>
  </si>
  <si>
    <t>MARINE ICE-SHEET; SURFACE MASS-BALANCE; GROUNDING-LINE; WEST ANTARCTICA; THWAITES GLACIER; PINE ISLAND; PISM-PIK; GREENLAND; STABILITY; RETREAT</t>
  </si>
  <si>
    <t>The timescales of the flow and retreat of Greenland's and Antarctica's outlet glaciers and their potential instabilities are arguably the largest uncertainty in future sea-level projections. Here we derive a scaling relation that allows the comparison of the timescales of observed complex ice flow fields with geometric similarity. The scaling relation is derived under the assumption of fast, laterally confined, geometrically similar outlet-glacier flow over a slippery bed, i.e., with negligible basal friction. According to the relation, the time scaling of the outlet flow is determined by the product of the inverse of (1) the fourth power of the width-to-length ratio of its confinement, (2) the third power of the confinement depth and (3) the temperature-dependent ice softness. For the outflow at the grounding line of streams with negligible basal friction, this means that the volume flux is proportional to the ice softness and the bed depth, but goes with the fourth power of the gradient of the bed and with the fifth power of the width of the stream. We show that the theoretically derived scaling relation is supported by the observed velocity scaling of outlet glaciers across Greenland as well as by idealized numerical simulations of marine ice-sheet instabilities (MISIs) as found in Antarctica. Assuming that changes in the ice-flow velocity due to ice-dynamic imbalance are proportional to the equilibrium velocity, we combine the scaling relation with a statistical analysis of the topography of 13 MISI-prone Antarctic outlets. Under these assumptions, the timescales in response to a potential destabilization are fastest for Thwaites Glacier in West Antarctica and Mellor, Ninnis and Cook Glaciers in East Antarctica; between 16 and 67 times faster than for Pine Island Glacier. While the applicability of our results is limited by several strong assumptions, the utilization and potential further development of the presented scaling approach may help to constrain timescale estimates of outlet-glacier flow, augmenting the commonly exploited and comparatively computationally expensive approach of numerical modeling.</t>
  </si>
  <si>
    <t>[Feldmann, Johannes; Levermann, Anders] Potsdam Inst Climate Impact Res PIK, Potsdam, Germany; [Levermann, Anders] Univ Potsdam, Inst Phys, Potsdam, Germany; [Levermann, Anders] Columbia Univ, LDEO, New York, NY 10027 USA</t>
  </si>
  <si>
    <t>Potsdam Institut fur Klimafolgenforschung; University of Potsdam; Columbia University</t>
  </si>
  <si>
    <t>Feldmann, J; Levermann, A (corresponding author), Potsdam Inst Climate Impact Res PIK, Potsdam, Germany.;Levermann, A (corresponding author), Univ Potsdam, Inst Phys, Potsdam, Germany.;Levermann, A (corresponding author), Columbia Univ, LDEO, New York, NY 10027 USA.</t>
  </si>
  <si>
    <t>johannes.feldmann@pik-potsdam.de; anders.levermann@pik-potsdam.de</t>
  </si>
  <si>
    <t>Levermann, Anders/G-4666-2011</t>
  </si>
  <si>
    <t>Levermann, Anders/0000-0003-4432-4704; Feldmann, Johannes/0000-0003-4210-0221</t>
  </si>
  <si>
    <t>10.5194/tc-17-327-2023</t>
  </si>
  <si>
    <t>8C5JG</t>
  </si>
  <si>
    <t>WOS:000917643800001</t>
  </si>
  <si>
    <t>Zoumplis, A; Kolody, B; Kaul, D; Zheng, H; Venepally, P; McKnight, DM; Takacs-Vesbach, C; DeVries, A; Allen, AE</t>
  </si>
  <si>
    <t>Zoumplis, A.; Kolody, B.; Kaul, D.; Zheng, H.; Venepally, P.; McKnight, D. M.; Takacs-Vesbach, C.; DeVries, A.; Allen, A. E.</t>
  </si>
  <si>
    <t>Impact of meltwater flow intensity on the spatiotemporal heterogeneity of microbial mats in the McMurdo Dry Valleys, Antarctica</t>
  </si>
  <si>
    <t>TAYLOR VALLEY; RIBOSOMAL-RNA; POLAR DESERT; COMMUNITY STRUCTURE; CYANOBACTERIAL MAT; GENE-EXPRESSION; ANNEALING TIME; ECOSYSTEM; DIVERSITY; STREAM</t>
  </si>
  <si>
    <t>The meltwater streams of the McMurdo Dry Valleys are hot spots of biological diversity in the climate-sensitive polar desert landscape. Microbial mats, largely comprised of cyanobacteria, dominate the streams which flow for a brief window of time (similar to 10 weeks) over the austral summer. These communities, critical to nutrient and carbon cycling, display previously uncharacterized patterns of rapid destabilization and recovery upon exposure to variable and physiologically detrimental conditions. Here, we characterize changes in biodiversity, transcriptional responses and activity of microbial mats in response to hydrological disturbance over spatiotemporal gradients. While diverse metabolic strategies persist between marginal mats and main channel mats, data collected from 4 time points during the austral summer revealed a homogenization of the mat communities during the mid-season peak meltwater flow, directly influencing the biogeochemical roles of this stream ecosystem. Gene expression pattern analyses identified strong functional sensitivities of nitrogen-fixing marginal mats to changes in hydrological activities. Stress response markers detailed the environmental challenges of each microhabitat and the molecular mechanisms underpinning survival in a polar desert ecosystem at the forefront of climate change. At mid and end points in the flow cycle, mobile genetic elements were upregulated across all mat types indicating high degrees of genome evolvability and transcriptional synchronies. Additionally, we identified novel antifreeze activity in the stream microbial mats indicating the presence of ice-binding proteins (IBPs). Cumulatively, these data provide a new view of active intra-stream diversity, biotic interactions and alterations in ecosystem function over a high-flow hydrological regime.</t>
  </si>
  <si>
    <t>[Zoumplis, A.; Allen, A. E.] Univ Calif San Diego, Scripps Inst Oceanog, San Diego, CA 92093 USA; [Zoumplis, A.; Kaul, D.; Zheng, H.; Venepally, P.; Allen, A. E.] J Craig Venter Inst, Microbial &amp; Environm Genom Grp, La Jolla, CA 92037 USA; [Kolody, B.] Univ Calif Berkeley, Earth &amp; Planetary Sci, Berkeley, CA USA; [McKnight, D. M.] Univ Colorado, Inst Arctic &amp; Alpine Res, Boulder, CO USA; [Takacs-Vesbach, C.] Univ New Mexico, Dept Biol, Albuquerque, NM USA; [DeVries, A.] Univ Illinois, Evolut Ecol &amp; Behav, Urbana, IL USA</t>
  </si>
  <si>
    <t>University of California System; University of California San Diego; Scripps Institution of Oceanography; J. Craig Venter Institute; University of California System; University of California Berkeley; University of Colorado System; University of Colorado Boulder; University of New Mexico; University of Illinois System; University of Illinois Urbana-Champaign</t>
  </si>
  <si>
    <t>Allen, AE (corresponding author), Univ Calif San Diego, Scripps Inst Oceanog, San Diego, CA 92093 USA.;Allen, AE (corresponding author), J Craig Venter Inst, Microbial &amp; Environm Genom Grp, La Jolla, CA 92037 USA.</t>
  </si>
  <si>
    <t>aallen@ucsd.edu</t>
  </si>
  <si>
    <t>Allen, Andrew E/C-4896-2012</t>
  </si>
  <si>
    <t>Allen, Andrew E/0000-0001-5911-6081</t>
  </si>
  <si>
    <t>National Science Foundation [OPP-1637708]; NSF Antarctic Sciences [NSF-OPP 0732822, NSF-OPP-1043671]; Gordon and Betty Moore Foundation [GBMF3828]; Simons Foundation [970820]; NSF Ocean Sciences Award [NSF-OCE-1136477, NSF-OCE-1756884]</t>
  </si>
  <si>
    <t>National Science Foundation(National Science Foundation (NSF)); NSF Antarctic Sciences; Gordon and Betty Moore Foundation(Gordon and Betty Moore Foundation); Simons Foundation; NSF Ocean Sciences Award</t>
  </si>
  <si>
    <t>Fieldwork was supported by the National Science Foundation Grant OPP-1637708 (to the MCM LTER). This study was funded by NSF Antarctic Sciences Awards NSF-OPP 0732822 and NSF-OPP-1043671 (to AEA), Gordon and Betty Moore Foundation Grant GBMF3828 (to AEA), Simons Foundation Grant 970820; NSF Ocean Sciences Award NSF-OCE-1136477 and NSF-OCE-1756884 (to AEA) We thank the members of the MCM-LTER algae and streams teams that contributed to the field collections of samples and analyses of the hydrological record. In addition, we thank Josh Darling for his work on the Canada Stream hydrograph depicted in Fig. 1.</t>
  </si>
  <si>
    <t>JAN 23</t>
  </si>
  <si>
    <t>10.1038/s43705-022-00202-8</t>
  </si>
  <si>
    <t>P7CX9</t>
  </si>
  <si>
    <t>WOS:001052227300002</t>
  </si>
  <si>
    <t>Blazsek, S; Escribano, A</t>
  </si>
  <si>
    <t>Blazsek, Szabolcs; Escribano, Alvaro</t>
  </si>
  <si>
    <t>Score-driven threshold ice-age models: Benchmark models for long-run climate forecasts</t>
  </si>
  <si>
    <t>ENERGY ECONOMICS</t>
  </si>
  <si>
    <t>Climate change; Global ice volume; Atmospheric CO2 level; Antarctic land surface temperature; Dynamic conditional score; Generalized autoregressive score; Score-driven ice-age models</t>
  </si>
  <si>
    <t>TIME-SERIES</t>
  </si>
  <si>
    <t>Climate variables are known to be subject to abrupt changes when some threshold levels are surpassed. We use data for the last 798,000 years on global ice volume (Ice), atmospheric carbon dioxide level (CO2), and Antarctic land surface temperature (Temp) to model and measure those long-run nonlinear climate effects. The climate variables have very long and asymmetric cycles, created by periods of upward trends, followed by periods of downward trends driven by exogenous orbital variables. The exogenous orbital variables considered by the Milankovitch cycles are eccentricity of Earth's orbit, obliquity, and precession of the equinox. We show that our new score-driven threshold ice-age models improve the statistical inference and forecasting performance of competing ice-age models from the literature. The drawback of using our 1000-year frequency observations, is that we cannot measure the nonlinear climate effects of humanity created during the last 250 years, which are known to have generated abrupt structural changes in the Earth's climate, due to unprecedented high levels of CO2 and Temp, and low levels of Ice volume. On the other hand, the advantage of using low-frequency data is that they allow us to obtain long-run forecasts on what would have occurred if humanity had not burned fossil fuels since the start of the Industrial Revolution. These long-run forecasts can serve as benchmarks for the long-run evaluation of the impact of humanity on climate variables. Without the impact of humanity on climate, we predict the existence of turning points in the evolution of the three climate variables for the next 5,000 years: an upward trend in global ice volume, and downward trends in atmospheric CO2 level and Antarctic land surface temperature.</t>
  </si>
  <si>
    <t>[Blazsek, Szabolcs] Univ Francisco Marroquin, Sch Business, Guatemala City 01010, Guatemala; [Escribano, Alvaro] Univ Carlos III Madrid, Dept Econ, Getafe 28903, Spain; [Escribano, Alvaro] Univ Carlos III Madrid, Dept Econ, Calle Madrid 126, Getafe 28903, Madrid, Spain</t>
  </si>
  <si>
    <t>Universidad Carlos III de Madrid; Universidad Carlos III de Madrid</t>
  </si>
  <si>
    <t>Escribano, A (corresponding author), Univ Carlos III Madrid, Dept Econ, Calle Madrid 126, Getafe 28903, Madrid, Spain.</t>
  </si>
  <si>
    <t>sblazsek@ufm.edu; alvaroe@eco.uc3m.es</t>
  </si>
  <si>
    <t>ESCRIBANO, ALVARO/H-7997-2015</t>
  </si>
  <si>
    <t>ESCRIBANO, ALVARO/0000-0003-4401-0887</t>
  </si>
  <si>
    <t>Ministerio de Economia, Industria y Competitividad, Spain [ECO2016-00105-001, MDM 2014-0431]; Comunidad de Madrid, Spain [MadEco-CM S2015/HUM-3444]; Agencia Estatal de Investigacion, Spain [2019/00419/001]</t>
  </si>
  <si>
    <t>Ministerio de Economia, Industria y Competitividad, Spain(Spanish Government); Comunidad de Madrid, Spain(Comunidad de Madrid); Agencia Estatal de Investigacion, Spain(Spanish Government)</t>
  </si>
  <si>
    <t>The authors are thankful for the comments and suggestions of the associate editor and referees of the journal, Istvan Blazsek, Jennifer Castle, Matthew Copley, David Hendry, and Eric Hillebrand. This paper was presented at the Hungarian Economic Society Annual Conference (Budapest, December 2022) . The comments and suggestions of conference participants and discussion of Erzsebet Kristof are greatlyappreciated. All remaining errors are our own. Computer codes are available from the authors of this paper upon request. Blazsek acknowledges funding from Universidad Francisco Marroquin, Guatemala. Escribano acknowledges funding from Ministerio de Economia, Industria y Competitividad, Spain (ECO2016-00105-001 and MDM 2014-0431) , Comunidad de Madrid, Spain (MadEco-CM S2015/HUM-3444) , and Agencia Estatal de Investigacion, Spain (2019/00419/001) . The authors declare no conflict of interest. The material in this article does not reflect the positions of any of the institutions to which the authors</t>
  </si>
  <si>
    <t>0140-9883</t>
  </si>
  <si>
    <t>1873-6181</t>
  </si>
  <si>
    <t>ENERG ECON</t>
  </si>
  <si>
    <t>Energy Econ.</t>
  </si>
  <si>
    <t>10.1016/j.eneco.2023.106522</t>
  </si>
  <si>
    <t>Economics</t>
  </si>
  <si>
    <t>Business &amp; Economics</t>
  </si>
  <si>
    <t>8Q6EK</t>
  </si>
  <si>
    <t>WOS:000927297700001</t>
  </si>
  <si>
    <t>Vecchi, M; Tsvetkova, A; Stec, D; Ferrari, C; Calhim, S; Tumanov, D</t>
  </si>
  <si>
    <t>Vecchi, Matteo; Tsvetkova, Alexandra; Stec, Daniel; Ferrari, Claudio; Calhim, Sara; Tumanov, Denis</t>
  </si>
  <si>
    <t>Expanding Acutuncus: Phylogenetics and morphological analyses reveal a considerably wider distribution for this tardigrade genus</t>
  </si>
  <si>
    <t>MOLECULAR PHYLOGENETICS AND EVOLUTION</t>
  </si>
  <si>
    <t>Tardigrade; Antarctica; Integrative taxonomy; Endemism; Polar region</t>
  </si>
  <si>
    <t>MULTIPLE SEQUENCE ALIGNMENT; INTEGRATIVE REDESCRIPTION; PHYLUM TARDIGRADA; EUTARDIGRADA; HYPSIBIIDAE; BIOGEOGRAPHY; PILATOBIUS; DIVERSITY; ACCURACY; LINEAGES</t>
  </si>
  <si>
    <t>The tardigrade genus Acutuncus has been long thought to be an Antarctic endemism, well adapted to this harsh environment. The Antarctic endemicity of Acutuncus was recently dispelled with the description of Acutuncus mariae Zawierucha, 2020 found in the Svalbard archipelago. The integrated analyses on two newly found Acutuncus populations from UK and Italy, and a population of Acutuncus antarcticus found close to its type locality allowed us to expand the climatic and geographic range of the genus Acutuncus. These findings also allowed us to re-evaluate the morphological diagnoses of Acutuncus and accommodate it in the newly proposed monotypic family Acutuncidae fam. nov. Two new Acutuncus species morpho-groups are instituted based on eggs morphology: one (Acutuncus antarcticus morphogroup) including the Antarctic Acutuncus taxa characterized by eggs with long pillars within the chorion and eggs laid freely to the environment, the other (Acutuncus mariae morphogroup) including the European species, characterized by eggs with short pillars within the chorion and eggs laid in the exuvium. Finally, we describe two new Acutuncus species from Europe: Acutuncus mecnuffi sp. nov. and Acutuncus giovanniniae sp. nov.</t>
  </si>
  <si>
    <t>[Vecchi, Matteo; Calhim, Sara] Univ Jyvaskyla, Dept Biol &amp; Environm Sci, POB 35, FI-40014 Jyvaskyla, Finland; [Tsvetkova, Alexandra; Tumanov, Denis] St Petersburg State Univ, Fac Biol, Dept Invertebrate Zool, Univ Nab 7-9, St Petersburg 199034, Russia; [Stec, Daniel] Polish Acad Sci, Inst Systemat &amp; Evolut Anim, Slawkowska 17, PL-31016 Krakow, Poland; [Ferrari, Claudio] Univ Parma, Dept Chem Life Sci &amp; Environm Sustainabil, Parco Area Sci 33-A, I-43124 Parma, Italy; [Tumanov, Denis] Russian Acad Sci, Zool Inst, Univ Nab 1, St Petersburg 199034, Russia; [Tumanov, Denis] Univ Nab 7-9, St Petersburg 199034, Russia</t>
  </si>
  <si>
    <t>University of Jyvaskyla; Saint Petersburg State University; Polish Academy of Sciences; Institute of Systematics &amp; Evolution of Animals of the Polish Academy of Sciences; University of Parma; Russian Academy of Sciences; Zoological Institute of the Russian Academy of Sciences</t>
  </si>
  <si>
    <t>Vecchi, M (corresponding author), Univ Jyvaskyla, Dept Biol &amp; Environm Sci, POB 35, FI-40014 Jyvaskyla, Finland.;Tumanov, D (corresponding author), Univ Nab 7-9, St Petersburg 199034, Russia.</t>
  </si>
  <si>
    <t>matteo.vecchi15@gmail.com; d.tumanov@spbu.ru</t>
  </si>
  <si>
    <t>Tumanov, Denis/G-4124-2019; Vecchi, Matteo/GLT-3828-2022</t>
  </si>
  <si>
    <t>Tumanov, Denis/0000-0002-4190-4175; Vecchi, Matteo/0000-0002-7995-6827; Calhim, Sara/0000-0001-9059-2641; Stec, Daniel/0000-0001-6876-0717; Ferrari, Claudio/0000-0002-3852-7495</t>
  </si>
  <si>
    <t>Academy of Finland Fellowships [314219, 335759]; State scientific program Taxonomy, biodiversity and ecology of invertebrates from Russian and adjacent waters of World Ocean, continental water bodies and damped areas [1021051402797-9]; Academy of Finland (AKA) [335759] Funding Source: Academy of Finland (AKA)</t>
  </si>
  <si>
    <t>Academy of Finland Fellowships; State scientific program Taxonomy, biodiversity and ecology of invertebrates from Russian and adjacent waters of World Ocean, continental water bodies and damped areas; Academy of Finland (AKA)(Research Council of Finland)</t>
  </si>
  <si>
    <t>We wish to acknowledge Bob McNuff (Sciento, UK) for providing A. mecnuffi individuals. Sample S283 (with A. giovanniniae) was collected under sampling permit Prot.1972/2020 issued to M.V. by Parco Nazionale Appennino Tosco-Emiliano (Massa-Carrara, Italy). We are grateful to Dr Boris Anokhin (Zoological Institute, Russia) for providing fixed material of A. antarcticus, collected during the 29th Russian Antarctic expedition. We are also grateful to Dr. Alexei Smirnov and Galina Avdeeva (SPbU, Russia) for collecting material in the Mur-mansk region, and in the St. Petersburg region. We would like to thank the reviewers for valuable comments and suggestions, which helped us to improve the manuscript. This study was carried out with the use of equipment of the Core Facilities Center Centre for Molecular and Cell Technologies of St. Petersburg State University and of the Nanoscience Center of University of Jyvaskyla. The study was supported by an Academy of Finland Fellowships to S.C. (#314219 and #335759). The work of D. Tumanov was supported by the State scientific program Taxonomy, biodiversity and ecology of invertebrates from Russian and adjacent waters of World Ocean, continental water bodies and damped areas No. 1021051402797-9. This work and the new species name were registered with ZooBank under urn:lsid:zoobank.org:pub:D72B9B17-EDBB-4F4D-8ADC-78B4ADD00566.</t>
  </si>
  <si>
    <t>1055-7903</t>
  </si>
  <si>
    <t>1095-9513</t>
  </si>
  <si>
    <t>MOL PHYLOGENET EVOL</t>
  </si>
  <si>
    <t>Mol. Phylogenet. Evol.</t>
  </si>
  <si>
    <t>10.1016/j.ympev.2023.107707</t>
  </si>
  <si>
    <t>8O5ZY</t>
  </si>
  <si>
    <t>WOS:000925915600001</t>
  </si>
  <si>
    <t>Swadling, KM; Constable, AJ; Fraser, AD; Massom, RA; Borup, MD; Ghigliotti, L; Granata, A; Guglielmo, L; Johnston, NM; Kawaguchi, S; Kennedy, F; Kiko, R; Koubbi, P; Makabe, R; Martin, A; McMinn, A; Moteki, M; Pakhomov, EA; Peeken, I; Reimer, J; Reid, P; Ryan, KG; Vacchi, M; Virtue, P; Weldrick, CK; Wongpan, P; Wotherspoon, SJ</t>
  </si>
  <si>
    <t>Swadling, Kerrie M.; Constable, Andrew J.; Fraser, Alexander D.; Massom, Robert A.; Borup, Melanie D.; Ghigliotti, Laura; Granata, Antonia; Guglielmo, Letterio; Johnston, Nadine M.; Kawaguchi, So; Kennedy, Fraser; Kiko, Rainer; Koubbi, Philippe; Makabe, Ryosuke; Martin, Andrew; McMinn, Andrew; Moteki, Masato; Pakhomov, Evgeny A.; Peeken, Ilka; Reimer, Jody; Reid, Phillip; Ryan, Ken G.; Vacchi, Marino; Virtue, Patti; Weldrick, Christine K.; Wongpan, Pat; Wotherspoon, Simon J.</t>
  </si>
  <si>
    <t>Biological responses to change in Antarctic sea ice habitats</t>
  </si>
  <si>
    <t>Southern Ocean; storms; warming; copepods; fish; primary production; krill; MEASO</t>
  </si>
  <si>
    <t>TERRA-NOVA BAY; KRILL EUPHAUSIA-CRYSTALLOROPHIAS; LIFE-CYCLE STRATEGY; ROSS SEA; SOUTHERN-OCEAN; WEDDELL SEA; EAST ANTARCTICA; PACK-ICE; PLEURAGRAMMA-ANTARCTICUM; PLATELET ICE</t>
  </si>
  <si>
    <t>Sea ice is a key habitat in the high latitude Southern Ocean and is predicted to change in its extent, thickness and duration in coming decades. The sea-ice cover is instrumental in mediating ocean-atmosphere exchanges and provides an important substrate for organisms from microbes and algae to predators. Antarctic krill, Euphausia superba, is reliant on sea ice during key phases of its life cycle, particularly during the larval stages, for food and refuge from their predators, while other small grazers, including copepods and amphipods, either live in the brine channel system or find food and shelter at the ice-water interface and in gaps between rafted ice blocks. Fish, such as the Antarctic silverfish Pleuragramma antarcticum, use platelet ice (loosely-formed frazil crystals) as an essential hatching and nursery ground. In this paper, we apply the framework of the Marine Ecosystem Assessment for the Southern Ocean (MEASO) to review current knowledge about relationships between sea ice and associated primary production and secondary consumers, their status and the drivers of sea-ice change in this ocean. We then use qualitative network modelling to explore possible responses of lower trophic level sea-ice biota to different perturbations, including warming air and ocean temperatures, increased storminess and reduced annual sea-ice duration. This modelling shows that pelagic algae, copepods, krill and fish are likely to decrease in response to warming temperatures and reduced sea-ice duration, while salp populations will likely increase under conditions of reduced sea-ice duration and increased number of days of &gt;0 degrees C. Differences in responses to these pressures between the five MEASO sectors were also explored. Greater impacts of environmental pressures on ice-related biota occurring presently were found for the West and East Pacific sectors (notably the Ross Sea and western Antarctic Peninsula), with likely flow-on effects to the wider ecosystem. All sectors are expected to be impacted over coming decades. Finally, we highlight priorities for future sea ice biological research to address knowledge gaps in this field.</t>
  </si>
  <si>
    <t>[Swadling, Kerrie M.; Borup, Melanie D.; Kennedy, Fraser; McMinn, Andrew; Virtue, Patti] Univ Tasmania, Inst Marine &amp; Antarctic Studies, Hobart, Tas, Australia; [Swadling, Kerrie M.; Fraser, Alexander D.; Massom, Robert A.; Kawaguchi, So; Reid, Phillip; Weldrick, Christine K.; Wongpan, Pat] Univ Tasmania, Inst Marine &amp; Antarctic Studies, Australian Antarctic Program Partnership, Hobart, Tas, Australia; [Constable, Andrew J.] Univ Tasmania, Ctr Marine Socioecol, Hobart, Tas, Australia; [Massom, Robert A.; Kawaguchi, So; Virtue, Patti; Wotherspoon, Simon J.] Dept Climate Change Energy Environm &amp; Water, Australian Antarctic Div, Kingston, Tas, Australia; [Massom, Robert A.; McMinn, Andrew; Virtue, Patti] Univ Tasmania, Australian Ctr Excellence Antarctic Sci, Hobart, Tas, Australia; [Ghigliotti, Laura; Vacchi, Marino] Natl Res Council Italy, Inst Study Anthrop Impacts &amp; Sustainabil Marine En, Genoa, Italy; [Granata, Antonia] Univ Messina, Dept Chem Biol Pharmaceut &amp; Environm Sci, Messina, Italy; [Guglielmo, Letterio] Stn Zool Anton Dohrn, Naples, Italy; [Johnston, Nadine M.] NERC, British Antarctic Survey, Cambridge, England; [Kiko, Rainer] GEOMAR Helmholtz Ctr Ocean Res Kiel, Kiel, Tas, Germany; [Koubbi, Philippe] IFREMER, Channel &amp; North Sea Fisheries Res Unit, Boulogne Sur Mer, France; [Koubbi, Philippe] Sorbonne Univ, UFR 918 Terre Environm &amp; Biodivers, Paris, France; [Makabe, Ryosuke; Moteki, Masato] Res Org Informat &amp; Syst, Natl Inst Polar Res, Tachikawa, Japan; [Makabe, Ryosuke] Grad Univ Adv Studies, Dept Polar Sci, SOKENDAI, Tachikawa, Japan; [Makabe, Ryosuke] Tokyo Univ Marine Sci &amp; Technol, Dept Ocean Sci, Minato, Japan; [Martin, Andrew; Ryan, Ken G.] Victoria Univ Wellington, Sch Biol Sci, Wellington, New Zealand; [Pakhomov, Evgeny A.] Univ British Columbia, Dept Earth Ocean &amp; Atmospher Sci, Vancouver, BC, Canada; [Pakhomov, Evgeny A.] Univ British Columbia, Inst Oceans &amp; Fisheries, Vancouver, BC, Canada; [Peeken, Ilka] Alfred Wegener Inst Helmholtz Ctr Polar &amp; Marine R, Bremerhaven, Germany; [Reimer, Jody] Univ Utah, Dept Math, Salt Lake City, UT USA; [Reimer, Jody] Univ Utah, Sch Biol Sci, Salt Lake City, UT USA; [Reid, Phillip] Australian Bur Meteorol, Hobart, Tas, Australia</t>
  </si>
  <si>
    <t>University of Tasmania; University of Tasmania; University of Tasmania; Australian Antarctic Division; University of Tasmania; Consiglio Nazionale delle Ricerche (CNR); University of Messina; Stazione Zoologica Anton Dohrn di Napoli; UK Research &amp; Innovation (UKRI); Natural Environment Research Council (NERC); NERC British Antarctic Survey; Helmholtz Association; GEOMAR Helmholtz Center for Ocean Research Kiel; Ifremer; Sorbonne Universite; Research Organization of Information &amp; Systems (ROIS); National Institute of Polar Research (NIPR) - Japan; Graduate University for Advanced Studies - Japan; Tokyo University of Marine Science &amp; Technology; Victoria University Wellington; University of British Columbia; University of British Columbia; Utah System of Higher Education; University of Utah; Utah System of Higher Education; University of Utah; Bureau of Meteorology - Australia</t>
  </si>
  <si>
    <t>Swadling, KM (corresponding author), Univ Tasmania, Inst Marine &amp; Antarctic Studies, Hobart, Tas, Australia.;Swadling, KM (corresponding author), Univ Tasmania, Inst Marine &amp; Antarctic Studies, Australian Antarctic Program Partnership, Hobart, Tas, Australia.</t>
  </si>
  <si>
    <t>k.swadling@utas.edu.au</t>
  </si>
  <si>
    <t>Wongpan, Pat/AAX-6946-2020; Koubbi, Philippe/D-5873-2015; Ghigliotti, Laura/AAN-6843-2021; Reimer, Jody/M-7256-2019</t>
  </si>
  <si>
    <t>Wongpan, Pat/0000-0002-7113-8221; Ghigliotti, Laura/0000-0003-2139-1381; Kiko, Rainer/0000-0002-7851-9107; Johnston, Nadine M/0000-0003-2211-1492; Fraser, Alexander/0000-0003-1924-0015; GRANATA, Antonia/0000-0001-7016-6418; Kennedy, Fraser/0000-0003-1796-0764; Peeken, Ilka/0000-0003-1531-1664; Reimer, Jody/0000-0001-7742-2728</t>
  </si>
  <si>
    <t>Australian Government's as part of the Antarctic Science Collaboration Initiative program; Institute for Marine and Antarctic Studies; Australian Antarctic Division; Australian Research Council Special Research Initiative Australian Centre for Excellence in Antarctic Science [SR200100008]; PoF IV program Changing Earth - Sustaining our Future Topic 6.3 of the of the German Helmholtz Association; Heisenberg program of the German Science Foundation [469175784]</t>
  </si>
  <si>
    <t>Australian Government's as part of the Antarctic Science Collaboration Initiative program(Australian Government); Institute for Marine and Antarctic Studies; Australian Antarctic Division; Australian Research Council Special Research Initiative Australian Centre for Excellence in Antarctic Science(Australian Research Council); PoF IV program Changing Earth - Sustaining our Future Topic 6.3 of the of the German Helmholtz Association; Heisenberg program of the German Science Foundation</t>
  </si>
  <si>
    <t>This project received grant funding from the Australian Government's as part of the Antarctic Science Collaboration Initiative program. KS, AF, SK, RAM, PR, CW, and PW are supported by the Institute for Marine and Antarctic Studies. RAM, SK, and SW are supported by the Australian Antarctic Division. RAM, FK, AMa, and PV are supported by the Australian Research Council Special Research Initiative Australian Centre for Excellence in Antarctic Science (Project Number SR200100008). IP is supported by the PoF IV program Changing Earth - Sustaining our Future Topic 6.3 of the of the German Helmholtz Association. RK acknowledges funding by the Heisenberg program of the German Science Foundation under Project Number 469175784.</t>
  </si>
  <si>
    <t>10.3389/fevo.2022.1073823</t>
  </si>
  <si>
    <t>8O8PU</t>
  </si>
  <si>
    <t>WOS:000926094800001</t>
  </si>
  <si>
    <t>Guro, P; Karaevskaya, E; Kuznetsova, I; Karlov, D; Sazanova, A; Safronova, V</t>
  </si>
  <si>
    <t>Guro, Polina; Karaevskaya, Ekaterina; Kuznetsova, Irina; Karlov, Denis; Sazanova, Anna; Safronova, Vera</t>
  </si>
  <si>
    <t>Complete Genome Sequence of Glutamicibacter sp. Strain M10, Isolated from an Arctic Permafrost Sample</t>
  </si>
  <si>
    <t>Permafrost is an extremely cold ecosystem that is inhabited by microorganisms with unique biochemical properties for potential biotechnological applications. Here, we present the complete genome sequence of Glutamicibacter sp. strain M10, which was isolated from a permafrost sample that had been collected at a depth of 2 m in West Spitsbergen, Norway. Permafrost is an extremely cold ecosystem that is inhabited by microorganisms with unique biochemical properties for potential biotechnological applications. Here, we present the complete genome sequence of Glutamicibacter sp. strain M10, which was isolated from a permafrost sample that had been collected at a depth of 2 m in West Spitsbergen, Norway.</t>
  </si>
  <si>
    <t>[Guro, Polina; Kuznetsova, Irina; Karlov, Denis; Sazanova, Anna; Safronova, Vera] All Russia Res Inst Agr Microbiol, St Petersburg, Russia; [Karaevskaya, Ekaterina] Arctic &amp; Antarctic Res Inst, St Petersburg, Russia</t>
  </si>
  <si>
    <t>Guro, P (corresponding author), All Russia Res Inst Agr Microbiol, St Petersburg, Russia.</t>
  </si>
  <si>
    <t>Kuznetsova, Irina G./GPP-2662-2022; Safronova, Vera/W-2400-2018</t>
  </si>
  <si>
    <t>Kuznetsova, Irina G./0000-0003-0260-7677;</t>
  </si>
  <si>
    <t>We sincerely thank Nikita Demidov and Ivan Alekseev (Arctic and Antarctic Research Institute, St. Petersburg, Russian Federation) for providing the samples of permafrost sediments. Sequencing was performed using equipment of the Core Centrum Genomic Technologies, Proteomics, and Cell Biology at the All-Russia Research Institute for Agricultural Microbiology (ARRIAM) (St. Petersburg, Russian Federation). This work was supported by the Russian Science Foundation (grant 20-76-10042).</t>
  </si>
  <si>
    <t>10.1128/mra.01120-22</t>
  </si>
  <si>
    <t>9F3US</t>
  </si>
  <si>
    <t>WOS:000928929100001</t>
  </si>
  <si>
    <t>Yu, Y; Wang, P; Cao, HY; Teng, ZJ; Zhu, YP; Wang, M; McMinn, A; Chen, Y; Xiang, H; Zhang, YZ; Chen, XL; Zhang, YQ</t>
  </si>
  <si>
    <t>Yu, Yang; Wang, Peng; Cao, Hai-Yan; Teng, Zhao-Jie; Zhu, Yanping; Wang, Min; McMinn, Andrew; Chen, Yin; Xiang, Hua; Zhang, Yu-Zhong; Chen, Xiu-Lan; Zhang, Yu-Qiang</t>
  </si>
  <si>
    <t>Novel D-glutamate catabolic pathway in marine Proteobacteria and halophilic archaea</t>
  </si>
  <si>
    <t>ISME JOURNAL</t>
  </si>
  <si>
    <t>D-AMINO-ACIDS; FUNCTIONAL-CHARACTERIZATION; ENZYMATIC-ACTIVITIES; ENOLASE SUPERFAMILY; N-ACETYLTRANSFERASE; BACILLUS-SUBTILIS; ESCHERICHIA-COLI; ALANINE RACEMASE; PEPTIDOGLYCAN; DEHYDROGENASE</t>
  </si>
  <si>
    <t>D-glutamate (D-Glu) is an essential component of bacterial peptidoglycans, representing an important, yet overlooked, pool of organic matter in global oceans. However, little is known on D-Glu catabolism by marine microorganisms. Here, a novel catabolic pathway for D-Glu was identified using the marine bacterium Pseudoalteromonas sp. CF6-2 as the model. Two novel enzymes (DgcN, DgcA), together with a transcriptional regulator DgcR, are crucial for D-Glu catabolism in strain CF6-2. Genetic and biochemical data confirm that DgcN is a N-acetyltransferase which catalyzes the formation of N-acetyl-D-Glu from D-Glu. DgcA is a racemase that converts N-acetyl-D-Glu to N-acetyl-L-Glu, which is further hydrolyzed to L-Glu. DgcR positively regulates the transcription of dgcN and dgcA. Structural and biochemical analyses suggested that DgcN and its homologs, which use D-Glu as the acyl receptor, represent a new group of the general control non-repressible 5 (GCN5)-related N-acetyltransferases (GNAT) superfamily. DgcA and DgcN occur widely in marine bacteria (particularly Rhodobacterales) and halophilic archaea (Halobacteria) and are abundant in marine and hypersaline metagenome datasets. Thus, this study reveals a novel D-Glu catabolic pathway in ecologically important marine bacteria and halophilic archaea and helps better understand the catabolism and recycling of D-Glu in these ecosystems.</t>
  </si>
  <si>
    <t>[Yu, Yang; Cao, Hai-Yan; Teng, Zhao-Jie; Zhu, Yanping; Chen, Xiu-Lan; Zhang, Yu-Qiang] Shandong Univ, State Key Lab Microbial Technol, Qingdao, Peoples R China; [Wang, Peng; Wang, Min; McMinn, Andrew; Chen, Yin; Zhang, Yu-Zhong] Ocean Univ China, Coll Marine Life Sci, Qingdao, Peoples R China; [Wang, Peng; Wang, Min; McMinn, Andrew; Chen, Yin; Zhang, Yu-Zhong] Ocean Univ China, Frontiers Sci Ctr Deep Ocean Multispheres &amp; Earth, Qingdao, Peoples R China; [Wang, Peng; Zhang, Yu-Zhong; Chen, Xiu-Lan] Pilot Natl Lab Marine Sci &amp; Technol, Lab Marine Biol &amp; Biotechnol, Qingdao, Peoples R China; [McMinn, Andrew] Univ Tasmania, Inst Marine &amp; Antarctic Studies, Hobart, Tas, Australia; [Chen, Yin] Univ Warwick, Sch Life Sci, Coventry, England; [Xiang, Hua] Univ Chinese Acad Sci, Beijing, Peoples R China; [Xiang, Hua] Inst Microbiol CAS, State Key Lab Microbial Resources, Beijing, Peoples R China; [Zhang, Yu-Zhong] Shandong Univ, Marine Biotechnol Res Ctr, State Key Lab Microbial Technol, Qingdao, Peoples R China</t>
  </si>
  <si>
    <t>Shandong University; Ocean University of China; Ocean University of China; Laoshan Laboratory; University of Tasmania; University of Warwick; Chinese Academy of Sciences; University of Chinese Academy of Sciences, CAS; Shandong University</t>
  </si>
  <si>
    <t>Chen, XL; Zhang, YQ (corresponding author), Shandong Univ, State Key Lab Microbial Technol, Qingdao, Peoples R China.;Zhang, YZ (corresponding author), Ocean Univ China, Coll Marine Life Sci, Qingdao, Peoples R China.;Zhang, YZ (corresponding author), Ocean Univ China, Frontiers Sci Ctr Deep Ocean Multispheres &amp; Earth, Qingdao, Peoples R China.;Zhang, YZ; Chen, XL (corresponding author), Pilot Natl Lab Marine Sci &amp; Technol, Lab Marine Biol &amp; Biotechnol, Qingdao, Peoples R China.;Zhang, YZ (corresponding author), Shandong Univ, Marine Biotechnol Res Ctr, State Key Lab Microbial Technol, Qingdao, Peoples R China.</t>
  </si>
  <si>
    <t>zhangyz@sdu.edu.cn; cxl0423@sdu.edu.cn; yqzh1989@sina.com</t>
  </si>
  <si>
    <t>Zhao, Xuan/JMR-2135-2023; McMinn, Andrew/A-9910-2008; Wang, Min/AFR-9645-2022; Wang, Xingyi/KHT-7171-2024; Yan, Miaochen/JLL-5061-2023; qin, cheng/KHC-3344-2024</t>
  </si>
  <si>
    <t>Wang, Min/0000-0002-2357-589X; Zhu, Yanping/0000-0002-2955-6585; McMinn, Andrew/0000-0002-2133-3854; Chen, Yin/0000-0002-0367-4276; Zhang, Yu-Zhong/0000-0002-2017-1005</t>
  </si>
  <si>
    <t>National Science Foundation of China [U2006205, 91851205, 31961133016, U1706207]; Major Scientific and Technological Innovation Project (MSTIP) of Shandong Province [2019JZZY010817]; Program of Shandong for Taishan Scholars [tspd20181203]</t>
  </si>
  <si>
    <t>National Science Foundation of China(National Natural Science Foundation of China (NSFC)); Major Scientific and Technological Innovation Project (MSTIP) of Shandong Province; Program of Shandong for Taishan Scholars</t>
  </si>
  <si>
    <t>We would like to thank Xiaoju Li and Haiyan Sui from Life Science General Research Technology Platform of SKLMT (State Key Laboratory of Microbial Technology, Shandong University) for the assistance in X-ray diffraction experiment. This work was supported by the National Science Foundation of China (U2006205, 91851205, 31961133016, U1706207), Major Scientific and Technological Innovation Project (MSTIP) of Shandong Province (2019JZZY010817), and the Program of Shandong for Taishan Scholars (tspd20181203).</t>
  </si>
  <si>
    <t>1751-7362</t>
  </si>
  <si>
    <t>1751-7370</t>
  </si>
  <si>
    <t>ISME J</t>
  </si>
  <si>
    <t>ISME J.</t>
  </si>
  <si>
    <t>10.1038/s41396-023-01364-6</t>
  </si>
  <si>
    <t>I1PV4</t>
  </si>
  <si>
    <t>WOS:000919717900002</t>
  </si>
  <si>
    <t>Baker, GB; Jensz, K; Cunningham, R; Robertson, G; Sagar, P; Thompson, DR; Double, MC</t>
  </si>
  <si>
    <t>Baker, G. Barry; Jensz, Katrina; Cunningham, Ross; Robertson, Graham; Sagar, Paul; Thompson, David R.; Double, Michael C.</t>
  </si>
  <si>
    <t>Population assessment of White-capped Albatrosses Thalassarche steadi in New Zealand</t>
  </si>
  <si>
    <t>Aerial survey; population trend; seabird bycatch; white-capped mollymawk; conservation</t>
  </si>
  <si>
    <t>SHY; AUSTRALIA; TRENDS</t>
  </si>
  <si>
    <t>White-capped Albatrosses Thalassarche steadi breed only on New Zealand's sub-Antarctic islands, principally the Auckland Islands. The species is commonly caught as bycatch in global longline and trawl fisheries, and it has been estimated that 8 000 birds are killed each year. In December or January between 2006 and 2017 we undertook annual population censuses of the White-capped Albatrosses breeding at the Auckland Islands using aerial photography. Estimated annual counts for the three breeding sites were adjusted using estimates of the proportion of birds clearly not associated with an active nest (loafers), to estimate annual breeding pairs for each breeding season. The estimated mean number of annual breeding pairs in the Auckland Islands during this period was 89 846 with high inter-annual variability (range: 74 031-116 025). Over the 12 years of the study adjusted counts for all sites combined showed a negative linear trend but this relationship was not statistically significant. Similar analyses using TRIM classified the population as 'stable'. Given the estimated number of annual breeding pairs and the high frequency of biennial breeding it is likely that fisheries bycatch, if it has been estimated accurately, is impacting this population. Continuation of annual monitoring is recommended to increase the precision of the estimated population trend and help determine if the high levels of bycatch across multiple fisheries are sustainable in the long term.</t>
  </si>
  <si>
    <t>[Baker, G. Barry] Univ Tasmania, Inst Marine &amp; Antarctic Studies, Hobart, Australia; [Baker, G. Barry; Jensz, Katrina] Latitude 42 Environm Consultants Pty Ltd, Kettering, Australia; [Cunningham, Ross] Australian Natl Univ, Fenner Sch, Canberra, Australia; [Robertson, Graham; Double, Michael C.] Australian Antarctic Div, Channel Highway, Hobart, Australia; [Sagar, Paul] Natl Inst Water &amp; Atmospher Res Ltd, Christchurch, New Zealand; [Thompson, David R.] Natl Inst Water &amp; Atmospher Res Ltd, Wellington, New Zealand</t>
  </si>
  <si>
    <t>University of Tasmania; Australian National University; Australian Antarctic Division; National Institute of Water &amp; Atmospheric Research (NIWA) - New Zealand; National Institute of Water &amp; Atmospheric Research (NIWA) - New Zealand</t>
  </si>
  <si>
    <t>Baker, GB (corresponding author), Univ Tasmania, Inst Marine &amp; Antarctic Studies, Hobart, Australia.;Baker, GB (corresponding author), Latitude 42 Environm Consultants Pty Ltd, Kettering, Australia.</t>
  </si>
  <si>
    <t>barry.baker@latitude42.au</t>
  </si>
  <si>
    <t>Sagar, Paul/0000-0002-6861-9235; Thompson, David/0000-0003-0635-5876; Baker, G. Barry/0000-0003-4766-8182</t>
  </si>
  <si>
    <t>Department of Conservation's Conservation Services Programme; Ministry of Fisheries</t>
  </si>
  <si>
    <t>This project was funded by the Department of Conservation's Conservation Services Programme, and the Ministry of Fisheries..</t>
  </si>
  <si>
    <t>10.1080/01584197.2022.2161915</t>
  </si>
  <si>
    <t>WOS:000921427500001</t>
  </si>
  <si>
    <t>Ilic, M; Walden, S; Hammerstein, SK; Stockenreiter, M; Stibor, H; Fink, P</t>
  </si>
  <si>
    <t>Ilic, Maja; Walden, Susanne; Hammerstein, Sara K.; Stockenreiter, Maria; Stibor, Herwig; Fink, Patrick</t>
  </si>
  <si>
    <t>Pigment and fluorescence proxies to estimate functional diversity of phytoplankton communities</t>
  </si>
  <si>
    <t>FUNDAMENTAL AND APPLIED LIMNOLOGY</t>
  </si>
  <si>
    <t>algae; biodiversity; cyanobacteria; functional traits; phytoplankton composition; pigments; spectral fluorescence; Algae Lab Analyser; HPLC; CHEMTAX; water quality monitoring</t>
  </si>
  <si>
    <t>PERIDININ-CHLOROPHYLL; PHOTOSYNTHETIC APPARATUS; TAXONOMIC COMPOSITION; SPECIES-DIVERSITY; PEG-MODEL; CYANOBACTERIA; DOMINANCE; QUANTIFICATION; HPLC; BIODIVERSITY</t>
  </si>
  <si>
    <t>Given the global loss of biodiversity, trait-based studies are needed to assess the associated consequences for ecosystem functions and services. Many studies focus on the assessment of functional diversity of natural communities as a mechanistic link between biodiversity and ecosystem functioning. In freshwater ecosystems, diversity of primary producers is crucial for resource use efficiency and trophic transfer of energy. Furthermore, one indicator of the ecological status of surface waters is the composition of natural phytoplankton communities. The number of available techniques for the quantification and discrimination of different phytoplankton groups have increased in recent years. For example, phytoplankton community composition can indirectly be assessed via CHEMTAX, a matrix factorization program, which calculates the contribution of different phytoplankton taxa to the total chlorophyll-a using concentrations of pigments analysed via liquid chromatography. A more direct, in vivo assessment can be achieved with instruments based on spectral fluorometry, such as the Algae Lab Analyser, which allows for a differentiation of four phytoplankton groups depending on spectral fluorescence signatures. In this study, we compared both methods by analyses of phytoplankton biomass and functional diversity from phytoplankton communities of three lakes of different trophic states, while a subset of biomass and diversity estimates derived from microscopic counts served as a reference. We found marked differences in biomass estimates of all assessed phytoplankton groups, with cyanobacteria being significantly underestimated by the Algae Lab Analyser. Furthermore, we show that the level of agreement between the methods somewhat depends on the trophic state of the lake. We conclude that both methods are suitable to estimate phytoplankton functional diversity with specific advantages and disadvantages. Here we provide users with a flow chart to help them find the most suitable method for their respective purposes.</t>
  </si>
  <si>
    <t>[Ilic, Maja; Fink, Patrick] Univ Cologne, Inst Zool, Cologne Bioctr, Cologne, Germany; [Ilic, Maja] Swiss Fed Res Inst WSL, Forest Hlth &amp; Biot Interact, Birmensdorf, Switzerland; [Walden, Susanne] Justus Liebig Univ Giessen, Dept Appl Microbiol, Giessen, Germany; [Hammerstein, Sara K.; Stockenreiter, Maria; Stibor, Herwig] Ludwig Maximilians Univ Munchen, Biol 2, Aquat Ecol, Martinsried, Germany; [Fink, Patrick] UFZ Helmholtz Ctr Environm Res, Dept River Ecol, Magdeburg, Germany; [Fink, Patrick] UFZ Helmholtz Ctr Environm Res, Dept Aquat Ecosyst Anal &amp; Management, Magdeburg, Germany</t>
  </si>
  <si>
    <t>University of Cologne; Swiss Federal Institutes of Technology Domain; Swiss Federal Institute for Forest, Snow &amp; Landscape Research; Justus Liebig University Giessen; University of Munich; Helmholtz Association; Helmholtz Center for Environmental Research (UFZ); Helmholtz Association; Helmholtz Center for Environmental Research (UFZ)</t>
  </si>
  <si>
    <t>Ilic, M (corresponding author), Univ Cologne, Inst Zool, Cologne Bioctr, Cologne, Germany.;Ilic, M (corresponding author), Swiss Fed Res Inst WSL, Forest Hlth &amp; Biot Interact, Birmensdorf, Switzerland.</t>
  </si>
  <si>
    <t>maja.ilic.bio@gmail.com</t>
  </si>
  <si>
    <t>Fink, Patrick/A-5901-2009; Ilic, Maja/AAO-9143-2020</t>
  </si>
  <si>
    <t>Fink, Patrick/0000-0002-5927-8977; Ilic, Maja/0000-0002-8387-9932</t>
  </si>
  <si>
    <t>Deutsche Forschungsgemeinschaft [DFG FI-1548/6-1, STI-180/5-1, STO-1075/1-1]; [1704]</t>
  </si>
  <si>
    <t>Deutsche Forschungsgemeinschaft(German Research Foundation (DFG));</t>
  </si>
  <si>
    <t>&amp; nbsp;We would like to thank Christian Werner and Achim Weigert for laboratory assistance. We are grateful to Simon Wright (Australian Antarctic Division, CSIRO) for providing the CHEMTAX software v. 1.95 and his useful advice and to Dorothee Langenbach, Institute for Botany, University of Cologne, for providing the peridinin standard. We thank Andras Abonyi and an anonymous reviewer for their thoughtful feedback and valuable comments on the manuscript. This study was supported by the Deutsche Forschungsgemeinschaft in the project DYNATLOSS (grant DFG FI-1548/6-1, STI-180/5-1, STO-1075/1-1) as part of DFG Priority Programme 1704 DynaTrait. This manuscript is dedicated to Winfried Lampert; he was always exploring new techniques and method developments in biology and chemistry for their applicability in limnoecology. He was using innovative and modern methods and instrumentation to explore conceptual aspects of ecophysiology and ecology during his entire career. Hence, he also was interested in instruments helping to ease experimental protocols; for example, such as by using automated cell counter systems to measure the concentration and size distribution of phytoplankton serving as food in Daphnia experiments. We are sure that he would have been interested in modern developments of phytoplankton quantification by chemical and fluorescence methods and their integration in experimental and observational studies.</t>
  </si>
  <si>
    <t>E SCHWEIZERBARTSCHE VERLAGSBUCHHANDLUNG</t>
  </si>
  <si>
    <t>NAEGELE U OBERMILLER, SCIENCE PUBLISHERS, JOHANNESSTRASSE 3A, D 70176 STUTTGART, GERMANY</t>
  </si>
  <si>
    <t>1863-9135</t>
  </si>
  <si>
    <t>FUND APPL LIMNOL</t>
  </si>
  <si>
    <t>Fundam. Appl. Limnol.</t>
  </si>
  <si>
    <t>10.1127/fal/2023/1466</t>
  </si>
  <si>
    <t>Limnology; Marine &amp; Freshwater Biology</t>
  </si>
  <si>
    <t>K9JR4</t>
  </si>
  <si>
    <t>WOS:000911914800001</t>
  </si>
  <si>
    <t>Véron, S; Bernard, A; Lebreton, E; Rodrigues-Vaz, C; Durand, M; Procopio, L; Hélion, M; Gayot, M; Viscardi, G; Krupnick, GA; Carrington, CMS; Boullet, V; Mallet, B; Dimassi, A; Pailler, T; Hivert, J; Lebouvier, M; Agnola, P; Bruy, D; Gateblé, G; Lannuzel, G; Meyer, S; Gargominy, O; Gigot, G; Invernon, V; Leblond, S; Pignal, M; Tercerie, S; Muller, S; Rouhan, G</t>
  </si>
  <si>
    <t>Veron, S.; Bernard, A.; Lebreton, E.; Rodrigues-Vaz, C.; Durand, M.; Procopio, L.; Helion, M.; Gayot, M.; Viscardi, G.; Krupnick, G. A.; Carrington, C. M. S.; Boullet, V.; Mallet, B.; Dimassi, A.; Pailler, T.; Hivert, J.; Lebouvier, M.; Agnola, P.; Bruy, D.; Gateble, G.; Lannuzel, G.; Meyer, S.; Gargominy, O.; Gigot, G.; Invernon, V.; Leblond, S.; Pignal, M.; Tercerie, S.; Muller, S.; Rouhan, G.</t>
  </si>
  <si>
    <t>Pre-assessments of plant conservation status in islands: the case of French Overseas Territories</t>
  </si>
  <si>
    <t>Red List; Pre-assessments; Islands; Tracheophytes; French overseas territories; Endemics</t>
  </si>
  <si>
    <t>GLOBAL STRATEGY; EXTINCTION RISK; DATA DEFICIENCY; TARGET 2</t>
  </si>
  <si>
    <t>Assessment methods have been developed to estimate a preliminary conservation status for species and subsequently to facilitate the building of Red Lists. Such pre-assessment methods could be particularly useful in the French Overseas Territories (FOTs) where Red Lists tend to be out-dated or absent and where a high number of endemic species face detrimental anthropogenic pressures. We first aimed to conduct a preliminary assessment (hereafter, pre-assessment) of the conservation status of endemic plants from Guadeloupe, Martinique, Reunion, Mayotte, French sub-Antarctic islands, New Caledonia, and Scattered Islands. We then compared the various methods used in conducting the pre-assessment and discussed ways to adapt these methods to small territories. We compiled occurrence data of endemic species identified thanks to a previous taxonomic work and pre-assessed their conservation status under Red List criteria A and B and the use of a Random Forest algorithm. We then measured the accuracy, specificity, and sensitivity of each method based on existing Red Lists. The Random Forest algorithm and a method based on range-size performed best at correctly attributing conservation status. Using these pre-assessment methods, we estimated that up to 60% of the endemic flora of the FOTs is potentially threatened. Range restriction but also anthropogenic pressures were key factors that explained these risks. Pre-assessment methods are useful tools to get a first measure of species conservation status. These methods should be adapted to the territories considered and their conservation issues in order to reach a good performance.</t>
  </si>
  <si>
    <t>[Veron, S.; Bernard, A.; Lebreton, E.; Rodrigues-Vaz, C.; Durand, M.; Invernon, V.; Pignal, M.; Muller, S.; Rouhan, G.] Univ Antilles, Sorbonne Univ, Ecole Prat Hautes Etud,Museum Natl Hist Nat, Inst Systemat Evolut Biodivers ISYEB,CNRS, 57 Rue Cuvier 39, F-75005 Paris, France; [Lebreton, E.] Inst Bot B22, Campus Sart Tilman Quartier VALLEE 1 Chemin Valle, B-44000 Liege, Belgium; [Rodrigues-Vaz, C.] Univ Montpellier, Inst Rech Dev IRD, Divers Adaptat Dev Plantes DIADE, F-34394 Montpellier, France; [Procopio, L.; Helion, M.] Gwada Bot Chemin La Chaise, F-97115 St Rose, Guadeloupe, France; [Gayot, M.] Agence Reg Biodivers Iles Guadeloupe, Jardin Bot, F-97109 Basse Terre, Guadeloupe, France; [Viscardi, G.] Conservatoire Bot Natl Martinique, Espace Camille Darsieres, BP 4033, F-97254 Fort De France, Martinique, France; [Krupnick, G. A.] Smithsonian Inst, Dept Bot, Natl Museum Nat Hist, POB 37012,MRC 166, Washington, DC 20013 USA; [Carrington, C. M. S.] Univ West Indies, Dept Biol &amp; Chem Sci, Cave Hill Campus, Bridgetown BB11000, Barbados; [Boullet, V.; Mallet, B.; Hivert, J.] Conservatoire Bot Natl Mascarin, 2 Rue Pere Georges Les Colimacons, F-97436 St Leu, La Reunion, France; [Boullet, V.] Univ Bretagne Occidentale, F-29200 Brest, France; [Dimassi, A.] Conservatoire Bot Natl Mascarin Antenne Mayotte, 1 Ruelle Chamodeau,Route Natl 2 Coconi, F-97670 Ouangani, Mayotte, France; [Pailler, T.] Univ La Reunion, Cirad, UMR C53, Peuplements Vegetaux &amp; Bioagresseurs Milieu Trop, 117 Rue Gen Ailleret, F-97430 Le Tampon, Reunion, France; [Lebouvier, M.] Univ Rennes 1, CNRS, UMR 6553, EcoBio Ecosyst Biodivers Evolut, F-35000 Rennes, France; [Agnola, P.] Terres Australes &amp; Antarctiques Francaises, Direct Environm, 1 Rue Gabriel Dejean, F-97410 St Pierre, Reunion, France; [Bruy, D.] Univ Montpellier, AMAP, IRD, CIRAD,CNRS,INRAE, Montpellier, France; [Bruy, D.] Herbier Nouvelle Caledonie, AMAP, IRD, Noumea, New Caledonia; [Gateble, G.] Inst Agron Neo Caledonien, Equipe ARBOREAL, 101 Promenade Roger Laroque, Noumea 98848, New Caledonia; [Lannuzel, G.; Meyer, S.] New Caledonia Plants Red List Author, Endemia, BP 4682, Noumea 98847, New Caledonia; [Gargominy, O.; Gigot, G.; Leblond, S.; Tercerie, S.] MNHN, PatriNat OFB, F-75005 Paris, France; [Veron, S.] UICN, Com Francais, 259-261 Rue Paris, F-93100 Montreuil, France; [Gateble, G.] INRAE, UE 1353, Unite Expt Villa Thuret, Antibes Juan Les Pins, France</t>
  </si>
  <si>
    <t>Universite PSL; Ecole Pratique des Hautes Etudes (EPHE); Museum National d'Histoire Naturelle (MNHN); Centre National de la Recherche Scientifique (CNRS); Sorbonne Universite; Universite de Montpellier; Institut de Recherche pour le Developpement (IRD); Smithsonian Institution; Smithsonian National Museum of Natural History; University West Indies Mona Jamaica; University West Indies Cave Hill Campus; Universite de Bretagne Occidentale; CIRAD; University of La Reunion; Centre National de la Recherche Scientifique (CNRS); CNRS - Institute of Ecology &amp; Environment (INEE); Universite de Rennes; Centre National de la Recherche Scientifique (CNRS); Universite de Montpellier; CIRAD; INRAE; Institut de Recherche pour le Developpement (IRD); Institut de Recherche pour le Developpement (IRD); Museum National d'Histoire Naturelle (MNHN); INRAE</t>
  </si>
  <si>
    <t>Véron, S (corresponding author), Univ Antilles, Sorbonne Univ, Ecole Prat Hautes Etud,Museum Natl Hist Nat, Inst Systemat Evolut Biodivers ISYEB,CNRS, 57 Rue Cuvier 39, F-75005 Paris, France.;Véron, S (corresponding author), UICN, Com Francais, 259-261 Rue Paris, F-93100 Montreuil, France.</t>
  </si>
  <si>
    <t>simon.veron@mnhn.fr</t>
  </si>
  <si>
    <t>Gâteblé, Gildas/O-2000-2018; Rouhan, Germinal/P-4717-2019</t>
  </si>
  <si>
    <t>Gâteblé, Gildas/0000-0003-2831-6384; Rouhan, Germinal/0000-0002-0751-5352; Lebreton, Elise/0000-0002-4628-6521; Krupnick, Gary/0000-0002-1357-4826; Invernon, Vanessa/0000-0002-2037-6158</t>
  </si>
  <si>
    <t>Office Francais de la Biodiversite (OFB); Ministere des Outre-mer; Museum National d'Histoire naturelle (MNHN)</t>
  </si>
  <si>
    <t>The research was supported by the Office Francais de la Biodiversite (OFB), the Ministere des Outre-mer and the Museum National d'Histoire naturelle (MNHN).</t>
  </si>
  <si>
    <t>10.1007/s10531-023-02544-8</t>
  </si>
  <si>
    <t>A1OD2</t>
  </si>
  <si>
    <t>WOS:000922729900001</t>
  </si>
  <si>
    <t>Visch, W; Layton, C; Hurd, CL; Macleod, C; Wright, JT</t>
  </si>
  <si>
    <t>Visch, Wouter; Layton, Cayne; Hurd, Catriona L.; Macleod, Catriona; Wright, Jeffrey T.</t>
  </si>
  <si>
    <t>A strategic review and research roadmap for offshore seaweed aquaculture-A case study from southern Australia</t>
  </si>
  <si>
    <t>Asparagopsis; cultivation; Durvillaea; kelp; macroalgae</t>
  </si>
  <si>
    <t>ASPARAGOPSIS-ARMATA BONNEMAISONIALES; UNDARIA-PINNATIFIDA PHAEOPHYCEAE; KELP MACROCYSTIS-PYRIFERA; GIANT-KELP; DURVILLAEA-POTATORUM; DISPERSAL MECHANISMS; NEW-ZEALAND; LAMINARIALES; CHALLENGES; RHODOPHYTA</t>
  </si>
  <si>
    <t>Global seaweed aquaculture production has more than tripled since 2002 and is dominated by Asian countries with farming operations that typically occur in relatively wave-protected, nearshore areas. To meet future demand, production must move to non-traditional regions and into less contested waters offshore. However, the technological complexities and uncertainties in the performance of seaweed cultivated in high-energy offshore environments are substantial and must be overcome. Here, we identify knowledge gaps and suggest a research roadmap to inform the advancement of a commercial offshore seaweed aquaculture industry using southern Australian species as case studies: (1) Durvillaea spp. (order Fucales); (2) four kelps (order Laminariales); and (3) the rhodophyte Asparagopsis. These groups lie along a spectrum of commercial viability and readiness for offshore aquaculture, and key knowledge gaps are cultivation technology and the suitability to offshore conditions. Cultivation of Durvillaea is restricted by a low level of biological and technical understanding, but there is high market potential and readiness. For laminarian kelps, commercial production in nearshore conditions is already occurring elsewhere, which make them the most likely candidate for offshore cultivation in the medium term. Asparagopsis is least suited to offshore conditions, with substantial gaps in general cultivation knowledge, and its cultivation is likely to be restricted to land-based systems or relatively sheltered nearshore waters. The knowledge gaps identified here will inform research and development programs to advance offshore seaweed aquaculture in southern Australia and globally.</t>
  </si>
  <si>
    <t>[Visch, Wouter; Layton, Cayne; Hurd, Catriona L.; Macleod, Catriona; Wright, Jeffrey T.] Univ Tasmania, Inst Marine &amp; Antarctic Studies, Hobart, Tas, Australia; [Layton, Cayne] Univ Tasmania, Ctr Marine Socioecol, Hobart, Tas, Australia</t>
  </si>
  <si>
    <t>Visch, W; Layton, C (corresponding author), Univ Tasmania, Inst Marine &amp; Antarctic Studies, Hobart, Tas 7005, Australia.</t>
  </si>
  <si>
    <t>wouter.visch@utas.edu.au; cayne.layton@utas.edu.au</t>
  </si>
  <si>
    <t>Hurd, Catriona L/J-2411-2013; Wright, Jeffrey/J-7536-2014; Layton, Cayne/J-8443-2013; Macleod, Catriona/J-7176-2014</t>
  </si>
  <si>
    <t>Wright, Jeffrey/0000-0002-1085-4582; Layton, Cayne/0000-0002-3390-6437; Macleod, Catriona/0000-0002-0539-6361; Visch, Wouter/0000-0003-4291-6239</t>
  </si>
  <si>
    <t>Blue Economy Cooperative Research Centre [2.20.001]</t>
  </si>
  <si>
    <t>Blue Economy Cooperative Research Centre</t>
  </si>
  <si>
    <t>Blue Economy Cooperative Research Centre, Grant/Award Number: 2.20.001</t>
  </si>
  <si>
    <t>10.1111/raq.12788</t>
  </si>
  <si>
    <t>U2AA5</t>
  </si>
  <si>
    <t>WOS:000919061300001</t>
  </si>
  <si>
    <t>Bolstad, KSR; Amsler, MO; De Broyer, C; Komoda, M; Iwasaki, H</t>
  </si>
  <si>
    <t>Bolstad, K. S. R.; Amsler, M. O.; De Broyer, C.; Komoda, M.; Iwasaki, H.</t>
  </si>
  <si>
    <t>In-situ observations of an intact natural whale fall in Palmer deep, Western Antarctic Peninsula</t>
  </si>
  <si>
    <t>Whale fall; Antarctic; Deep-sea; Ecology; Submersible; Balaenoptera</t>
  </si>
  <si>
    <t>ANNELIDA SIBOGLINIDAE; MONTEREY CANYON; SEA; OSEDAX; WORMS; ECOSYSTEMS; SUCCESSION; DISCOVERY; DIVERSITY; ECOLOGY</t>
  </si>
  <si>
    <t>Whale carcasses on the seafloor support unique, ephemeral communities of organisms, and 'natural' whale fall sites are infrequently encountered, especially in polar regions. During a manned submersible dive in early 2017, we discovered the skeleton of an Antarctic minke whale (Balaenoptera bonaerensis) at 963 m in Palmer Deep, in the Western Antarctic Peninsula. The site was filmed in HD for approximately two hours, enabling visual identification of representatives from at least eight phyla, although physical sampling was not possible. The remains appeared to be in the late 'enrichment-opportunistic' phase (although some mobile scavengers were still present and some sulfonic activity had already commenced), with polychaetes of the order Aciculata, and family Ampharetidae, plus several amphipod species, most abundant. Novel eusirid amphipod and rhodaliid siphonophore taxa were also present. The observed faunal distribution suggests patterns consistent with reports from other Antarctic whale falls (both experimental and natural). This discovery represents the highest-latitude natural whale fall reported to date.</t>
  </si>
  <si>
    <t>[Bolstad, K. S. R.] Auckland Univ Technol, Sch Sci, AUT Lab Cephalopod Ecol &amp; Syst, Private Bag 92006, Auckland 1142, New Zealand; [Amsler, M. O.] Univ Alabama Birmingham, Dept Biol, Birmingham, AL 35294 USA; [De Broyer, C.] Royal Belgian Inst Nat Sci OD Taxon &amp; Phylogeny, B-1000 Brussels, Belgium; [Komoda, M.; Iwasaki, H.] NHK Enterprises Ltd, Tokyo, Japan</t>
  </si>
  <si>
    <t>Auckland University of Technology; University of Alabama System; University of Alabama Birmingham; Royal Belgian Institute of Natural Sciences</t>
  </si>
  <si>
    <t>Bolstad, KSR (corresponding author), Auckland Univ Technol, Sch Sci, AUT Lab Cephalopod Ecol &amp; Syst, Private Bag 92006, Auckland 1142, New Zealand.</t>
  </si>
  <si>
    <t>kbolstad@aut.ac.nz</t>
  </si>
  <si>
    <t>Amsler, Margaret/0000-0002-7196-1576</t>
  </si>
  <si>
    <t>NHK Enterprises,Ltd,Tokyo,Japan</t>
  </si>
  <si>
    <t>10.1007/s00300-022-03109-1</t>
  </si>
  <si>
    <t>9X2QY</t>
  </si>
  <si>
    <t>WOS:000919057300001</t>
  </si>
  <si>
    <t>Han, B; Wang, G; Liu, A; Zheng, YC; Zheng, L; Ding, RT</t>
  </si>
  <si>
    <t>Han, Bin; Wang, Gui; Liu, Ang; Zheng, Yunchao; Zheng, Li; Ding, Runtian</t>
  </si>
  <si>
    <t>Characteristics and source analysis of polycyclic aromatic hydrocarbons in organisms and manure near Ardley Island, Antarctica</t>
  </si>
  <si>
    <t>Polycyclic aromatic hydrocarbons; Organisms; Source analysis; Characteristics; Ardley Island</t>
  </si>
  <si>
    <t>ECOLOGICAL RISK-ASSESSMENT; PAHS; SEDIMENTS; WATER</t>
  </si>
  <si>
    <t>In order to better understand the migration and accumulation behavior of polycyclic aromatic hydrocarbons (PAHs) in biological chains in the cold environment around the Ardley Island, a variety of biological and penguin manure samples during China's 36th Antarctic Scientific expedition have been collected and studied. A certain difference in PAHs concentration was observed in the environmental samples, and the order of size was as follows: fish &gt; limpets &gt; krill &gt; manure &gt; brown alga &gt; mosses. The percentage of PAHs with different ring numbers in brown alga, moss, and krill was in the following order: three rings &gt; two rings &gt; four rings &gt; five rings &gt; six rings. The proportion of HMW-PAHs in limpets and fish samples was higher than that in brown alga, moss, manure, and krill samples. The main source of PAHs in environmental samples near Ardley Island is oil, which may be due to the development of tourism in Antarctica, the number of ships and human activities around the region. Therefore, it is imperative to strengthen the protection of the ecological environment in the area around Ardley Island.</t>
  </si>
  <si>
    <t>[Han, Bin; Wang, Gui; Liu, Ang; Zheng, Yunchao; Zheng, Li] Minist Nat Resources, Inst Oceanog 1, Marine Bioresource &amp; Environm Res Ctr, Key Lab Marine Ecoenvironm Sci &amp; Technol, Qingdao 266061, Peoples R China; [Han, Bin; Zheng, Li] Qingdao Natl Lab Marine Sci &amp; Technol, Lab Marine Ecol &amp; Environm Sci, Qingdao 266071, Peoples R China; [Wang, Gui] Harbin Engn Univ, Qingdao Innovat &amp; Dev Ctr, Qingdao 266500, Peoples R China; [Ding, Runtian] Qingdao Hailukong Environm Automat Control Engn Co, Qingdao, Peoples R China</t>
  </si>
  <si>
    <t>Ministry of Natural Resources of the People's Republic of China; First Institute of Oceanography, Ministry of Natural Resources; Laoshan Laboratory; Harbin Engineering University</t>
  </si>
  <si>
    <t>Han, B; Zheng, L (corresponding author), Minist Nat Resources, Inst Oceanog 1, Marine Bioresource &amp; Environm Res Ctr, Key Lab Marine Ecoenvironm Sci &amp; Technol, Qingdao 266061, Peoples R China.</t>
  </si>
  <si>
    <t>hanbin@fio.org.cn; zhengli@fio.org.cn</t>
  </si>
  <si>
    <t>Zheng, Yunchao/ABC-5405-2021</t>
  </si>
  <si>
    <t>Zheng, Yunchao/0000-0002-1921-686X</t>
  </si>
  <si>
    <t>Major Scientific and Technological Innovation Project (MSTIP) of Shandong, China [2021CXGC010705]; Chinese Polar Project of Investigation of heavy metals and organic pollutants in polar soils; Chinese Antarctic Scientific Expedition; Great Wall Polar Ecology National Field Observation and Research Station</t>
  </si>
  <si>
    <t>Major Scientific and Technological Innovation Project (MSTIP) of Shandong, China; Chinese Polar Project of Investigation of heavy metals and organic pollutants in polar soils; Chinese Antarctic Scientific Expedition; Great Wall Polar Ecology National Field Observation and Research Station</t>
  </si>
  <si>
    <t>We thank the Major Scientific and Technological Innovation Project (MSTIP) of Shandong, China (2021CXGC010705) and the Chinese Polar Project of Investigation of heavy metals and organic pollutants in polar soils for partial funding support. I would like to thank the 36th Chinese Antarctic Scientific Expedition and the Great Wall Polar Ecology National Field Observation and Research Station for your support.</t>
  </si>
  <si>
    <t>10.1016/j.marpolbul.2023.114577</t>
  </si>
  <si>
    <t>8O2AV</t>
  </si>
  <si>
    <t>WOS:000925643600001</t>
  </si>
  <si>
    <t>Sajidh, CK; Chatterjee, A</t>
  </si>
  <si>
    <t>Sajidh, C. K.; Chatterjee, Abhisek</t>
  </si>
  <si>
    <t>Indian Ocean dynamic sea level, its variability and projections in CMIP6 models</t>
  </si>
  <si>
    <t>Ocean dynamics; Climate modes; Indian Ocean dipole; Global warming; Emission scenarios</t>
  </si>
  <si>
    <t>SOUTHERN-HEMISPHERE WESTERLIES; INDONESIAN THROUGHFLOW; INTERANNUAL VARIABILITY; SURFACE HEIGHT; CIRCULATION; PACIFIC; CLIMATE; REMOTE; RISE; TEMPERATURE</t>
  </si>
  <si>
    <t>The regional sea level variability and its projection amidst the global sea level rise is one of the major concerns for coastal communities. The dynamic sea level plays a major role in the observed spatial deviations in regional sea level rise from the global mean. The present study evaluates 27 climate model simulations from the sixth phase of the Coupled Model Intercomparison Project (CMIP6) for their representation of the historical mean states, variability and future projections for the Indian Ocean. Most models reproduce the observed mean state of the dynamic sea level realistically; however, consistent positive bias is evident across the latitudinal range of the Indian Ocean. The strongest sea level bias is seen along the Antarctic Circumpolar Current (ACC) regime owing to the stronger than observed south Indian Ocean westerlies and its equatorward bias. This equatorward shift of the wind field also results in a stronger positive windstress curl across the southeasterly trade wind regime in the southern tropical basin and an easterly wind bias along the equatorial waveguide. Owing to the anomalous easterly equatorial winds, the thermocline in the eastern tropical basin is shallower in the models than observed, resulting in enhanced variability there. Such spurious variability in the eastern part of the basin causes models to become biased towards the dipole zonal mode or Indian Ocean dipole patterns in the tropics. In the north Indian Ocean, the summer monsoon winds are weak in the model leading to weaker coastal upwelling and positive sea level bias along the western Arabian Sea. Further, it is noted that the high-resolution models compare better in simulating the sea level variability, particularly in the eddy-dominated regions like the ACC regime in interannual timescale. However, these improved variabilities do not necessarily produce a better mean state likely due to the spurious enhanced mixing driven by parametrizations set in these high-resolution models. Finally, the overall pattern of the projected dynamic sea level rise is similar for the mid (SSP2-4.5) and high-end (SSP5-8.5) scenarios, except that the magnitude is higher under the high emission situation. Notably, the projected dynamic sea level change is milder when only the best-performing models are used compared to the complete ensemble.</t>
  </si>
  <si>
    <t>[Sajidh, C. K.; Chatterjee, Abhisek] Minist Earth Sci, Indian Natl Ctr Ocean Informat Serv, Hyderabad, India; [Sajidh, C. K.] Kerala Univ Fisheries &amp; Ocean Studies, INCOIS KUFOS Joint Ctr, Cochin, India</t>
  </si>
  <si>
    <t>Ministry of Earth Sciences (MoES) - India; Indian National Centre for Ocean Information Services (INCOIS); Kerala University of Fisheries &amp; Ocean Studies</t>
  </si>
  <si>
    <t>Chatterjee, A (corresponding author), Minist Earth Sci, Indian Natl Ctr Ocean Informat Serv, Hyderabad, India.</t>
  </si>
  <si>
    <t>abhisek.c@incois.gov.in</t>
  </si>
  <si>
    <t>Chatterjee, Abhisek/0000-0001-5529-7997</t>
  </si>
  <si>
    <t>Council of Scientific and Industrial Research (CSIR), India; Deep Ocean Mission programme of the Ministry of Earth Sciences, Government of India</t>
  </si>
  <si>
    <t>Council of Scientific and Industrial Research (CSIR), India(Council of Scientific &amp; Industrial Research (CSIR) - India); Deep Ocean Mission programme of the Ministry of Earth Sciences, Government of India</t>
  </si>
  <si>
    <t>Author SCK received a research fellowship supported by the Council of Scientific and Industrial Research (CSIR), India towards his PhD programme. Funding for this work was provided from the Deep Ocean Mission programme of the Ministry of Earth Sciences, Government of India.</t>
  </si>
  <si>
    <t>10.1007/s00382-023-06676-z</t>
  </si>
  <si>
    <t>M8RN1</t>
  </si>
  <si>
    <t>WOS:000919326100001</t>
  </si>
  <si>
    <t>Leal, W; Simaens, A; Paco, A; Hernandez-Diaz, PM; Vasconcelos, CRP; Fritzen, B; Mac-Lean, C</t>
  </si>
  <si>
    <t>Leal Filho, Walter; Simaens, Ana; Paco, Arminda; Hernandez-Diaz, Paula M.; Vasconcelos, Claudio R. P.; Fritzen, Barbara; Mac-Lean, Claudia</t>
  </si>
  <si>
    <t>Integrating the Sustainable Development Goals into the strategy of higher education institutions</t>
  </si>
  <si>
    <t>INTERNATIONAL JOURNAL OF SUSTAINABLE DEVELOPMENT AND WORLD ECOLOGY</t>
  </si>
  <si>
    <t>Higher education; SDGs; implantation; strategies; integration</t>
  </si>
  <si>
    <t>UNIVERSITY; CURRICULUM</t>
  </si>
  <si>
    <t>Despite the relevance of the UN Sustainable Development Goals (SDGs) and the fact that universities may make valuable contributions towards their implementation, there is a paucity of international studies which may allow an assessment of their degree of engagement or their performance against the SDGs. This paper reports on an international study among a sample of 128 members of higher education institutions (HEIs) located in 28 countries, which aimed at ascertaining the extent to which the SDGs are being integrated into the strategy of HEIs. The focus of this paper is on the means which have been deployed by various universities in order to embed or include the SDGs in their activities. More specifically, this paper explores 1) the scope of integration, 2) the organisational influences, and 3) strategic influencing factors. The research identified the fact that, whereas many organisations are aware of the need for and the relevance of sustainable development and consider it as part of their institutional settings, the same cannot be said for the SDGs, whose level of emphasis is that many HEIs are comparatively somewhat limited. In addition, there seems to be a shortage of training opportunities focusing on the SDGs, which could equip university staff to handle this topic. Against this background, the paper describes some measures that may be implemented to make the SDGs more present in HEI programmes, hence maximising their contribution to addressing the global sustainability challenges.</t>
  </si>
  <si>
    <t>[Leal Filho, Walter] Hamburg Univ Appl Sci, European Sch Sustainabil Sci &amp; Res, Hamburg, Germany; [Leal Filho, Walter] Manchester Metropolitan Univ, Dept Nat Sci, Manchester, England; [Simaens, Ana] Inst Univ Lisboa ISCTE IUL, Business Res Unit BRU IUL, Lisbon, Portugal; [Paco, Arminda] Univ Beira Interior, Nucleo Estudos Ciencias Empresariais NECE UBI, Covilla, Portugal; [Hernandez-Diaz, Paula M.] Univ EAFIT, Proc Engn Dept, Medellin, Colombia; [Vasconcelos, Claudio R. P.] Univ Fed Paraiba, Lab Sustainabil Engn &amp; Consumpt, Joao Pessoa, Brazil; [Vasconcelos, Claudio R. P.] Univ Minho, Algoritmi Res Ctr, Sch Engn, Guimaraes, Portugal; [Fritzen, Barbara] Univ Passo Fundo, Grad Program Civil &amp; Environm Engn, Passo Fundo, Brazil; [Mac-Lean, Claudia] Univ Magallanes, GAIA Antarctic Res Ctr, Punta Arenas, Chile; [Vasconcelos, Claudio R. P.] Univ Fed Paraiba, Technol Ctr, Dept Prod Engn, Campus 1,Sect G, Joao Pessoa, PB, Brazil</t>
  </si>
  <si>
    <t>Hochschule Angewandte Wissenschaft Hamburg; Manchester Metropolitan University; Instituto Universitario de Lisboa; Universidade da Beira Interior; Universidad EAFIT; Universidade Federal da Paraiba; Universidade do Minho; Universidade de Passo Fundo; Universidad de Magallanes; Universidade Federal da Paraiba</t>
  </si>
  <si>
    <t>Vasconcelos, CRP (corresponding author), Univ Fed Paraiba, Technol Ctr, Dept Prod Engn, Campus 1,Sect G, Joao Pessoa, PB, Brazil.</t>
  </si>
  <si>
    <t>crpv@academico.ufpb.br</t>
  </si>
  <si>
    <t>Paço, Arminda/W-8285-2019; Vasconcelos, Claudio RP/HMW-1664-2023; Leal, Walter/ACX-9082-2022; Simaens, Ana/A-4976-2013; Vasconcelos, Claudio Ruy Portela de/N-4688-2018</t>
  </si>
  <si>
    <t>Paço, Arminda/0000-0002-2806-4247; Leal, Walter/0000-0002-1241-5225; Simaens, Ana/0000-0003-2571-5267; Vasconcelos, Claudio Ruy Portela de/0000-0001-8353-6406; Fritzen Gomes, Barbara Maria/0000-0002-0346-1270</t>
  </si>
  <si>
    <t>TAYLOR &amp; FRANCIS INC</t>
  </si>
  <si>
    <t>PHILADELPHIA</t>
  </si>
  <si>
    <t>530 WALNUT STREET, STE 850, PHILADELPHIA, PA 19106 USA</t>
  </si>
  <si>
    <t>1350-4509</t>
  </si>
  <si>
    <t>1745-2627</t>
  </si>
  <si>
    <t>INT J SUST DEV WORLD</t>
  </si>
  <si>
    <t>Int. J. Sustain. Dev. World Ecol.</t>
  </si>
  <si>
    <t>JUL 4</t>
  </si>
  <si>
    <t>10.1080/13504509.2023.2167884</t>
  </si>
  <si>
    <t>Green &amp; Sustainable Science &amp; Technology; Ecology</t>
  </si>
  <si>
    <t>I4WJ4</t>
  </si>
  <si>
    <t>WOS:000917773500001</t>
  </si>
  <si>
    <t>Qiao, G; Yuan, XH; Florinsky, I; Popov, S; He, YQ; Li, HW</t>
  </si>
  <si>
    <t>Qiao, Gang; Yuan, Xiaohan; Florinsky, Igor; Popov, Sergey; He, Youquan; Li, Hongwei</t>
  </si>
  <si>
    <t>Topography reconstruction and evolution analysis of outlet glacier using data from unmanned aerial vehicles in Antarctica</t>
  </si>
  <si>
    <t>INTERNATIONAL JOURNAL OF APPLIED EARTH OBSERVATION AND GEOINFORMATION</t>
  </si>
  <si>
    <t>Unmanned aerial vehicle; Structure-from-motion and multi-view-stereo; Dalk Glacier; East Antarctica; Ice rumple</t>
  </si>
  <si>
    <t>BASAL MELT RATES; ICE-SHELF; EAST ANTARCTICA; THWAITES GLACIER; ELEVATION MODEL; DALK GLACIER; FLOW; UAV; CREVASSES; PHOTOGRAMMETRY</t>
  </si>
  <si>
    <t>Reconstruction of glacial topography is important for assessing the ice dynamics of glaciers in the past and understanding how they may respond to climate change in the future. As an emerging strategy, unmanned aerial vehicles (UAVs) have been successfully used in glaciology applications to reconstruct surface topography and monitor the short-term dynamics of glaciers. However, none of these studies have focused on the ice dynamics of outlet glaciers in Antarctica. In this study, based on a combination of UAVs and a base station, we investigated Dalk Glacier, a typical marine-terminating glacier in East Antarctica, during two Chinese National Antarctic Research Expeditions from 2019 to 2020. By applying structure-from-motion and multi-view-stereo photo-grammetry, high-resolution orthomosaics and digital elevation models of the glacial topography were recon-structed with centimeter-level accuracy via in situ validation, thus marking the first application of UAV observations in the monitoring of Antarctic outlet glaciers. Topographic evolution of the glacier was quantita-tively analyzed from various aspects including ice velocity, surface elevation, crevasses, and ice front calving. A maximum ice velocity of -310 m a-1 at its terminus was observed, which was -90 m a-1 greater than that in satellite-based studies. We analyzed in detail the spatially heterogeneous changes in the ice velocity and surface elevation of the glacier under the influence of an ice rumple at its calving terminus. Combined with satellite images and existing datasets, we hypothesize that the large ice rumples at the glacier terminus could deform the glacier and potentially damage its structural integrity, thereby limiting the growth of its terminus.</t>
  </si>
  <si>
    <t>[Qiao, Gang; Yuan, Xiaohan; He, Youquan; Li, Hongwei] Tongji Univ, Coll Surveying &amp; Geoinformat, 1239 Siping Rd, Shanghai 200092, Peoples R China; [Qiao, Gang; Yuan, Xiaohan; He, Youquan; Li, Hongwei] Tongji Univ, Ctr Spatial Informat Sci &amp; Sustainable Dev Applica, 1239 Siping Rd, Shanghai 200092, Peoples R China; [Florinsky, Igor] Russian Acad Sci, Inst Math Problems Biol, Keldysh Inst Appl Math, Pushchino 142290, Moscow Region, Russia; [Popov, Sergey] Polar Marine Geosurvey Expedit PMGE, 24 Pobedy Str, St Petersburg 198412, Russia; [Popov, Sergey] St Petersburg State Univ, 7-9 Univ Skaya Emb, St Petersburg 199034, Russia</t>
  </si>
  <si>
    <t>Tongji University; Tongji University; Russian Academy of Sciences; Keldysh Institute of Applied Mathematics; Pushchino Scientific Center for Biological Research (PSCBI) of the Russian Academy of Sciences; Saint Petersburg State University</t>
  </si>
  <si>
    <t>Qiao, G (corresponding author), Tongji Univ, Coll Surveying &amp; Geoinformat, 1239 Siping Rd, Shanghai 200092, Peoples R China.</t>
  </si>
  <si>
    <t>qiaogang@tongji.edu.cn</t>
  </si>
  <si>
    <t>Florinsky, Igor/C-4529-2013; Bakanova, Nina B/D-9127-2016; He, YouQuan/JGM-3476-2023; Li, Hongwei/AAM-8510-2021; Qiao, Gang/AAU-5717-2020</t>
  </si>
  <si>
    <t>Florinsky, Igor/0000-0003-1273-5912; Yuan, Xiaohan/0009-0007-3043-9777</t>
  </si>
  <si>
    <t>National Key Research and Development Program of China [2017YFA0603102, 2021YFB3900105]; Strategic Priority Research Program of the Chinese Academy of Sciences [XDA19070202]; National Natural Science Foundation of China [42276249, 42011530088, 42111530185, 41941006, 41771471]; Fundamental Research Funds for the Central Universities</t>
  </si>
  <si>
    <t>National Key Research and Development Program of China; Strategic Priority Research Program of the Chinese Academy of Sciences(Chinese Academy of Sciences); National Natural Science Foundation of China(National Natural Science Foundation of China (NSFC)); Fundamental Research Funds for the Central Universities(Fundamental Research Funds for the Central Universities)</t>
  </si>
  <si>
    <t>The research presented in this paper was funded by the National Key Research and Development Program of China (2017YFA0603102, 2021YFB3900105) , the Strategic Priority Research Program of the Chinese Academy of Sciences (XDA19070202) , the National Natural Science Foundation of China (42276249, 42011530088, 42111530185, 41941006, and 41771471) , and the Fundamental Research Funds for the Central Universities. We would like to thank the logistic and technical support provided by the 35th and 36th CHINARE teams, the Polar Research Institute of China, and the Chinese Arctic and Antarctic Administration.</t>
  </si>
  <si>
    <t>1569-8432</t>
  </si>
  <si>
    <t>1872-826X</t>
  </si>
  <si>
    <t>INT J APPL EARTH OBS</t>
  </si>
  <si>
    <t>Int. J. Appl. Earth Obs. Geoinf.</t>
  </si>
  <si>
    <t>10.1016/j.jag.2023.103186</t>
  </si>
  <si>
    <t>C9BU7</t>
  </si>
  <si>
    <t>WOS:000964796800001</t>
  </si>
  <si>
    <t>Perelman, JN; Ladroit, Y; Escobar-Flores, P; Firing, E; Drazen, JC</t>
  </si>
  <si>
    <t>Perelman, Jessica N.; Ladroit, Yoann; Escobar-Flores, Pablo; Firing, E.; Drazen, Jeffrey C.</t>
  </si>
  <si>
    <t>Eddies and fronts influence pelagic communities across the eastern Pacific ocean</t>
  </si>
  <si>
    <t>TROPICAL PACIFIC; NORTH PACIFIC; BIOGEOGRAPHIC CLASSIFICATION; MESOSCALE FEATURES; MICRONEKTON; FISH; MIGRATION; HABITAT; RINGS; ORGANISMS</t>
  </si>
  <si>
    <t>The behaviors of micronekton and zooplankton across the eastern Pacific Ocean are poorly known, as pelagic fauna in this region are rarely sampled. One particularly understudied aspect of these community dynamics is their distribution and responses to mesoscale oceanographic features. To explore this, we conducted active acoustics and oceanographic surveys at two locations within the eastern Pacific Ocean with Saildrone uncrewed surface vehicles. Using 38 and 200 kHz data collected by these platforms, we evaluated the vertical structure and migration patterns of micronekton and large zooplankton in the upper 1000 m of the water column within survey areas at the western and eastern ends of this region. We found stronger and shallower acoustic backscatter and stronger DVM intensity within the eastern area, likely driven by its significantly lower midwater oxygen and higher surface productivity compared to the western area. The passage of cyclonic and anticyclonic eddies through the sampling areas was found to correlate with changes in the vertical structure of micronekton in both survey areas by shoaling and deepening acoustic scattering layers, respectively. Further, the strength of mesopelagic scattering layers was greatly increased along the northern frontal boundary of a strong, westward near-surface current in our eastern study area. Our results highlight the considerable natural variability of pelagic community dynamics on daily to weekly scales in the eastern Pacific Ocean in addition to broader regional patterns. Such variation is inherent to open ocean conditions and plays a large role in aggregation and predator-prey dynamics. Describing the interactions between mesoscale features and pelagic fauna may help us understand how these communities will respond to a changing ocean environment- induced by anthropogenic activities and broader climate-related shifts. This is the first study to use Saildrones to examine micronekton in the open ocean and provides some of the only remote sampling of pelagic prey communities in the eastern Pacific Ocean.</t>
  </si>
  <si>
    <t>[Perelman, Jessica N.; Firing, E.; Drazen, Jeffrey C.] Univ Hawaii Manoa, Dept Oceanog, Honolulu, HI 96822 USA; [Ladroit, Yoann; Escobar-Flores, Pablo] Natl Inst Water &amp; Atmospher Res NIWA, Wellington NZ 6241, England; [Ladroit, Yoann] Univ Tasmania, Inst Marine &amp; Antarctic Studies, Battery Point, Tas 7004, Australia; [Perelman, Jessica N.] Univ Hawaii, Cooperat Inst Marine &amp; Atmospher Res, Honolulu, HI 96822 USA; [Perelman, Jessica N.] Natl Marine Fisheries Serv, NOAA, Pacific Isl Fisheries Sci Ctr, Honolulu, HI 96822 USA</t>
  </si>
  <si>
    <t>University of Hawaii System; University of Hawaii Manoa; University of Tasmania; University of Hawaii System; National Oceanic Atmospheric Admin (NOAA) - USA; National Aeronautics &amp; Space Administration (NASA)</t>
  </si>
  <si>
    <t>Perelman, JN (corresponding author), Univ Hawaii Manoa, Dept Oceanog, Honolulu, HI 96822 USA.;Perelman, JN (corresponding author), Univ Hawaii, Cooperat Inst Marine &amp; Atmospher Res, Honolulu, HI 96822 USA.;Perelman, JN (corresponding author), Natl Marine Fisheries Serv, NOAA, Pacific Isl Fisheries Sci Ctr, Honolulu, HI 96822 USA.</t>
  </si>
  <si>
    <t>jessica.perelman@noaa.gov</t>
  </si>
  <si>
    <t>Drazen, Jeffrey/C-1197-2013</t>
  </si>
  <si>
    <t>Drazen, Jeffrey/0000-0001-9613-3833</t>
  </si>
  <si>
    <t>ARCS Foundation Honolulu Chapter</t>
  </si>
  <si>
    <t>JNP led survey design, data collection and analysis, manuscript writing, and secured funding for the western area Saildrone survey. JCD secured TMC funding for this project and aided in survey design and data collection. YL and PEF aided in acoustic data collection, analysis, and interpretation, and EF assisted with interpretation of environmental variables and physical oceanography. All authors contributed to manuscript writing and have approved the submitted document. We would like to thank Dr. Kyle Edwards for his contributions to statistical analyses, as well as Dr. Jesse van der Grient and Dr. Justin Suca for their input and discussions regarding interpretation of the re-sults. We would like to acknowledge Saildrone, Inc. for their generous award to support the western area data collection for this project, and the entire Saildrone operations team for their commitment to seeing these surveys through successfully. Finally, we thank The Metals Company for their funding support and the crew and scientists aboard the Maersk Launcher for their help in coordinating with the USV. Authors JN Perelman and JC Drazen have received support from TMC the metals company Inc. (The Metals Company, Canada) through its subsidiary Nauru Ocean Resources Inc. (NORI) . NORI holds exploration rights to the NORI-D contract area in the CCZ regulated by the International Seabed Authority and sponsored by the government of Nauru. This is contribution TMC/NORI/D/004 and SOEST contribution 11626. JN Perelman was additionally supported by the ARCS Foundation Honolulu Chapter.</t>
  </si>
  <si>
    <t>10.1016/j.pocean.2023.102967</t>
  </si>
  <si>
    <t>C6TH3</t>
  </si>
  <si>
    <t>WOS:000963212900001</t>
  </si>
  <si>
    <t>Hole, MJ; Gibson, SA; Morris, MC</t>
  </si>
  <si>
    <t>Hole, Malcolm J.; Gibson, Sally A.; Morris, Matthew C.</t>
  </si>
  <si>
    <t>Slab window-related magmatism as a probe for pyroxenite heterogeneities in the upper mantle</t>
  </si>
  <si>
    <t>ANTARCTIC-PHOENIX RIDGE; JAMES-ROSS-ISLAND; ALKALIC BASALTS; TRACE-ELEMENT; OLIVINE; VOLCANISM; GENESIS; ORIGIN; LAVAS; CAKE</t>
  </si>
  <si>
    <t>New high-precision trace-element analyses of magmatic olivines point to a pyroxenite-dominated source for recent alkali basalts erupted above slab windows formed along the Antarctic Peninsula. Melting occurred at ambient mantle temperature, and basalts have geochemical compositions that are indistinguishable from ocean-island basalts (OIBs). We propose that the pyroxenite component originally resided in the upper mantle beneath the subducted slab; formation of a slab window allowed limited decompression and the genera-tion of melts of garnet-pyroxenite, but little or no melting of mantle peridotite. The pyrox-enite component in the mantle formed ca. 550 Ma, an age that does not require long-term recycling of subducting slabs to the core-mantle boundary. Enriched mid-ocean ridge basalt (E-MORB) from the adjacent extinct Phoenix Ridge owes its enriched trace-element compo-sitions to mixing between small melt fractions of pyroxenite and peridotite during a period of decreased spreading rate prior to the death of the ridge ca. 3.3 Ma. It is likely that the variable trace-element enrichment seen in East Pacific Rise E-MORB distal from hotspots results from the same process of interactions between small-melt-fraction (</t>
  </si>
  <si>
    <t>[Hole, Malcolm J.] Univ Aberdeen, Dept Geol &amp; Geophys, Aberdeen AB24 3UE, Scotland; [Gibson, Sally A.; Morris, Matthew C.] Univ Cambridge, Dept Earth Sci, Cambridge CB2 3EQ, England</t>
  </si>
  <si>
    <t>University of Aberdeen; University of Cambridge</t>
  </si>
  <si>
    <t>Hole, MJ (corresponding author), Univ Aberdeen, Dept Geol &amp; Geophys, Aberdeen AB24 3UE, Scotland.</t>
  </si>
  <si>
    <t>Morris, Matthew/0000-0003-4347-1104</t>
  </si>
  <si>
    <t>10.1130/G50687.1</t>
  </si>
  <si>
    <t>E6KJ2</t>
  </si>
  <si>
    <t>WOS:000928910200001</t>
  </si>
  <si>
    <t>Mejias, TC; Gañan, M; Rendoll-Cárcamo, J; Maturana, CS; Benítez, HA; Kennedy, J; Rozzi, R; Convey, P</t>
  </si>
  <si>
    <t>Contador Mejias, Tamara; Ganan, Melisa; Rendoll-Carcamo, Javier; Maturana, Claudia S. S.; Benitez, Hugo A. A.; Kennedy, James; Rozzi, Ricardo; Convey, Peter</t>
  </si>
  <si>
    <t>A polar insect's tale: Observations on the life cycle of Parochlus steinenii, the only winged midge native to Antarctica</t>
  </si>
  <si>
    <t>Antarctica; Chironomidae; environmental adaptation; life history; phenology</t>
  </si>
  <si>
    <t>ECOLOGICAL RESPONSES; DIPTERA; CHIRONOMIDAE; DISPERSAL; TRAITS</t>
  </si>
  <si>
    <t>[Contador Mejias, Tamara; Ganan, Melisa; Rendoll-Carcamo, Javier; Maturana, Claudia S. S.; Benitez, Hugo A. A.; Convey, Peter] Millennium Inst Biodivers Antarctic &amp; Subantarct, BASE, Santiago, Chile; [Contador Mejias, Tamara; Ganan, Melisa; Rendoll-Carcamo, Javier; Maturana, Claudia S. S.; Benitez, Hugo A. A.; Kennedy, James; Rozzi, Ricardo; Convey, Peter] CHIC, Puerto Williams, Chile; [Contador Mejias, Tamara; Ganan, Melisa; Rendoll-Carcamo, Javier] Millennium Nucleus Austral Invas Salmonids INVAS, Concepcion, Chile; [Contador Mejias, Tamara; Ganan, Melisa; Rendoll-Carcamo, Javier; Maturana, Claudia S. S.; Kennedy, James; Rozzi, Ricardo] Univ Magallanes, Subantarctic Biocultural Conservat Program, Wankara Lab, Punta Arenas, Chile; [Benitez, Hugo A. A.] Univ Catolica Maule, Ctr Invest Estudios Avanzados Maule, Lab Ecol &amp; Morfometria Evolut, Talca, Chile; [Kennedy, James] Univ North Texas, Dept Biol Sci, Denton, TX USA; [Rozzi, Ricardo] Univ North Texas, Dept Philosophy &amp; Relig Studies, Denton, TX USA; [Convey, Peter] NERC, British Antarctic Survey, Cambridge, England; [Convey, Peter] Univ Johannesburg, Dept Zool, Johannesburg, South Africa</t>
  </si>
  <si>
    <t>Universidad de Magallanes; Universidad Catolica del Maule; University of North Texas System; University of North Texas Denton; University of North Texas System; University of North Texas Denton; UK Research &amp; Innovation (UKRI); Natural Environment Research Council (NERC); NERC British Antarctic Survey; University of Johannesburg</t>
  </si>
  <si>
    <t>Mejias, TC (corresponding author), Millennium Inst Biodivers Antarctic &amp; Subantarct, BASE, Santiago, Chile.;Mejias, TC (corresponding author), CHIC, Puerto Williams, Chile.;Mejias, TC (corresponding author), Millennium Nucleus Austral Invas Salmonids INVAS, Concepcion, Chile.;Mejias, TC (corresponding author), Univ Magallanes, Subantarctic Biocultural Conservat Program, Wankara Lab, Punta Arenas, Chile.</t>
  </si>
  <si>
    <t>tamara.contador@umag.cl</t>
  </si>
  <si>
    <t>Rozzi, Ricardo/G-1047-2012; Convey, Peter/AAV-5728-2020; Benítez, Hugo A/C-5077-2011; Maturana, Claudia/JOK-7975-2023; Contador, Tamara/Q-1914-2018</t>
  </si>
  <si>
    <t>Rozzi, Ricardo/0000-0001-5265-8726; Convey, Peter/0000-0001-8497-9903; Maturana, Claudia/0000-0002-4427-8093; Rendoll, Javier/0000-0003-1928-0914; Ganan Mora, Melisa/0000-0001-6411-9295; Contador, Tamara/0000-0002-0250-9877; Benitez, Hugo/0000-0001-7553-9893</t>
  </si>
  <si>
    <t>Fondo Nacional de Desarrollo Cientifico y Tecnologico [11130451, FB210018, ICN2021_002, 3210063]; Instituto Chileno Antartico (INACH) [RT_48_16]; Natural Environmental Research Council; British Antarctic Survey</t>
  </si>
  <si>
    <t>Fondo Nacional de Desarrollo Cientifico y Tecnologico(Comision Nacional de Investigacion Cientifica y Tecnologica (CONICYT)CONICYT FONDECYT); Instituto Chileno Antartico (INACH); Natural Environmental Research Council(UK Research &amp; Innovation (UKRI)Natural Environment Research Council (NERC)); British Antarctic Survey</t>
  </si>
  <si>
    <t>Fondo Nacional de Desarrollo Cientifico y Tecnologico, Grant/Award Numbers: 11130451, FB210018, ICN2021_002, 3210063; Instituto Chileno Antartico (INACH), Grant/Award Number: RT_48_16; Natural Environmental Research Council; British Antarctic Survey</t>
  </si>
  <si>
    <t>10.1002/ecy.3964</t>
  </si>
  <si>
    <t>9H9MR</t>
  </si>
  <si>
    <t>WOS:000920702700001</t>
  </si>
  <si>
    <t>Quezada-Rodriguez, PR; Taylor, RS; Jantawongsri, K; Nowak, BF; Wynne, JW</t>
  </si>
  <si>
    <t>Quezada-Rodriguez, Petra R.; Taylor, Richard S.; Jantawongsri, Khattapan; Nowak, Barbara F.; Wynne, James W.</t>
  </si>
  <si>
    <t>Association between melanin deposits in gill tissue and microbiome across different hatchery reared Atlantic salmon</t>
  </si>
  <si>
    <t>JOURNAL OF APPLIED MICROBIOLOGY</t>
  </si>
  <si>
    <t>gill commensal microbiome; commercial hatcheries; melanin deposits; gill disease; melanization</t>
  </si>
  <si>
    <t>FISH GILL; SALAR L.; DISEASE; RAS; INFECTIONS; PATHOGENS; PATHOLOGY; GROWTH; GUT</t>
  </si>
  <si>
    <t>Aims To investigate the relationship between microbial community profiles and gill pathology during a production cycle of Atlantic salmon in two commercial hatcheries. Methods and Results Relationships between gill histology, environmental conditions, and microbiome were determined using high-throughput data, including 16S rDNA amplicon sequencing data, histopathology data, and water quality parameters. Hatchery A used riverine water and operated a mixed system of recirculation aquaculture system (RAS) and flowthrough. Hatchery B was used bore water and operated a RAS. Melanin deposits, hyperplastic, and inflammatory lesions were observed histologically in the gills. A higher prevalence of melanin deposits was detected and correlated to a change in beta diversity of bacterial communities in early time points (fingerling and parr stages). High abundance of Sphaerotilus sp.,Pseudomonas sp.,Nitrospira sp.,Exiguobacterium sp.,Deinococcus sp.,and Comamonas sp. was correlated with a high prevalence of melanin in filaments. Bacterial diversity increased as the fish cohort transitioned from RAS to flowthrough in hatchery A. Conclusions Under commercial conditions, the commensal community of gill bacteria was related to melanin prevalence.</t>
  </si>
  <si>
    <t>[Quezada-Rodriguez, Petra R.; Taylor, Richard S.; Wynne, James W.] Commonwealth Sci &amp; Ind Res Org, Livestock &amp; Aquaculture, Agr &amp; Food, Hobart, Tas 7004, Australia; [Quezada-Rodriguez, Petra R.; Jantawongsri, Khattapan; Nowak, Barbara F.] Univ Tasmania, Inst Marine &amp; Antarctic Studies, Launceston, TAS 7248, Australia</t>
  </si>
  <si>
    <t>Commonwealth Scientific &amp; Industrial Research Organisation (CSIRO); University of Tasmania</t>
  </si>
  <si>
    <t>Quezada-Rodriguez, PR (corresponding author), Commonwealth Sci &amp; Ind Res Org, Livestock &amp; Aquaculture, Agr &amp; Food, Hobart, Tas 7004, Australia.</t>
  </si>
  <si>
    <t>petra.quezada@utas.edu.au</t>
  </si>
  <si>
    <t>Quezada-Rodriguez, Petra R/O-7965-2018; Taylor, Richard S/E-9961-2012; Wynne, James W/H-7957-2013; Nowak, Barbara/J-7261-2014</t>
  </si>
  <si>
    <t>Wynne, James W/0000-0001-6846-757X;</t>
  </si>
  <si>
    <t>Commonwealth Scientific and Industrial Research Organization (CSIRO); Tassal Operations Pty Ltd.; University of Tasmania</t>
  </si>
  <si>
    <t>Commonwealth Scientific and Industrial Research Organization (CSIRO)(Commonwealth Scientific &amp; Industrial Research Organisation (CSIRO)); Tassal Operations Pty Ltd.; University of Tasmania</t>
  </si>
  <si>
    <t>This study was funded by The Commonwealth Scientific and Industrial Research Organization (CSIRO) and Tassal Operations Pty Ltd. We thank Colin Johnston, Mike McMann, Ward Hartman, Kate Bowie, and Abby Irish for their assistance with site access, planning and sampling during this study, as well as Mei Ooi, Megan Rigby and Pascal Craw for their technical support in the laboratory. The first author acknowledges the University of Tasmania for the generous IMAS Tasmania Graduate Research Scholarship.</t>
  </si>
  <si>
    <t>1364-5072</t>
  </si>
  <si>
    <t>1365-2672</t>
  </si>
  <si>
    <t>J APPL MICROBIOL</t>
  </si>
  <si>
    <t>J. Appl. Microbiol.</t>
  </si>
  <si>
    <t>2023 JAN 20</t>
  </si>
  <si>
    <t>10.1093/jambio/lxac073</t>
  </si>
  <si>
    <t>8N4YP</t>
  </si>
  <si>
    <t>WOS:000925155600001</t>
  </si>
  <si>
    <t>Groff, DV; Beilman, DW; Yu, ZC; Ford, D; Xia, ZY</t>
  </si>
  <si>
    <t>Groff, Dulcinea, V; Beilman, David W.; Yu, Zicheng; Ford, Derek; Xia, Zhengyu</t>
  </si>
  <si>
    <t>Kill dates from re-exposed black mosses constrain past glacier advances in the northern Antarctic Peninsula</t>
  </si>
  <si>
    <t>SOUTH-SHETLAND-ISLANDS; HOLOCENE; TEMPERATURE; RECORD; UPLIFT; RETREAT; TRENDS</t>
  </si>
  <si>
    <t>Glaciers are receding in the northern Antarctic Peninsula and exposing previously en-tombed soils and plants. We used 39 black (dead) mosses collected from rapidly retreating ice margins at four sites along the Antarctic Peninsula to determine the kill dates using ra-diocarbon measurements and to constrain the timing of past glacier advances over the last 1500 yr. We established strict new criteria for sample collection to promote robust estimates of plant death. We found distinct phases of ice advance during ca. 1300, 800, and 200 cali-brated years before 1950 (cal yr B.P.). We report estimates of the rate of glacier advance at ca. 800 cal yr B.P. at Gamage and Bonaparte Points (southern Anvers Island) of 2.0 and 0.3 m/yr, respectively. Although the range of kill dates is relatively narrow within a region, suggesting multiple glaciers advanced simultaneously, the rates of local advances can vary by almost an order of magnitude and are much less than retreat rates. Our kill dates coincide with evidence for glacier advances from other studies in the northern Antarctic Peninsula at ca. 1300, 800, and 200 cal yr B.P. and for penguin colony abandonment at several sites in the region ranging from 450 to 0 cal yr B.P. The combination of our new terrestrial evidence for glacier advances with other lines of evidence shows the regional synchroneity of glacial dynamics and cryosphere-biosphere connections during rapid climate shifts and the sensitiv-ity of terrestrial ecosystems to climate cooling.</t>
  </si>
  <si>
    <t>[Groff, Dulcinea, V] Univ Wyoming, Dept Geol &amp; Geophys, Laramie, WY 82073 USA; [Groff, Dulcinea, V; Yu, Zicheng; Xia, Zhengyu] Lehigh Univ, Dept Earth &amp; Environm Sci, Bethlehem, PA 18015 USA; [Beilman, David W.; Ford, Derek] Univ Hawaii Manoa, Dept Geog &amp; Environm, Honolulu, HI 96822 USA; [Yu, Zicheng; Xia, Zhengyu] Northeast Normal Univ, Sch Geog Sci, Key Lab Geog Proc &amp; Ecol Secur Changbai Mt, Minist Educ, Changchun 130024, Jilin, Peoples R China; [Yu, Zicheng] Chinese Acad Sci, Northeast Inst Geog &amp; Agroecol, Key Lab Wetland Ecol &amp; Environm, Changchun 130102, Jilin, Peoples R China</t>
  </si>
  <si>
    <t>University of Wyoming; Lehigh University; University of Hawaii System; University of Hawaii Manoa; Northeast Normal University - China; Chinese Academy of Sciences; Northeast Institute of Geography &amp; Agroecology, CAS</t>
  </si>
  <si>
    <t>Groff, DV (corresponding author), Univ Wyoming, Dept Geol &amp; Geophys, Laramie, WY 82073 USA.;Groff, DV (corresponding author), Lehigh Univ, Dept Earth &amp; Environm Sci, Bethlehem, PA 18015 USA.</t>
  </si>
  <si>
    <t>Xia, Zhengyu/GRS-7101-2022</t>
  </si>
  <si>
    <t>Xia, Zhengyu/0000-0001-9792-6536</t>
  </si>
  <si>
    <t>U.S. National Science Foundation (NSF) [NSF-1745082, NSF- 1745068]; University of Wyoming</t>
  </si>
  <si>
    <t>U.S. National Science Foundation (NSF)(National Science Foundation (NSF)); University of Wyoming</t>
  </si>
  <si>
    <t>We thank Jeff Mossen, Cara Ferrier, Adina Scott, and Marissa Goerke for field assistance; Robert Booth and Emily De Alto for laboratory assistance; and the Polar Geospatial Center (Saint Paul, Minnesota, USA) for satellite imagery. U.S. National Science Foundation (NSF) awards NSF-1745082 to D. Beilman and NSF- 1745068 to Z. Yu supported this work. We are grateful for the careful and considerate comments from two anonymous reviewers, and for funding support for publication costs from the University of Wyoming, Roy J. Shlemon Center for Quaternary Studies (Lara- mie, Wyoming) .</t>
  </si>
  <si>
    <t>10.1130/G50314.1</t>
  </si>
  <si>
    <t>E6KN8</t>
  </si>
  <si>
    <t>WOS:000923917200001</t>
  </si>
  <si>
    <t>Yu, LJ; Zhong, SY; Sui, CJ; Sun, B</t>
  </si>
  <si>
    <t>Yu, Lejiang; Zhong, Shiyuan; Sui, Cuijuan; Sun, Bo</t>
  </si>
  <si>
    <t>A regional and seasonal approach to explain the observed trends in the Antarctic sea ice in recent decades</t>
  </si>
  <si>
    <t>Antarctic sea ice trend; sea surface temperature (SST); the Pacific South American (PSA) mode; the Southern Annular Mode (SAM)</t>
  </si>
  <si>
    <t>ATMOSPHERIC CIRCULATION; NATURAL VARIABILITY; CLIMATE MODELS; OCEAN; EXTENT; OSCILLATION; DRIVEN</t>
  </si>
  <si>
    <t>In contrast to the declining sea ice extent across most of the Arctic in the past several decades, sea ice extent in the Antarctic has experienced opposite regional trends with regions of sea ice expansion exceeding those of contraction. Various mechanisms have been put forward to explain the Antarctic sea ice trends, but few have been successful at explaining a large portion of the observed trends. Dividing the Southern Ocean into the Pacific, Atlantic, and Indian Ocean sectors and examining the trends over 1979-2018 separately for each sector and for each season of the year, we are able to identify modes of variability that statistically explain more than 42% of the trends in all three sectors and all four seasons. In certain sector and season, up to 94% of the trends can be explained. The leading modes of variability that explain a substantial portion of the trends appear to be related to several known climate variability modes including the Southern Annular Mode (SAM), the Pacific South American (PSA) 1 and 2, and the Zonal Wavenumber 2-6 patterns. In the Atlantic and Indian Ocean sectors, the changes in the occurrences of the main contributing modes to sea ice trends are dominated by local sea-surface temperature (SST) variations, while in the Pacific sector, they are related to changes in global SST.</t>
  </si>
  <si>
    <t>[Yu, Lejiang; Sun, Bo] Polar Res Inst China, MNR Key Lab Polar Sci, Shanghai, Peoples R China; [Zhong, Shiyuan] Michigan State Univ, Dept Geog Environm &amp; Spatial Sci, E Lansing, MI USA; [Sui, Cuijuan] Natl Marine Environm Forecasting Ctr, Beijing, Peoples R China; [Yu, Lejiang] Polar Res Inst China, MNR Key Lab Polar Sci, Jinqiao Rd 451, Shanghai 200136, Peoples R China</t>
  </si>
  <si>
    <t>Polar Research Institute of China; Michigan State University; National Marine Environmental Forecasting Center; Polar Research Institute of China</t>
  </si>
  <si>
    <t>Yu, LJ (corresponding author), Polar Res Inst China, MNR Key Lab Polar Sci, Jinqiao Rd 451, Shanghai 200136, Peoples R China.</t>
  </si>
  <si>
    <t>yulejiang@sina.com.cn</t>
  </si>
  <si>
    <t>Li, Xiaoli/JVZ-4089-2024; sun, bo/JFA-9978-2023</t>
  </si>
  <si>
    <t>Yu, Lejiang/0000-0003-0535-1937</t>
  </si>
  <si>
    <t>National Natural Science Foundation of China [41941009]; National Key R&amp;D Program of China [2022YFE0106300]; Norges Forskningsrad [328886]</t>
  </si>
  <si>
    <t>National Natural Science Foundation of China(National Natural Science Foundation of China (NSFC)); National Key R&amp;D Program of China; Norges Forskningsrad(Research Council of Norway)</t>
  </si>
  <si>
    <t>National Natural Science Foundation of China, Grant/Award Number: 41941009 ; National Key R&amp;D Program of China, Grant/Award Number: 2022YFE0106300 ; Norges Forskningsrad, Grant/AwardNumber: 328886</t>
  </si>
  <si>
    <t>10.1002/joc.8010</t>
  </si>
  <si>
    <t>AR7M9</t>
  </si>
  <si>
    <t>WOS:000920292100001</t>
  </si>
  <si>
    <t>Genomic diversity and ecological distribution of marine Pseudoalteromonas phages</t>
  </si>
  <si>
    <t>Pseudoalteromonas; Bacteriophages; Genome; Classification; Ecology</t>
  </si>
  <si>
    <t>VIRUSES; IDENTIFICATION; PREDICTION; FAMILY; COLD</t>
  </si>
  <si>
    <t>Pseudoalteromonas, with a ubiquitous distribution, is one of the most abundant marine bacterial genera. It is especially abundant in the deep sea and polar seas, where it has been found to have a broad metabolic capacity and unique co-existence strategies with other organisms. However, only a few Pseudoalteromonas phages have so far been isolated and investigated and their genomic diversity and distribution patterns are still unclear. Here, the genomes, taxonomic features and distribution patterns of Pseudoalteromonas phages are systematically analyzed, based on the microbial and viral genomes and metagenome datasets. A total of 143 complete or nearly complete Pseudoalteromonas-associated phage genomes (PSAPGs) were identified, including 34 Pseudoalteromonas phage isolates, 24 proviruses, and 85 Pseudoalteromonas-associated uncultured viral genomes (UViGs); these were assigned to 47 viral clusters at the genus level. Many integrated proviruses (n = 24) and filamentous phages were detected (n = 32), suggesting the prevalence of viral lysogenic life cycle in Pseudoalteromonas. PSAPGs encoded 66 types of 249 potential auxiliary metabolic genes (AMGs) relating to peptidases and nucleotide metabolism. They may also participate in marine biogeochemical cycles through the manipulation of the metabolism of their hosts, especially in the phosphorus and sulfur cycles. Siphoviral and filamentous PSAPGs were the predominant viral lineages found in polar areas, while some myoviral and siphoviral PSAPGs encoding transposase were more abundant in the deep sea. This study has expanded our understanding of the taxonomy, phylogenetic and ecological scope of marine Pseudoalteromonas phages and deepens our knowledge of viral impacts on Pseudoalteromonas. It will provide a baseline for the study of interactions between phages and Pseudoalteromonas in the ocean.</t>
  </si>
  <si>
    <t>[Zheng, Kaiyang; Dong, Yue; Liang, Yantao; Liu, Yundan; Zhang, Xinran; Zhang, Wenjing; Wang, Ziyue; Shao, Hongbing; McMinn, Andrew; Wang, Min] Ocean Univ China, Inst Evolut &amp; Marine Biodivers, Coll Marine Life Sci, Qingdao 266100, Peoples R China; [Liang, Yantao; Shao, Hongbing; Sung, Yeong Yik; Mok, Wen Jye; Wong, Li Lian; Wang, Min] UMT, OUC Joint Ctr Marine Studies, Qingdao 266003, Peoples R China; [Sung, Yeong Yik; Mok, Wen Jye; Wong, Li Lian] Univ Malaysia Terengganu UMT, Inst Marine Biotechnol, Kuala Nerus 21030, Malaysia; [McMinn, Andrew] Univ Tasmania, Inst Marine &amp; Antarctic Studies, Hobart, Australia; [Wang, Min] Ocean Univ China, Haide Coll, Qingdao 266100, Peoples R China; [Wang, Min] Qingdao Univ, Affiliated Hosp, Qingdao 266000, Peoples R China</t>
  </si>
  <si>
    <t>Ocean University of China; Universiti Malaysia Terengganu; University of Tasmania; Ocean University of China; Qingdao University</t>
  </si>
  <si>
    <t>Liang, YT; Wang, M (corresponding author), Ocean Univ China, Inst Evolut &amp; Marine Biodivers, Coll Marine Life Sci, Qingdao 266100, Peoples R China.;Liang, YT; Wang, M (corresponding author), UMT, OUC Joint Ctr Marine Studies, Qingdao 266003, Peoples R China.;Wang, M (corresponding author), Ocean Univ China, Haide Coll, Qingdao 266100, Peoples R China.;Wang, M (corresponding author), Qingdao Univ, Affiliated Hosp, Qingdao 266000, Peoples R China.</t>
  </si>
  <si>
    <t>Wang, Min/AFR-9645-2022; JIANG, Peng/KGL-3427-2024; Han, Yang/JVN-5921-2024; Mok, Wen Jye/AAF-9229-2019; li, jixiang/JXN-7599-2024; wong, li/ABF-6896-2021</t>
  </si>
  <si>
    <t>Wang, Min/0000-0002-2357-589X; Mok, Wen Jye/0000-0002-7629-8312; wong, li/0000-0003-0649-2010; Yeong, Yik Sung/0000-0001-5897-9037</t>
  </si>
  <si>
    <t>Laoshan Laboratory [LSKJ202203201]; National Key Research and Development Program of China [2022YFC2807500]; Natural Science Foundation of China [41976117, 42120104006, 42176111, 42188102]; Fundamental Research Funds for the Central Universities [202172002, 201812002, 202072001]</t>
  </si>
  <si>
    <t>Laoshan Laboratory; National Key Research and Development Program of China; Natural Science Foundation of China(National Natural Science Foundation of China (NSFC)); Fundamental Research Funds for the Central Universities(Fundamental Research Funds for the Central Universities)</t>
  </si>
  <si>
    <t>This work was supported by the Laoshan Laboratory (No. LSKJ202203201), National Key Research and Development Program of China (2022YFC2807500), Natural Science Foundation of China (No. 41976117, 42120104006, 42176111 and 42188102), and the Fundamental Research Funds for the Central Universities (202172002, 201812002, 202072001 and Andrew McMinn). We are grateful to Dr. Liu Yi-Hao for kind suggestions which improved the quality of bioinformatics analysis applied in the study. We are grateful for the use of the high-performance server of the Center for High Performance Computing and System Simulation, Pilot National Laboratory for Marine Science and Technology (Qingdao). We appreciate the computing resources provided by IEMB-1, a high-performance computation cluster operated by the Institute of Evolution and Marine Biodiversity and Marine Big Data Center of Institute for Advanced Ocean Study of Ocean University of China.</t>
  </si>
  <si>
    <t>10.1007/s42995-022-00160-z</t>
  </si>
  <si>
    <t>WOS:000918274300001</t>
  </si>
  <si>
    <t>Maschette, D; Wotherspoon, S; Polanowski, A; Deagle, B; Welsford, D; Ziegler, P</t>
  </si>
  <si>
    <t>Maschette, D.; Wotherspoon, S.; Polanowski, A.; Deagle, B.; Welsford, D.; Ziegler, P.</t>
  </si>
  <si>
    <t>Circumpolar sampling reveals high genetic connectivity of Antarctic toothfish across their spatial distribution</t>
  </si>
  <si>
    <t>Fisheries; Antarctica; Close-kin; Population genetics; SNPs</t>
  </si>
  <si>
    <t>DISSOSTICHUS-MAWSONI; R PACKAGE; MITOCHONDRIAL; POPULATIONS; DIVERSITY; FISH; OCEAN</t>
  </si>
  <si>
    <t>Antarctic Toothfish are a circumpolar species which are targeted in multiple fisheries around Antarctica covering nine statistical areas within the Convention for the Conservation of Antarctic Marine Living Resources. Despite this, it is still unclear whether the species forms a single stock across its circumpolar distribution, shows a pattern of isolation by distance, or exhibits discrete stock structure between different regions. Recent genetics studies of Antarctic toothfish have shown connectivity between two areas (Ross Sea and Antarctic Peninsula), but earlier studies with smaller number of markers produced inconsistent results with regards to genetic connectivity between other geographic locations. Here we present a range-wide population genetic study of Antarctic toothfish using &gt; 11,000 nuclear single nucleotide polymorphisms from 715 fish collected. Our results indicate that genetic diversity of the Antarctic toothfish is very low, with only 0.1% of genetic variability associated with geographic location. Multiple clustering methods, both supervised and unsupervised, indicated no distinct breeding populations. These results are consistent with current theories of egg and larval dispersal by the predominant Antarctic currents.</t>
  </si>
  <si>
    <t>[Maschette, D.] Univ Tasmania, Inst Marine &amp; Antarctic Studies, Fisheries &amp; Aquaculture Ctr, Hobart, Tas 7001, Australia; [Maschette, D.; Wotherspoon, S.; Polanowski, A.; Deagle, B.; Welsford, D.; Ziegler, P.] Australian Antarctic Div, Dept Climate Change Energy Environm &amp; Water, 203 Channel Highway, Kingston, Tas, Australia; [Deagle, B.] Natl Res Collect Australia, CSIRO Australian Natl Fish Collect, Hobart, Tas 7000, Australia</t>
  </si>
  <si>
    <t>University of Tasmania; Australian Antarctic Division; Commonwealth Scientific &amp; Industrial Research Organisation (CSIRO)</t>
  </si>
  <si>
    <t>Maschette, D (corresponding author), Univ Tasmania, Inst Marine &amp; Antarctic Studies, Fisheries &amp; Aquaculture Ctr, Hobart, Tas 7001, Australia.</t>
  </si>
  <si>
    <t>dale.maschette@utas.edu.au</t>
  </si>
  <si>
    <t>Polanowski, Andrea/0000-0002-9612-220X; Maschette, Dale/0000-0003-2590-8544</t>
  </si>
  <si>
    <t>Fisheries Research Development Corporation [2017-021]; Australian Longline Pty Ltd.</t>
  </si>
  <si>
    <t>Fisheries Research Development Corporation; Australian Longline Pty Ltd.</t>
  </si>
  <si>
    <t>We would like to thank all scientists and scientific observers who collected genetic samples for this project, specifically: Adam Shaw, Alistair Burls, Andy Smith, Brandon Meteyard, Charlotte Chazeau, Chris Engelbrecht, Christophe Baillout, David Luis Rodriguez, Dmitry Marichev, Elcimo Pool, Garry Breedt, Gavin Kewan, Henry Oak, Jake Horton, Jarrad James, John Simons, Juan Agullo Garcia, Juan Manuel Martinez Carmona, Keith Paterson, Lock Nel, Marius Kapp, Mark Belchier, Martin Tucker, Michael Basson, Rudian Baily, Nicolas Gasco, Roberto Sarralde Vizuete, Sam Langholz, Sangdeok Chung, Schalk Visagie, Siya Lumkwana, Stephen Cunliffe, Steve Parker, Sobahle Somhlaba, Tamre Sarhan. We would also like to thank Tim Lamb and Troy Robertson for logistical and data handling support, as well as the Fisheries Research Development Corporation (Project 2017-021) and Australian Longline Pty Ltd for financial and in-kind support.</t>
  </si>
  <si>
    <t>10.1007/s11160-023-09756-9</t>
  </si>
  <si>
    <t>9E5ZZ</t>
  </si>
  <si>
    <t>WOS:000918017900001</t>
  </si>
  <si>
    <t>Serga, S; Maistrenko, OM; Kovalenko, PA; Tsila, O; Hrubiian, N; Bilokon, S; Alieksieieva, T; Radionov, D; Betancourt, AJ; Kozeretska, I</t>
  </si>
  <si>
    <t>Serga, Svitlana; Maistrenko, Oleksandr M. M.; Kovalenko, Pavlo A. A.; Tsila, Olena; Hrubiian, Nazarii; Bilokon, Svitlana; Alieksieieva, Tetiana; Radionov, Denys; Betancourt, Andrea J. J.; Kozeretska, Iryna</t>
  </si>
  <si>
    <t>Wolbachia in natural Drosophila simulans (Diptera: Drosophilidae) populations in Ukraine</t>
  </si>
  <si>
    <t>SYMBIOSIS</t>
  </si>
  <si>
    <t>Wolbachia; Drosophila simulans; Genomics; Diapause; Gonadal dysgenesis</t>
  </si>
  <si>
    <t>HYBRID DYSGENESIS; CYTOPLASMIC INCOMPATIBILITY; MELANOGASTER; DNA; INFECTION; DYNAMICS; DIAPAUSE; ELEMENTS; COMPLEX; BIOLOGY</t>
  </si>
  <si>
    <t>In Drosophila, endosymbiotic bacteria Wolbachia were first described in the late 1980s as a bacterial agent causing cytoplasmic incompatibility in Drosophila simulans. Since then, Wolbachia have been monitored regularly in American and Australian natural populations of these species. Based on differences in the bacteria's prevalence in these populations, two models for description of mechanisms of infection frequencies dynamics were proposed - bistable and Fisherian waves. To date, the information about Wolbachia's prevalence and effects in European populations of flies has been limited. The dynamics of infection rates in populations, mobile element activity, adaptive changes and the interplay of this factors in flies that are on their way to colonize new habitats are of great interest, especially in the context of global climate change causing range expansion in many species. D. simulans is in the process of colonizing territory in Ukraine. This provides a unique opportunity to investigate the evolution of new adaptations in real time during range expansion and climate change. Here, we report high levels of Wolbachia infection frequencies for several years in D. simulans population from Odesa. Using whole genome sequencing we show that the Wolbachia from individuals from this population belong to the wRi strain. We show that the relative density of Wolbachia varies in different individuals, and identified 3,394 variable positions in 6 Wolbachia genomes, suggesting low diversity in Wolbachia in this population. We investigated two phenotypic traits that were putatively adaptive occurring in natural populations of D. simulans - diapauses and gonadal dysgenesis. We find that being infected with Wolbachia does not affect a fly's diapause phenotype in three D. simulans genetic backgrounds and contradictory results in one strain. We also find that Wolbachia appears to enhance gonadal dysgenesis in crosses to determine dysgenesis-inducing ability. These results may suggest that Wolbachia promote P-element or other transposable element activity.</t>
  </si>
  <si>
    <t>[Serga, Svitlana] Univ Montpellier, Inst Agro, CBGP, INRAE,CIRAD,IRD, Montpellier, France; [Serga, Svitlana; Tsila, Olena; Hrubiian, Nazarii] Taras Shevchenko Natl Univ Kyiv, Kiev, Ukraine; [Serga, Svitlana; Kozeretska, Iryna] Natl Antarctic Sci Ctr Ukraine, Kiev, Ukraine; [Maistrenko, Oleksandr M. M.] European Mol Biol Lab, Struct &amp; Computat Biol Unit, Heidelberg, Germany; [Maistrenko, Oleksandr M. M.] Royal Netherlands Inst Sea Res, T Horntje, Texel, Netherlands; [Kovalenko, Pavlo A. A.] Natl Acad Sci Ukraine, Inst Evolutionary Ecol, Kiev, Ukraine; [Bilokon, Svitlana; Alieksieieva, Tetiana; Radionov, Denys] Odesa II Mechnikov Natl Univ, Odesa, Ukraine; [Betancourt, Andrea J. J.] Univ Liverpool, Liverpool L69 7ZB, England</t>
  </si>
  <si>
    <t>CIRAD; Universite de Montpellier; Institut Agro; Institut de Recherche pour le Developpement (IRD); INRAE; Ministry of Education &amp; Science of Ukraine; Taras Shevchenko National University of Kyiv; Ministry of Education &amp; Science of Ukraine; State Institution National Antarctic Scientific Center; European Molecular Biology Laboratory (EMBL); Utrecht University; Royal Netherlands Institute for Sea Research (NIOZ); National Academy of Sciences Ukraine; Ministry of Education &amp; Science of Ukraine; Odesa I. I. Mechnikov National University; University of Liverpool</t>
  </si>
  <si>
    <t>Serga, S (corresponding author), Univ Montpellier, Inst Agro, CBGP, INRAE,CIRAD,IRD, Montpellier, France.;Serga, S (corresponding author), Taras Shevchenko Natl Univ Kyiv, Kiev, Ukraine.;Serga, S (corresponding author), Natl Antarctic Sci Ctr Ukraine, Kiev, Ukraine.</t>
  </si>
  <si>
    <t>svitlana.serga@gmail.com</t>
  </si>
  <si>
    <t>Kovalenko, Pavlo Andriiovych/AAZ-5679-2021; Kozeretska, Iryna/F-1383-2010; Alieksieieva, Tetiana/N-7741-2018; Bilokon, Svitlana/V-4420-2018</t>
  </si>
  <si>
    <t>Kovalenko, Pavlo Andriiovych/0000-0002-9533-3080; Maistrenko, Oleksandr/0000-0003-1961-7548; Kozeretska, Iryna/0000-0002-6485-1408; Betancourt, Andrea/0000-0001-9351-1413; Alieksieieva, Tetiana/0000-0002-1308-7673; Serga, Svitlana/0000-0003-1875-3185; Bilokon, Svitlana/0000-0003-3375-1989</t>
  </si>
  <si>
    <t>PAUSE-ANR Ghandi-Ukraine Program; TE_INVASION from the ERC; Austrian Science Fund (FWF) [P27048]; Austrian Science Fund (FWF) [P27048] Funding Source: Austrian Science Fund (FWF)</t>
  </si>
  <si>
    <t>PAUSE-ANR Ghandi-Ukraine Program; TE_INVASION from the ERC; Austrian Science Fund (FWF)(Austrian Science Fund (FWF)); Austrian Science Fund (FWF)(Austrian Science Fund (FWF))</t>
  </si>
  <si>
    <t>Svitlana Serga is supported by PAUSE-ANR Ghandi-Ukraine Program. Pavlo A. Kovalenko takes part in the scientific project Population ecology and patterns of distribution of invasive species of biota on the territory of Ukraine (state registration number 0120U102580, the National Academy of Sciences of Ukraine). Andrea J. Betancourt was funded by TE_INVASION from the ERC, and this work was partly funded by grant P27048 from the Austrian Science Fund (FWF) to AJB.</t>
  </si>
  <si>
    <t>0334-5114</t>
  </si>
  <si>
    <t>1878-7665</t>
  </si>
  <si>
    <t>Symbiosis</t>
  </si>
  <si>
    <t>10.1007/s13199-023-00899-8</t>
  </si>
  <si>
    <t>D0UA1</t>
  </si>
  <si>
    <t>WOS:000918086200002</t>
  </si>
  <si>
    <t>De Castro-Fernández, P; Ballesté, E; Angulo-Preckler, C; Biggs, J; Avila, C; García-Aljaro, C</t>
  </si>
  <si>
    <t>De Castro-Fernandez, Paula; Balleste, Elisenda; Angulo-Preckler, Carlos; Biggs, Jason; Avila, Conxita; Garcia-Aljaro, Cristina</t>
  </si>
  <si>
    <t>How does heat stress affect sponge microbiomes? Structure and resilience of microbial communities of marine sponges from different habitats</t>
  </si>
  <si>
    <t>holobiont; heat shock; global warming; high microbial abundance; low microbial abundance; metabarcoding</t>
  </si>
  <si>
    <t>BARRIER-REEF SPONGE; BACTERIAL COMMUNITY; COMPLEX COMMUNITIES; HOST-SPECIFICITY; SUPPORTS SPONGES; BARREL SPONGE; CORAL-REEF; SP-NOV.; TEMPERATURE; DIVERSITY</t>
  </si>
  <si>
    <t>IntroductionSponges are key components of marine benthic communities, providing many ecosystem functions and establishing close relationships with microorganisms, conforming the holobiont. These symbiotic microbiotas seem to be host species-specific and highly diverse, playing key roles in their sponge host. The effects of elevated seawater temperature on sponges and their microbiota are still poorly known, and whether sponges from polar areas are more sensitive to these impacts respect to temperate and tropical species is totally unknown. MethodsWe analyzed the microbiomes of different sponge species in their natural habitat and after exposure to heat stress in aquaria by 16S rRNA amplicon sequencing to (1) characterize the sponge microbiota covering a latitudinal gradient (polar, temperate and tropical environments), and (2) asses the effects of thermal stress on their microbial communities. ResultsBacterial communities' structure was different in the different sponge species and also respect the surrounding seawater. The core microbiome is maintained in most sponge species after a heat stress, although whether they would recover to the normal conditions previous to the stress remains yet to be further investigated. We observed increased abundances of transient bacteria from unknown origin in sponge species exposed to heat stress. DiscussionSome of the transient bacteria may be opportunistic bacteria that may benefit from the heat stress-associated dysregulation in the sponge by occupying new niches in the holobiont. According to our results, sponges from Antarctic waters could be more resilient than tropical and temperate sponges. Both the microbiome composition and the changes produced by the heat stress seem to be quite host species-specific, and thus, depend on the sponge species. Under a global change scenario, the microbiomes of the tropical and temperate sponges will probably be those suffering the most the heat stress, and therefore the effects of global change may be dramatic for benthic ecosystems since sponges are a fundamental part of them.</t>
  </si>
  <si>
    <t>[De Castro-Fernandez, Paula; Balleste, Elisenda; Garcia-Aljaro, Cristina] Univ Barcelona UB, Dept Genet Microbiol &amp; Estadist, Barcelona, Spain; [De Castro-Fernandez, Paula; Avila, Conxita] Univ Barcelona, Inst Recerca Biodiversitat IRBio, Barcelona, Spain; [De Castro-Fernandez, Paula; Avila, Conxita] Univ Barcelona UB, Dept Biol Evolut Ecol &amp; Ciencies Ambientals, Fac Biol, Barcelona, Spain; [Angulo-Preckler, Carlos] King Abdullah Univ Sci &amp; Technol, Red Sea Res Ctr, Thuwal, Saudi Arabia; [Biggs, Jason] Guam Dept Agr, Div Aquat &amp; Wildlife Resources, Mangilao, GU USA</t>
  </si>
  <si>
    <t>University of Barcelona; University of Barcelona; University of Barcelona; King Abdullah University of Science &amp; Technology</t>
  </si>
  <si>
    <t>García-Aljaro, C (corresponding author), Univ Barcelona UB, Dept Genet Microbiol &amp; Estadist, Barcelona, Spain.</t>
  </si>
  <si>
    <t>crgarcia@ub.edu</t>
  </si>
  <si>
    <t>Ballesté, Elisenda/C-1727-2013; Garcia-Aljaro, C./F-3893-2016; Angulo_Preckler, Carlos/A-6456-2011</t>
  </si>
  <si>
    <t>Ballesté, Elisenda/0000-0003-2523-8464; Angulo_Preckler, Carlos/0000-0001-9028-274X; de Castro-Fernandez, Paula/0000-0003-3863-7042</t>
  </si>
  <si>
    <t>Spanish Government [CTM2016-78901/ANT, PID2019-107979RB-I00/ANT]; SGR (Research Quality Group) of the Generalitat de Catalunya [2014SGR336, 2017SGR1120]; FPU Grant of the MEFP (Spain) [2016-02877]; Water Research Institute (IdRA)</t>
  </si>
  <si>
    <t>Spanish Government(Spanish Government); SGR (Research Quality Group) of the Generalitat de Catalunya(Generalitat de Catalunya); FPU Grant of the MEFP (Spain)(German Research Foundation (DFG)); Water Research Institute (IdRA)</t>
  </si>
  <si>
    <t>This research was funded by the BLUEBIO (CTM2016-78901/ANT) and CHALLENGE (PID2019-107979RB-I00/ANT) research grants to C.A. by the Spanish Government and the SGR (Research Quality Group) funding of the Generalitat de Catalunya (2014SGR336; 2017SGR1120). P.C.F. acknowledges financial support from an FPU Grant (2016-02877) of the MEFP (Spain) and the Water Research Institute (IdRA).</t>
  </si>
  <si>
    <t>JAN 19</t>
  </si>
  <si>
    <t>10.3389/fmars.2022.1072696</t>
  </si>
  <si>
    <t>8L7CR</t>
  </si>
  <si>
    <t>WOS:000923940900001</t>
  </si>
  <si>
    <t>Iriarte, J; Dachs, J; Casas, G; Martínez-Varela, A; Berrojalbiz, N; Vila-Costa, M</t>
  </si>
  <si>
    <t>Iriarte, Jon; Dachs, Jordi; Casas, Gemma; Martinez-Varela, Alicia; Berrojalbiz, Naiara; Vila-Costa, Maria</t>
  </si>
  <si>
    <t>Snow-Dependent Biogeochemical Cycling of Polycyclic Aromatic Hydrocarbons at Coastal Antarctica</t>
  </si>
  <si>
    <t>polycyclic aromatic hydrocarbons; PAH; coastal Antarctica; biodegradation; biogeochemical processes; marine bacterial communities</t>
  </si>
  <si>
    <t>BACTERIAL COMMUNITY; DEGRADING BACTERIA; ORGANIC POLLUTANTS; MARINE BACTERIAL; SURFACE WATERS; FATE; OIL; BIODEGRADATION; SEAWATER; PAHS</t>
  </si>
  <si>
    <t>The temporal trend of polycyclic aromatic hydrocarbons (PAHs) in coastal waters with highly dynamic sources and sinks is largely unknown, especially for polar regions. Here, we show the concurrent measurements of 73 individual PAHs and environmental data, including the composition of the bacterial community, during three austral summers at coastal Livingston (2015 and 2018) and Deception (2017) islands (Antarctica). The Livingston 2015 campaign was characterized by a larger snow melting input of PAHs and nutrients. The assessment of PAH diagnostic ratios, such as parent to alkyl-PAHs or LMW to HMW PAHs, showed that there was a larger biodegradation during the Livingston 2015 campaign than in the Deception 2017 and Livingston 2018 campaigns. The biogeochemical cycling, including microbial degradation, was thus yearly dependent on snow-derived inputs of matter, including PAHs, consistent with the microbial community significantly different between the different campaigns. The bivariate correlations between bacterial taxa and PAH concentrations showed that a decrease in PAH concentrations was concurrent with the higher abundance of some bacterial taxa, specifically the order Pseudomonadales in the class Gammaproteobacteria, known facultative hydrocarbonoclastic bacteria previously reported in degradation studies of oil spills. The work shows the potential for elucidation of biogeochemical processes by intensive field-derived time series, even in the harsh and highly variable Antarctic environment.</t>
  </si>
  <si>
    <t>[Iriarte, Jon; Dachs, Jordi; Casas, Gemma; Martinez-Varela, Alicia; Berrojalbiz, Naiara; Vila-Costa, Maria] IDAEA CSIC, Inst Environm Assessment &amp; Water Res, Dept Environm Chem, Barcelona 08034, Spain</t>
  </si>
  <si>
    <t>Consejo Superior de Investigaciones Cientificas (CSIC); CSIC - Centro de Investigacion y Desarrollo Pascual Vila (CID-CSIC); CSIC - Instituto de Diagnostico Ambiental y Estudios del Agua (IDAEA)</t>
  </si>
  <si>
    <t>Dachs, J; Vila-Costa, M (corresponding author), IDAEA CSIC, Inst Environm Assessment &amp; Water Res, Dept Environm Chem, Barcelona 08034, Spain.</t>
  </si>
  <si>
    <t>jordi.dachs@idaea.csic.es; maria.vila@idaea.csic.es</t>
  </si>
  <si>
    <t>Iriarte, Jon/HZI-0369-2023; Casas, Gemma/JYP-3405-2024; Berrojalbiz, Naiara/R-4832-2016; Vila-Costa, Maria/L-4833-2014</t>
  </si>
  <si>
    <t>Iriarte, Jon/0000-0003-2315-1920; Vila-Costa, Maria/0000-0003-1730-8418</t>
  </si>
  <si>
    <t>Spanish Ministry of Science and Innovation (MCIN) through projects REMARCA [CTM2012-34673]; SENTINEL [CTM2015-70535]; ANTOM [PGC2018-096612-B-100]; MIQAS [PID2021- 128084OB-I00]; PANTOC [PID2021-127769NB-I00]; Predoctoral FPU fellowship [FPU19/02782]; Spanish Ministry of Universities; Bioinformatic analyses; Catalan Governmen [2017SGR800]; IDAEA-CSIC is a Centre of Excellence Severo Ochoa (Spanish Ministry of Science and Innovation) [CEX2018-000794-S]</t>
  </si>
  <si>
    <t>Spanish Ministry of Science and Innovation (MCIN) through projects REMARCA; SENTINEL; ANTOM; MIQAS; PANTOC; Predoctoral FPU fellowship; Spanish Ministry of Universities(Spanish Government); Bioinformatic analyses; Catalan Governmen; IDAEA-CSIC is a Centre of Excellence Severo Ochoa (Spanish Ministry of Science and Innovation)</t>
  </si>
  <si>
    <t>This work has been supported by the Spanish Ministry of Science and Innovation (MCIN) through projects REMARCA (CTM2012-34673) , SENTINEL (CTM2015-70535) , ANTOM (PGC2018-096612-B-100) , MIQAS (PID2021- 128084OB-I00) , and PANTOC (PID2021-127769NB-I00) . J. Iriarte acknowledges the predoctoral FPU fellowship (FPU19/02782) funded by the Spanish Ministry of Universities. Dr. Daniel Lundin is acknowledged for his support in bioinformatic analyses. The research group of Global Change and Genomic Biogeochemistry receives support from the Catalan Government (2017SGR800) . IDAEA-CSIC is a Centre of Excellence Severo Ochoa (Spanish Ministry of Science and Innovation, Project CEX2018-000794-S) .</t>
  </si>
  <si>
    <t>2023 JAN 19</t>
  </si>
  <si>
    <t>10.1021/acs.est.2c05583</t>
  </si>
  <si>
    <t>8Q1KJ</t>
  </si>
  <si>
    <t>WOS:000926973000001</t>
  </si>
  <si>
    <t>Zhou, BY; Watson, C; Beardsley, J; Legresy, B; King, MA</t>
  </si>
  <si>
    <t>Zhou, Boye; Watson, Christopher; Beardsley, Jack; Legresy, Benoit; King, Matt A.</t>
  </si>
  <si>
    <t>Development of a GNSS/INS buoy array in preparation for SWOT validation in Bass Strait</t>
  </si>
  <si>
    <t>GNSS buoy array; altimetry validation; Sentinel 6 Michael Freilich; SWOT; sea surface height; significant wave height; tropospheric delay</t>
  </si>
  <si>
    <t>ABSOLUTE CALIBRATION; JASON-1; SIGNAL; TIDES; BAY</t>
  </si>
  <si>
    <t>In preparation for validation of the swath-based altimetry mission (Surface Water Oceanography Topography, SWOT), we developed a buoy array, equipped with Global Navigation Satellite System/Inertial Navigation System, capable of accurately observing sea surface height (SSH), wave information and tropospheric delay. Here we present results from an 8-day trial deployment at five locations along a Sentinel-6 Michael Freilich (S6MF) ground track in Bass Strait. A triplet buoy group including two new buoys (Mk-VI) and a single predecessor (Mk-IV) were deployed in proximity to the historic Jason-series comparison point. SSH solutions compared against an in-situ mooring suggest the new buoys were working at an equivalent precision of similar to 1.5 cm to the previous design (MK-IV). At 10-km spacing along the S6MF track, the buoy array was shown to observe the progression of oceanographic and meteorological phenomena. Tidal analysis of the buoy array indicated moderate spatial variability in the shallow water tidal constituents, with differences in the instantaneous tidal height of up to similar to 0.2 m across the 40-km track. Further, tidal resonance within Bass Strait was observed to vary, most probably modulated by atmospheric conditions, yet only partially captured by an existing dynamic atmospheric correction product. A preliminary investigation into the spatial scale of the buoy error based on observed/inferred geostrophic currents with our present buoy array configuration suggests that the signal-noise ratio of the array became significant at 20-km spacing in Bass Strait. Finally, as an illustrative comparison between the buoy array and high resolution S6MF data, a single cycle was compared. The wet tropospheric delay observed by the S6MF radiometer exhibited some potential land contamination in the deployed area, while the 1-Hz and 20-Hz significant wave height from S6MF appeared within mission requirements. Generally good agreement between buoy and altimeter SSH was observed. However, subtle differences between the altimeter and the buoy sea level anomaly series warrants further investigation with additional cycles from a sustained deployment in the area. We conclude that the buoy array offers a useful geodetic tool to help quantify and understand intra-swath variability in the context of the SWOT mission.</t>
  </si>
  <si>
    <t>[Zhou, Boye; Watson, Christopher; King, Matt A.] Univ Tasmania, Sch Geog Planning &amp; Spatial Sci, Hobart, Tas, Australia; [Watson, Christopher; Beardsley, Jack; Legresy, Benoit] Satellite Altimetry Calibrat &amp; Validat, Satellite Remote Sensing, Integrated Marine Observing Syst, Hobart, Tas, Australia; [Beardsley, Jack; Legresy, Benoit] Commonwealth Sci &amp; Ind Res Org, Oceans &amp; Atmosphere, Hobart, Tas, Australia</t>
  </si>
  <si>
    <t>Zhou, BY (corresponding author), Univ Tasmania, Sch Geog Planning &amp; Spatial Sci, Hobart, Tas, Australia.</t>
  </si>
  <si>
    <t>boye.zhou@utas.edu.au</t>
  </si>
  <si>
    <t>Zhou, Boye/HSH-1090-2023; King, Matt/B-4622-2008</t>
  </si>
  <si>
    <t>Zhou, Boye/0000-0001-7281-3228; King, Matt/0000-0001-5611-9498</t>
  </si>
  <si>
    <t>University of Tasmania; Australia's Integrated Marine Observing System (IMOS) - IMOS; Australian Research Council [DP150100615]; Australian National Environment Science Program (NESP) Climate Science Hub project CS-2.10; Australian Antarctic Program Partnership (AAPP) Oceanography project</t>
  </si>
  <si>
    <t>University of Tasmania; Australia's Integrated Marine Observing System (IMOS) - IMOS; Australian Research Council(Australian Research Council); Australian National Environment Science Program (NESP) Climate Science Hub project CS-2.10; Australian Antarctic Program Partnership (AAPP) Oceanography project</t>
  </si>
  <si>
    <t>BZ is a recipient of Tasmania Graduate Research Scholarship from the University of Tasmania. The Bass Strait validation facility is funded by Australia's Integrated Marine Observing System (IMOS) - IMOS is enabled by the National Collaborative Research Infrastructure strategy (NCRIS). It is operated by a consortium of institutions as an unincorporated joint venture, with the University of Tasmania as Lead Agent. Aspects of this work were also supported by the Australian Research Council Discovery Project DP150100615. BL's contribution was also supported by the Australian National Environment Science Program (NESP) Climate Science Hub project CS-2.10 and the Australian Antarctic Program Partnership (AAPP) Oceanography project.</t>
  </si>
  <si>
    <t>10.3389/fmars.2022.1093391</t>
  </si>
  <si>
    <t>8M0FA</t>
  </si>
  <si>
    <t>WOS:000924150100001</t>
  </si>
  <si>
    <t>Chidichimo, MP; Perez, RC; Speich, S; Kersalé, M; Sprintall, J; Dong, SF; Lamont, T; Sato, OT; Chereskin, TK; Hummels, R; Schmid, C</t>
  </si>
  <si>
    <t>Chidichimo, Maria Paz; Perez, Renellys C. C.; Speich, Sabrina; Kersale, Marion; Sprintall, Janet; Dong, Shenfu; Lamont, Tarron; Sato, Olga T. T.; Chereskin, Teresa K. K.; Hummels, Rebecca; Schmid, Claudia</t>
  </si>
  <si>
    <t>Energetic overturning flows, dynamic interocean exchanges, and ocean warming observed in the South Atlantic</t>
  </si>
  <si>
    <t>ANTARCTIC CIRCUMPOLAR CURRENT; MERIDIONAL HEAT-TRANSPORT; WESTERN BOUNDARY CURRENT; TOTAL GEOSTROPHIC CIRCULATION; MULTIPLE EQUILIBRIA REGIME; 3 AGULHAS RINGS; SEA-LEVEL RISE; NORTH-ATLANTIC; BOTTOM WATER; INTERMEDIATE WATER</t>
  </si>
  <si>
    <t>The overturning circulation in the South Atlantic Ocean is driven by winds, pressure and density gradients, interocean exchanges, and eddies that vary spatially and temporally. A synthesis of observations reveals that waters that engage in this circulation are experiencing pronounced warming. Since the inception of the international South Atlantic Meridional Overturning Circulation initiative in the 21st century, substantial advances have been made in observing and understanding the Southern Hemisphere component of the Atlantic Meridional Overturning Circulation (AMOC). Here we synthesize insights gained into overturning flows, interocean exchanges, and water mass distributions and pathways in the South Atlantic. The overturning circulation in the South Atlantic uniquely carries heat equatorward and exports freshwater poleward and consists of two strong overturning cells. Density and pressure gradients, winds, eddies, boundary currents, and interocean exchanges create an energetic circulation in the subtropical and tropical South Atlantic Ocean. The relative importance of these drivers varies with the observed latitude and time scale. AMOC, interocean exchanges, and climate changes drive ocean warming at all depths, upper ocean salinification, and freshening in the deep and abyssal ocean in the South Atlantic. Long-term sustained observations are critical to detect and understand these changes and their impacts.</t>
  </si>
  <si>
    <t>[Chidichimo, Maria Paz] Consejo Nacl Invest Cient &amp; Tecn CONICET, Buenos Aires, Argentina; [Chidichimo, Maria Paz] Serv Hidrog Naval, Dept Oceanog, Buenos Aires, Argentina; [Chidichimo, Maria Paz] Consejo Nacl Invest Cient &amp; Tecn, Argentino Estudio Clima &amp; Impactos, Inst Franco, CNRS,IRD,UBA,UMI 3351 IFAECI, RA-3351 Buenos Aires, Argentina; [Perez, Renellys C. C.; Dong, Shenfu; Schmid, Claudia] NOAA, Atlantic Oceanog &amp; Meteorol Lab, Miami, FL 33149 USA; [Speich, Sabrina] CNRS, IPSL Dept Geosci, Lab Meteorol Dynam, ENS PSL,UMR8539,SU,Ecole Polytech, Paris, France; [Kersale, Marion] Direct Gen Armement, Ingenierie Projets, Paris, France; [Sprintall, Janet; Chereskin, Teresa K. K.] U C San Diego, Scripps Inst Oceanog, La Jolla, CA USA; [Lamont, Tarron] Dept Forestry Fisheries &amp; Environm, Oceans &amp; Coasts Res Branch, Cape Town, South Africa; [Lamont, Tarron] Constantia, Bayworld Ctr Res &amp; Educ, Cape Town, South Africa; [Lamont, Tarron] Univ Cape Town, Oceanog Dept, Cape Town, South Africa; [Sato, Olga T. T.] Univ Sao Paulo, Oceanog Inst, Sao Paulo, Brazil; [Hummels, Rebecca] GEOMAR Helmholtz Ctr Ocean Res Kiel, Kiel, Germany</t>
  </si>
  <si>
    <t>Consejo Nacional de Investigaciones Cientificas y Tecnicas (CONICET); Servicio de Hidrografia Naval; University of Buenos Aires; Consejo Nacional de Investigaciones Cientificas y Tecnicas (CONICET); National Oceanic Atmospheric Admin (NOAA) - USA; Atlantic Oceanographic &amp; Meteorological Laboratory (AOML); Centre National de la Recherche Scientifique (CNRS); CNRS - National Institute for Earth Sciences &amp; Astronomy (INSU); Sorbonne Universite; Universite PSL; Ecole Normale Superieure (ENS); University of California System; University of California San Diego; Scripps Institution of Oceanography; University of Cape Town; Universidade de Sao Paulo; Helmholtz Association; GEOMAR Helmholtz Center for Ocean Research Kiel</t>
  </si>
  <si>
    <t>Chidichimo, MP (corresponding author), Consejo Nacl Invest Cient &amp; Tecn CONICET, Buenos Aires, Argentina.;Chidichimo, MP (corresponding author), Serv Hidrog Naval, Dept Oceanog, Buenos Aires, Argentina.;Chidichimo, MP (corresponding author), Consejo Nacl Invest Cient &amp; Tecn, Argentino Estudio Clima &amp; Impactos, Inst Franco, CNRS,IRD,UBA,UMI 3351 IFAECI, RA-3351 Buenos Aires, Argentina.</t>
  </si>
  <si>
    <t>mariapaz.chidichimo@gmail.com</t>
  </si>
  <si>
    <t>Hummels, Rebecca/A-3631-2015; Speich, Sabrina/L-3780-2014; Dong, Shenfu/I-4435-2013; Perez, Renellys/D-1976-2012; KERSALE, Marion/L-2975-2015</t>
  </si>
  <si>
    <t>Hummels, Rebecca/0000-0002-3746-6213; Speich, Sabrina/0000-0002-5452-8287; Dong, Shenfu/0000-0001-8247-8072; Chereskin, Teresa/0000-0003-1214-0978; Perez, Renellys/0000-0002-4401-3853; Lamont, Tarron/0000-0001-8464-891X; Chidichimo, Maria Paz/0000-0002-4745-9017; Sprintall, Janet/0000-0002-7428-7580; KERSALE, Marion/0000-0001-8998-5536</t>
  </si>
  <si>
    <t>European Union [818123, 633211, 817578]; Inter-American Institute for Global Change Research (IAI) (U.S. National Science Foundation) [CRN3070, GEO-1128040]; Consejo Nacional de Investigaciones Cientificas y Tecnicas (CONICET); Servicio de Hidrografia Naval; NOAA's Global Ocean Monitoring and Observing program under the Southwest Atlantic Meridional Overturning Circulation (SAM) project [100007298]; State of Climate for the meridional heat transport project; AOML XBT project; Argo project; NOFO NOAA-OAR-CPO [2021-2006389]; NOAA Atlantic Oceanographic and Meteorological Laboratory; French TOEddies CNES-TOSCA; SAMOC research grants [11-ANR-56004]; LEFE-GMMC/Coriolis program; Cooperative Institute of the University of Miami; NOAA [NA20OAR4320472]; NOAA Climate Variability Program [GC16-212]; NASA [80NSSC18K0773]; U.S. National Science Foundation (NSF) Office of Polar Programs Antarctic Division (ANT) [ANT-2001646]; NSF Division of Ocean Sciences (OCE) [OCE-1755529]; NOAA's Global Ocean Monitoring and Observing Program Award [NA20OAR4320278]; South African Department of Forestry, Fisheries and the Environment (DFFE); South African National Research Foundation (NRF) [129229]; Bayworld Centre for Research and Education (BCRE); Fundacao de Amparo a Pesquisa do Estado de Sao Paulo (FAPESP), Brazil [2017-09659-6]; Brazilian Navy, Petroleo Brasileiro S.A. (PETROBRAS); Brazilian Oil Regulatory Agency (ANP) [2018/00451-6, 2018/00452-2]; University of Sao Paulo</t>
  </si>
  <si>
    <t>European Union(European Union (EU)); Inter-American Institute for Global Change Research (IAI) (U.S. National Science Foundation); Consejo Nacional de Investigaciones Cientificas y Tecnicas (CONICET)(Consejo Nacional de Investigaciones Cientificas y Tecnicas (CONICET)); Servicio de Hidrografia Naval; NOAA's Global Ocean Monitoring and Observing program under the Southwest Atlantic Meridional Overturning Circulation (SAM) project; State of Climate for the meridional heat transport project; AOML XBT project; Argo project; NOFO NOAA-OAR-CPO; NOAA Atlantic Oceanographic and Meteorological Laboratory(National Oceanic Atmospheric Admin (NOAA) - USA); French TOEddies CNES-TOSCA; SAMOC research grants; LEFE-GMMC/Coriolis program; Cooperative Institute of the University of Miami; NOAA(National Oceanic Atmospheric Admin (NOAA) - USA); NOAA Climate Variability Program(National Oceanic Atmospheric Admin (NOAA) - USA); NASA(National Aeronautics &amp; Space Administration (NASA)); U.S. National Science Foundation (NSF) Office of Polar Programs Antarctic Division (ANT)(National Science Foundation (NSF)); NSF Division of Ocean Sciences (OCE)(National Science Foundation (NSF)NSF - Directorate for Geosciences (GEO)); NOAA's Global Ocean Monitoring and Observing Program Award; South African Department of Forestry, Fisheries and the Environment (DFFE); South African National Research Foundation (NRF)(National Research Foundation - South Africa); Bayworld Centre for Research and Education (BCRE); Fundacao de Amparo a Pesquisa do Estado de Sao Paulo (FAPESP), Brazil(Fundacao de Amparo a Pesquisa do Estado de Sao Paulo (FAPESP)); Brazilian Navy, Petroleo Brasileiro S.A. (PETROBRAS); Brazilian Oil Regulatory Agency (ANP); University of Sao Paulo</t>
  </si>
  <si>
    <t>M.P.C. acknowledges support by the European Union's Horizon 2020 Research and Innovation Programme under grant agreement no. 818123 (iAtlantic), prior added support from the Inter-American Institute for Global Change Research (IAI) grant CRN3070 (U.S. National Science Foundation grant GEO-1128040), and the additional support from Consejo Nacional de Investigaciones Cientificas y Tecnicas (CONICET) and Servicio de Hidrografia Naval. R.C.P., S.D., and C.S. were supported via the NOAA's Global Ocean Monitoring and Observing program (FundRef number 100007298) under the Southwest Atlantic Meridional Overturning Circulation (SAM) project, the State of Climate for the meridional heat transport project, the AOML XBT project, the Argo project; via the Climate Program Office (CPO), Climate Observations and Monitoring (COM), and Climate Variability and Predictability (CVP) programs under NOFO NOAA-OAR-CPO 2021-2006389; and with additional support from the NOAA Atlantic Oceanographic and Meteorological Laboratory. S.S. acknowledges support by the European Union's Horizon 2020 research and innovation program under grant agreements no. 633211 (AtlantOS) and no. 817578 (TRIATLAS), the French TOEddies CNES-TOSCA and the 11-ANR-56004 SAMOC research grants, the LEFE-GMMC/Coriolis program and, for data analyses, on the mesoscale calculation server CICLAD (http://ciclad-web.ipsl.jussieu.fr) of the Institut Pierre Simon Laplace in Paris (France). M.K. acknowledges prior support from the Cooperative Institute for Marine and Atmospheric Studies (CIMAS), a Cooperative Institute of the University of Miami and NOAA (cooperative agreement NA20OAR4320472), and from the NOAA Climate Variability Program (GC16-212) and NASA (80NSSC18K0773). J.S. and T.K.C. were supported by the U.S. National Science Foundation (NSF) Office of Polar Programs Antarctic Division (ANT) through grant ANT-2001646 and the NSF Division of Ocean Sciences (OCE) grant OCE-1755529. J.S. was supported by the NOAA's Global Ocean Monitoring and Observing Program Award NA20OAR4320278. T.L. acknowledges funding and administrative and logistical support from the South African Department of Forestry, Fisheries and the Environment (DFFE), the South African National Research Foundation (NRF; grant number 129229), and the Bayworld Centre for Research and Education (BCRE). O.S. acknowledges the support from the Fundacao de Amparo a Pesquisa do Estado de Sao Paulo (FAPESP), Brazil, under the grant 2017-09659-6; the Brazilian Navy, Petroleo Brasileiro S.A. (PETROBRAS), and the Brazilian Oil Regulatory Agency (ANP) for making the field campaigns possible using the Cooperation Term SIGITEC 2018/00451-6 and 2018/00452-2; and the additional support from the University of Sao Paulo. R.H. acknowledges support by the European Union's Horizon 2020 research and innovation program under grant agreement no. 817578 (TRIATLAS). We thank the crews of ARA Puerto Deseado and SV Ice Lady Patagonia II (Argentina), N.Oc. Alpha Crucis, B.Pq. Alpha Delphini, N.Oc. Antares, and the NHo Cruzeiro do Sul (Brazil), R/V Maria S. Merian (Germany), the RS Algoa and SA Agulhas II (South Africa) and the ARSV Laurence M. Gould (USA) who have supported the research cruises. We also thank the support/technical teams in Miami, Sao Paulo, Buenos Aires, Paris, Brest, Cape Town, Kiel, and the U.S. Antarctic Support Contractor technicians and cruise volunteers, who have helped collect and/or process the data presented herein. We acknowledge the SAMOC Executive Committee for their support.; We thank Chris Meinen and Matthieu Le Henaff for helpful comments that improved earlier versions of this review, and Bertrand Dano, Gaston Manta, and Xiabiao Xu for providing schematics and figures for the article. We also thank Bertrand Dano for the three-dimensional visualization of the overturning pathways that is available in the supplementary materials. We gratefully acknowledge Regina R. Rodrigues for inspiring the idea of writing a review article focused on the SAMOC initiative. We are grateful for the helpful comments by two anonymous reviewers.</t>
  </si>
  <si>
    <t>10.1038/s43247-022-00644-x</t>
  </si>
  <si>
    <t>8A2MN</t>
  </si>
  <si>
    <t>WOS:000916078100001</t>
  </si>
  <si>
    <t>Perez, R; Garzoli, S; Hummels, R; Ansorge, I</t>
  </si>
  <si>
    <t>Perez, Renellys; Garzoli, Silvia; Hummels, Rebecca; Ansorge, Isabelle</t>
  </si>
  <si>
    <t>Inclusive science in the South Atlantic</t>
  </si>
  <si>
    <t>ANTARCTIC CIRCUMPOLAR CURRENT; DEEP; VARIABILITY; CIRCULATION; TRANSPORT; SHALLOW; HEAT</t>
  </si>
  <si>
    <t>[Perez, Renellys; Garzoli, Silvia] NOAA, Atlantic Oceanog &amp; Meteorol Lab, Miami, FL 33149 USA; [Hummels, Rebecca] GEOMAR Helmholtz Ctr Ocean Res Kiel, Kiel, Germany; [Ansorge, Isabelle] Univ Cape Town, Cape Town, South Africa</t>
  </si>
  <si>
    <t>National Oceanic Atmospheric Admin (NOAA) - USA; Atlantic Oceanographic &amp; Meteorological Laboratory (AOML); Helmholtz Association; GEOMAR Helmholtz Center for Ocean Research Kiel; University of Cape Town</t>
  </si>
  <si>
    <t>Perez, R (corresponding author), NOAA, Atlantic Oceanog &amp; Meteorol Lab, Miami, FL 33149 USA.</t>
  </si>
  <si>
    <t>renellys.c.perez@noaa.gov</t>
  </si>
  <si>
    <t>Hummels, Rebecca/A-3631-2015; Garzoli, Silvia/JCP-1471-2023; Perez, Renellys/D-1976-2012</t>
  </si>
  <si>
    <t>Hummels, Rebecca/0000-0002-3746-6213; Ansorge, Isabelle/0000-0001-7071-8147; Perez, Renellys/0000-0002-4401-3853</t>
  </si>
  <si>
    <t>NOAA's Atlantic Oceanographic and Meteorological Laboratory; European Union [818123, 817578]; NRF SANAP SAMOC-SA agreement [UID 110733]; NOAA's Global Ocean Monitoring and Observing program under the Southwest Atlantic Meridional Overturning Circulation (SAM) project [100007298]</t>
  </si>
  <si>
    <t>NOAA's Atlantic Oceanographic and Meteorological Laboratory(National Oceanic Atmospheric Admin (NOAA) - USA); European Union(European Union (EU)); NRF SANAP SAMOC-SA agreement; NOAA's Global Ocean Monitoring and Observing program under the Southwest Atlantic Meridional Overturning Circulation (SAM) project</t>
  </si>
  <si>
    <t>The authors would like to acknowledge the SAMOC Executive Committee and the SAMOC scientists for their support in this endeavor and for participation in the voluntary survey. We also thank Shenfu Dong and Chris Meinen for their insightful comments on an early draft of the article, as well as Regina Rodrigues and the authors of a recent SAMOC review article23 for discussions that helped broaden the viewpoints and perspectives expressed in this article. R.C.P. and S.G. acknowledge support from NOAA's Atlantic Oceanographic and Meteorological Laboratory, and R.C.P. acknowledges support from NOAA's Global Ocean Monitoring and Observing program (FundRef number 100007298) under the Southwest Atlantic Meridional Overturning Circulation (SAM) project. R.H. acknowledges support by the European Union's Horizon 2020 research and innovation program under grant agreement no. 817578 (TRIATLAS). I.A. acknowledges support from European Union Horizon 2020 research and innovation program under grant agreement 818123 (iAtlantic) and the NRF SANAP SAMOC-SA agreement UID 110733.</t>
  </si>
  <si>
    <t>10.1038/s43247-022-00646-9</t>
  </si>
  <si>
    <t>WOS:000916078100003</t>
  </si>
  <si>
    <t>Chuku, EO; Yankson, K; Obodai, EA; Acheampong, E; Aheto, DW</t>
  </si>
  <si>
    <t>Chuku, Ernest Obeng; Yankson, Kobina; Obodai, Edward Adzesiwor; Acheampong, Emmanuel; Aheto, Denis Worlanyo</t>
  </si>
  <si>
    <t>Spatiotemporal spatfall dynamics and prevailing estuarine conditions for optimal oyster (Crassostrea tulipa) spat availability in selected Gulf of Guinea brackish systems</t>
  </si>
  <si>
    <t>oyster; aquaculture; spat; spatial and temporal; estuarine ecology; Crassostrea; Gulf of Guinea</t>
  </si>
  <si>
    <t>PACIFIC OYSTER; PEARL OYSTER; LARVAL DEVELOPMENT; SALINITY; GIGAS; POPULATION; POLLUTANTS; SUCCESS; EMBRYO; SIZE</t>
  </si>
  <si>
    <t>Uncertainties associated with wild harvests of seed and adult oysters due to unknown oceanographic oscillations are a major challenge in oyster fisheries and aquaculture development. In contribution to addressing this challenge, we proffer clarity on the spatiotemporal variations in spatfall (number of spat/m(2)) of the mangrove oyster Crassostrea tulipa (Lamarck, 1819) in four estuaries along the Gulf of Guinea coast. By monthly deployment of artificial substrates affixed to bamboo racks over 12 months, we find significant differences in spatfall among and within the brackish systems, and across months and seasons. Spatfall regimes were unique in each ecosystem albeit with an overall preponderance of dry season availability of spat. Locations with reef oysters had superior spatfall to mangrove root-adapted-oyster areas. Narkwa, a relatively small lagoon with reef oysters had the highest annual mean spatfall, which was 1.3, 2.5, and 9.8 folds the spatfall in Densu Delta, Benya Lagoon and Whin Estuary, respectively. Spatfall varied significantly by depth as the more frequently exposed top collectors harvested much less spat than submerged collectors. There was a year-round availability of spat, confirming continuous spawning in C. tulipa. Spatfall variability was significantly driven by fluctuations in prevailing dissolved oxygen and salinity. Prevailing dissolved oxygen and salinity levels in the estuaries for optimal spat settlement were 1.68 - 3.40 mg L-1 and 11.00 - 29.33 ppt (parts per thousand), respectively. The findings of this study are recommended as empirical reference points for sustainable seed procurement for aquaculture production and management of C. tulipa fishery in the region of the study.</t>
  </si>
  <si>
    <t>[Chuku, Ernest Obeng; Yankson, Kobina; Aheto, Denis Worlanyo] Univ Cape Coast, Ctr Coastal Management, Afr Ctr Excellence Coastal Resilience, Cape Coast, Ghana; [Chuku, Ernest Obeng; Yankson, Kobina; Obodai, Edward Adzesiwor; Acheampong, Emmanuel; Aheto, Denis Worlanyo] Univ Cape Coast, Dept Fisheries &amp; Aquat Sci, Cape Coast, Ghana; [Chuku, Ernest Obeng] Univ Tasmania, Inst Marine &amp; Antarctic Studies, Hobart, Australia</t>
  </si>
  <si>
    <t>University of Cape Coast; University of Cape Coast; University of Tasmania</t>
  </si>
  <si>
    <t>Chuku, EO (corresponding author), Univ Cape Coast, Ctr Coastal Management, Afr Ctr Excellence Coastal Resilience, Cape Coast, Ghana.;Chuku, EO (corresponding author), Univ Cape Coast, Dept Fisheries &amp; Aquat Sci, Cape Coast, Ghana.;Chuku, EO (corresponding author), Univ Tasmania, Inst Marine &amp; Antarctic Studies, Hobart, Australia.</t>
  </si>
  <si>
    <t>eobengchuku@ucc.edu.gh</t>
  </si>
  <si>
    <t>Chuku, Ernest/C-1718-2019</t>
  </si>
  <si>
    <t>Chuku, Ernest/0000-0003-2716-5510</t>
  </si>
  <si>
    <t>United States Agency for International Development (USAID) - University of Cape Coast (UCC) Fisheries and Coastal Management Capacity Building Support Project [641-A18- FY14-IL, 007]; Africa Centre of Excellence in Coastal Resilience Project [6389-GH]</t>
  </si>
  <si>
    <t>United States Agency for International Development (USAID) - University of Cape Coast (UCC) Fisheries and Coastal Management Capacity Building Support Project; Africa Centre of Excellence in Coastal Resilience Project</t>
  </si>
  <si>
    <t>Financial support for the fieldwork of this study was provided by the United States Agency for International Development (USAID) - University of Cape Coast (UCC) Fisheries and Coastal Management Capacity Building Support Project (Grant No.: 641-A18- FY14-IL#007). Additional funding for the publication of this work was provided by the Africa Centre of Excellence in Coastal Resilience Project (No. 6389-GH).</t>
  </si>
  <si>
    <t>JAN 18</t>
  </si>
  <si>
    <t>10.3389/fmars.2023.1075313</t>
  </si>
  <si>
    <t>8Q0OM</t>
  </si>
  <si>
    <t>WOS:000926915000001</t>
  </si>
  <si>
    <t>Messina, S; Costantini, D; Eens, M</t>
  </si>
  <si>
    <t>Messina, Simone; Costantini, David; Eens, Marcel</t>
  </si>
  <si>
    <t>Impacts of rising temperatures and water acidification on the oxidative status and immune system of aquatic ectothermic vertebrates: A meta-analysis</t>
  </si>
  <si>
    <t>Heatwave; Water pH; Development; Oxidative stress; Plasticity; Acclimation</t>
  </si>
  <si>
    <t>FLOUNDER PARALICHTHYS-OLIVACEUS; ANTIOXIDANT DEFENSE SYSTEM; STRESS RESPONSES; OCEAN ACIDIFICATION; FITNESS CONSEQUENCES; RHINELLA-SCHNEIDERI; LIPID-PEROXIDATION; AEROBIC METABOLISM; THERMAL TOLERANCE; ANTARCTIC FISH</t>
  </si>
  <si>
    <t>Species persistence in the Anthropocene is dramatically threatened by global climate change. Large emissions of carbon dioxide (CO2) from human activities are driving increases in mean temperature, intensity of heatwaves, and acidification of oceans and freshwater bodies. Ectotherms are particularly sensitive to CO2-induced stressors, because the rate of their metabolic reactions, as well as their immunological performance, are affected by environmental tem-peratures and water pH. We reviewed and performed a meta-analysis of 56 studies, involving 1259 effect sizes, that compared oxidative status or immune function metrics between 42 species of ectothermic vertebrates exposed to long-term increased temperatures or water acidification (&gt;= 48 h), and those exposed to control parameters resembling natural conditions. We found that CO2-induced stressors enhance levels of molecular oxidative damages in ectotherms, while the activity of antioxidant enzymes was upregulated only at higher temperatures, possibly due to an increased rate of biochemical reactions dependent on the higher ambient temperature. Differently, both temperature and water acidification showed weak impacts on immune function, indicating different direction (increase or decrease) of responses among immune traits. Further, we found that the intensity of temperature treatments (Delta degrees C) and their duration, enhance the physiological response of ectotherms, pointing to stronger effects of prolonged extreme warming events (i.e., heatwaves) on the oxidative status. Finally, adult individuals showed weaker antioxidant enzy-matic responses to an increase in water temperature compared to early life stages, suggesting lower acclimation capac-ity. Antarctic species showed weaker antioxidant response compared to temperate and tropical species, but level of uncertainty in the antioxidant enzymatic response of Antarctic species was high, thus pairwise comparisons were statistically non-significant. Overall, the results of this meta-analysis indicate that the regulation of oxidative status might be one key mechanism underlying thermal plasticity in aquatic ectothermic vertebrates.</t>
  </si>
  <si>
    <t>[Messina, Simone; Eens, Marcel] Univ Antwerp, Dept Biol, Behav Ecol &amp; Ecophysiol Grp, Univ pl 1, B-2610 Antwerp, Belgium; [Messina, Simone; Costantini, David] Tuscia Univ, Largo Univ s n c, Dept Ecol &amp; Biol Sci, I-01100 Viterbo, Italy; [Costantini, David] Un Physiol Mol &amp; Adaptat, Museum Natl dHistoire Naturelle, UMR 7221, CNRS-7 rue Cuvier, F-75005 Paris, France; [Messina, Simone] Tuscia Univ, Largo Univ snc, Dept Ecol &amp; Biol Sci, I-01100 Viterbo, Italy</t>
  </si>
  <si>
    <t>University of Antwerp; Tuscia University; Centre National de la Recherche Scientifique (CNRS); CNRS - National Institute for Biology (INSB); Museum National d'Histoire Naturelle (MNHN); Tuscia University</t>
  </si>
  <si>
    <t>Messina, S (corresponding author), Tuscia Univ, Largo Univ snc, Dept Ecol &amp; Biol Sci, I-01100 Viterbo, Italy.</t>
  </si>
  <si>
    <t>simone.messina@unitus.it</t>
  </si>
  <si>
    <t>Messina, Simone/ABI-2054-2020</t>
  </si>
  <si>
    <t>Messina, Simone/0000-0001-6034-7450</t>
  </si>
  <si>
    <t>University of Antwerp; FWO-Flanders</t>
  </si>
  <si>
    <t>University of Antwerp; FWO-Flanders(FWO)</t>
  </si>
  <si>
    <t>We thank Zachary Stahlschmidt, Jason Dallas, Julian Silberschmidt Freitas, Itzick Vatnick, Xiagong Du, Catherine Lorin -Nebel, and Maura Benedetti for kindly providing requested information or data for the calcu- lation of effect sizes. We thank the University of Antwerp and FWO-Flanders for funding. We thank two anonymous reviewers for taking the time and effort necessary to review the manuscript.</t>
  </si>
  <si>
    <t>APR 10</t>
  </si>
  <si>
    <t>10.1016/j.scitotenv.2023.161580</t>
  </si>
  <si>
    <t>8M5JH</t>
  </si>
  <si>
    <t>WOS:000924500500001</t>
  </si>
  <si>
    <t>Li, YJ; Qiao, G; Popov, S; Cui, XB; Florinsky, IV; Yuan, XH; Wang, LJ</t>
  </si>
  <si>
    <t>Li, Yanjun; Qiao, Gang; Popov, Sergey; Cui, Xiangbin; Florinsky, Igor V.; Yuan, Xiaohan; Wang, Lijuan</t>
  </si>
  <si>
    <t>Unmanned Aerial Vehicle Remote Sensing for Antarctic Research: A review of progress, current applications, and future use cases</t>
  </si>
  <si>
    <t>IEEE GEOSCIENCE AND REMOTE SENSING MAGAZINE</t>
  </si>
  <si>
    <t>Antarctica; Autonomous aerial vehicles; Satellites; Ocean temperature; Artificial intelligence; Remote sensing; Monitoring; Climate change</t>
  </si>
  <si>
    <t>SOUTH SHETLAND ISLANDS; ATMOSPHERIC BOUNDARY-LAYER; TERRA-NOVA BAY; UAV; ICE; SYSTEM; SURFACE; TOPOGRAPHY; GLACIER; PHOTOGRAMMETRY</t>
  </si>
  <si>
    <t>Antarctica has been significantly influenced by global climate change. Owing to the spatiotemporal limitations of existing datasets, budgetary constraints, logistical challenges, and adverse temperature and climatic conditions of Antarctica, researchers face great challenges. Unmanned aerial vehicles (UAVs) have helped to solve this issue because they can collect high-resolution spatiotemporal data and conduct operations in inaccessible locations at a low cost and with ease compared with in situ observation and conventional spaceborne and airborne remote sensing. The development and testing of UAVs for use in polar environments mainly focus on enhancing UAV performance in extreme Antarctic conditions by improving their endurance, wind resistance, and aerial photography stability. The equipped multisensors, flexible data collection and operation window, and high-spatiotemporal resolution all contribute to making UAVs the most powerful platform for cryospheric research. In recent years, a series of UAV-related studies on the cryosphere have been published. However, a thorough review that explicitly details the scientific progress and possibilities of using UAVs in Antarctic polar research is lacking. In this era of rapid global and regional climate change, it is becoming increasingly necessary to employ UAVs to investigate the finer changes in the Antarctic ice sheet (AIS) and ice shelves. This work investigates the use of UAVs in the monitoring of the glacial microtopography (including rifts and crevasses, surface subsidence, and melting ponds), ice surface landforms, atmosphere, flora and fauna, sea ice, subglacial environment, and other aspects of Antarctic glaciology investigation, and it speculates on their future use in multidisciplinary research.</t>
  </si>
  <si>
    <t>[Li, Yanjun; Wang, Lijuan] Tongji Univ, Shanghai 20009, Peoples R China; [Li, Yanjun] Univ Libre Bruxelles, Brussels, Belgium; [Qiao, Gang] Tongji Univ, Coll Surveying &amp; Geoinformat, Shanghai 20009, Peoples R China; [Popov, Sergey] St Petersburg State Univ, Polar Marine Geosurvey Expedit, St Petersburg 198412, Russia; [Cui, Xiangbin] Polar Res Inst China, Shanghai 200136, Peoples R China; [Florinsky, Igor V.] Russian Acad Sci, Inst Math Problems Biol, Keldysh Inst Appl Math, Pushchino 142290, Russia</t>
  </si>
  <si>
    <t>Tongji University; Universite Libre de Bruxelles; Tongji University; Saint Petersburg State University; Polar Research Institute of China; Russian Academy of Sciences; Keldysh Institute of Applied Mathematics; Pushchino Scientific Center for Biological Research (PSCBI) of the Russian Academy of Sciences</t>
  </si>
  <si>
    <t>Qiao, G (corresponding author), Tongji Univ, Coll Surveying &amp; Geoinformat, Shanghai 20009, Peoples R China.</t>
  </si>
  <si>
    <t>1710992@tongji.edu.cn; qiaogang@tongji.edu.cn; spopov67@yandex.ru; cuixiangbin@pric.gov.cn; iflor@mail.ru; 1996yuanxiaohan@tongji.edu.cn; lijuan_wang@tongji.edu.cn</t>
  </si>
  <si>
    <t>Popov, Sergey/IYJ-2371-2023; wang, lijuan/AAN-4034-2021; Qiao, Gang/AAU-5717-2020; Florinsky, Igor/C-4529-2013</t>
  </si>
  <si>
    <t>Popov, Sergey/0000-0002-1830-8658; wang, lijuan/0000-0002-0649-3921; Florinsky, Igor/0000-0003-1273-5912</t>
  </si>
  <si>
    <t>National Key Research and Development Program of China [2017YFA0603100, 2021YFB3900105]; National Natural Science Foundation of China [42276249, 41941006, 42111530185, 42011530088]; Fundamental Research Funds for the Central Universities</t>
  </si>
  <si>
    <t>National Key Research and Development Program of China; National Natural Science Foundation of China(National Natural Science Foundation of China (NSFC)); Fundamental Research Funds for the Central Universities(Fundamental Research Funds for the Central Universities)</t>
  </si>
  <si>
    <t>Constructive comments from the editors and two reviewers are greatly appreciated. We thank the 35th and 36th CHI-NARE for supporting our team members to conduct field surveys in the Zhongshan Station region, Antarctica. This study was supported by the National Key Research and Development Program of China (grants 2017YFA0603100 and 2021YFB3900105), the National Natural Science Foundation of China (grants 42276249, 41941006, 42111530185, and 42011530088), and Fundamental Research Funds for the Central Universities. This article contains supplementary materials, provided by the authors, available at https://www.doi.org/10.1109/MGRS.2022.3227056. Gang Qiao is the corresponding author.</t>
  </si>
  <si>
    <t>2473-2397</t>
  </si>
  <si>
    <t>2168-6831</t>
  </si>
  <si>
    <t>IEEE GEOSC REM SEN M</t>
  </si>
  <si>
    <t>IEEE Geosci. Remote Sens. Mag.</t>
  </si>
  <si>
    <t>10.1109/MGRS.2022.3227056</t>
  </si>
  <si>
    <t>Geochemistry &amp; Geophysics; Remote Sensing; Imaging Science &amp; Photographic Technology</t>
  </si>
  <si>
    <t>P0ED0</t>
  </si>
  <si>
    <t>WOS:000921111400001</t>
  </si>
  <si>
    <t>Paine, B; Armbrecht, L; Bolch, C; Hallegraeff, GM</t>
  </si>
  <si>
    <t>Paine, Bradley; Armbrecht, Linda; Bolch, Christopher; Hallegraeff, Gustaaf M.</t>
  </si>
  <si>
    <t>Coccolithophore assemblage changes over the past 9 kyrs BP from a climate hotspot in Tasmania, southeast Australia</t>
  </si>
  <si>
    <t>Palaeoceanography; East Australian current; Subantarctic; Emiliania huxleyi; Gephyrocapsa muellerae; Coccolithus pelagicus; sedaDNA</t>
  </si>
  <si>
    <t>EMILIANIA-HUXLEYI PRYMNESIOPHYCEAE; CALCAREOUS NANNOPLANKTON; SUBTROPICAL FRONT; OCEAN; SEA; CALCIFICATION; VARIABILITY; PLEISTOCENE; FLUCTUATIONS; SEASONALITY</t>
  </si>
  <si>
    <t>Predicting phytoplankton responses to a changing climate on Tasmania's east coast is presently based on short-term plankton data sets (-75 years). However, to better predict future phytoplankton composition, it is crucial to understand longer-term variations from geological records. A particularly important group are the coccolitho-phores given their vital contribution to the oceanic carbon pump. Here, we expand the archive of coccolithophores in southeast Australian waters by analysing coccolith as-semblages in a 268 cm-long marine sediment core collected off Maria Island, Tasmania, using light and scanning electron microscopy in combination with sedimentary ancient DNA (sedaDNA) techniques. Coccoliths underwent a shift from a cold to warm-water adapted assemblage at-8.2 kyrs BP expressed by a transition in species dominance from the cold-water species Gephyrocapsa muellerae to the warmer-water species Emiliania huxleyi Type A. A period of coccolithophore community instability characterised by reduced diversity and species richness was also detected spanning-900 yrs. between 6 and 5 kyrs BP. The latter may be associated with a Mid-Holocene warm period in the Southern Ocean as well as sea-level rise changing the study site from a shallow coastal to deep water habitat. Emiliania huxleyi coccoliths displayed the highest total relative abundance, but less prevalent larger taxa (Calcidiscus, Coccolithus, Helicosphaera) accounted for &gt;50% of total estimated coccolith CaCO3 sequestration, indicating that relatively scarce, densely calcified species do the 'heavy-lifting' of this process. Analysis of sedaDNA revealed coccolithophores contributed-44% to the total palaeo eukaryote composition, underlining their importance as part of the marine ecosystem in the study region. The detection of oceanographic shifts and subsequent coccolithophore assemblage composition, including past transitions of species dominance, offer valuable insight into the biological future of southeast Australian waters.</t>
  </si>
  <si>
    <t>[Paine, Bradley; Armbrecht, Linda; Bolch, Christopher; Hallegraeff, Gustaaf M.] Univ Tasmania, Inst Marine &amp; Antarctic Studies, UTAS, 20 Castray Esplanade, Battery Point, Tas 7004, Australia</t>
  </si>
  <si>
    <t>Paine, B (corresponding author), Univ Tasmania, Inst Marine &amp; Antarctic Studies, UTAS, 20 Castray Esplanade, Battery Point, Tas 7004, Australia.</t>
  </si>
  <si>
    <t>bradley.paine@utas.edu.au</t>
  </si>
  <si>
    <t>Hallegraeff, Gustaaf M/C-8351-2013; Bolch, Christopher J/J-7619-2014</t>
  </si>
  <si>
    <t>Australian Research Council (ARC Dis-covery Project) [DP170102261, DE210100929]; Australian Research Council (ARC) [DP170102261]; Australian Research Council (ARC) Discovery Early Career Researcher (DECRA) Fellowship [DE210100929]; 2018 MNF Grant [H0025318]; ANSTO; Australian Research Council [DE210100929] Funding Source: Australian Research Council</t>
  </si>
  <si>
    <t>Australian Research Council (ARC Dis-covery Project)(Australian Research Council); Australian Research Council (ARC)(Australian Research Council); Australian Research Council (ARC) Discovery Early Career Researcher (DECRA) Fellowship(Australian Research Council); 2018 MNF Grant; ANSTO; Australian Research Council(Australian Research Council)</t>
  </si>
  <si>
    <t>The authors would like to thank the crew of RV Investigator voyage IN2018_T02 and the on-ship scientific team for their support during core collection (2018 MNF Grant H0025318) . In addition, we thank Prof. Henk Heijnis (ANSTO) for his contributions to secure funding and logistical support for this project, Dr. Craig Woodward for leading sediment dating analysis, Assoc. Prof. Ron Berry at UTAS Earth Sciences for access and use of PLM facilities, and Dr. Sandrin Feig at UTAS Central Science Laboratory for access and assistance with SEM facilities. This study was funded through the Australian Research Council (ARC Dis-covery Project DP170102261) . L.A. was supported by an Australian Research Council (ARC) Discovery Early Career Researcher (DECRA) Fellowship (DE210100929) .</t>
  </si>
  <si>
    <t>10.1016/j.marmicro.2023.102209</t>
  </si>
  <si>
    <t>8M6WI</t>
  </si>
  <si>
    <t>WOS:000924602000001</t>
  </si>
  <si>
    <t>Dhaliwal, JK; Day, JMD; Tait, KT</t>
  </si>
  <si>
    <t>Dhaliwal, Jasmeet K.; Day, James M. D.; Tait, Kimberly T.</t>
  </si>
  <si>
    <t>Pristinity and petrogenesis of eucrites</t>
  </si>
  <si>
    <t>MAGMA OCEAN CRYSTALLIZATION; GLOBAL CRUSTAL METAMORPHISM; PARENT BODY; LATE ACCRETION; ASTEROID VESTA; ORIGIN; DIOGENITES; DIFFERENTIATION; METEORITES; HOWARDITE</t>
  </si>
  <si>
    <t>New petrography, mineral chemistry, and whole rock major, minor, and trace element abundance data are reported for 29 dominantly unbrecciated basaltic (noncumulate) eucrites and one cumulate eucrite. Among unbrecciated samples, several exhibit shock darkening and impact melt veins, with incomplete preservation of primary textures. There is extensive thermal metamorphism of some eucrites, consistent with prior work. A pristinity filter of textural information, siderophile element abundances, and Ni/Co ratios of bulk rocks is used to address whether eucrite samples preserve endogenous refractory geochemical signatures of their asteroid parent body (i.e., Vesta), or could have experienced exogenous impact contamination. Based on these criteria, Cumulus Hills 04049, Elephant Moraine 90020, Grosvenor Range 95533, Pecora Escarpment 91245, and possibly Queen Alexander Range 97053 and Northwest Africa 1923 are pristine eucrites. Eucrite major element compositions and refractory incompatible trace element abundances are minimally affected by metamorphism or impact contamination. Eucrite petrogenesis examined through the lens of these elements is consistent with partial melting of a silicate mantle that experienced prior metal-silicate equilibrium, rather than as melts associated with cumulate diogenites. In the absence of the requirement of a large-scale magma ocean to explain eucrite petrogenesis, the interior structure of Vesta could be more heterogeneous than for larger planetary bodies.</t>
  </si>
  <si>
    <t>[Dhaliwal, Jasmeet K.; Day, James M. D.] Univ Calif San Diego, Scripps Inst Oceanog, La Jolla, CA 92093 USA; [Dhaliwal, Jasmeet K.] Univ Calif Santa Cruz, Dept Earth &amp; Planetary Sci, Santa Cruz, CA 95064 USA; [Tait, Kimberly T.] Royal Ontario Museum, Dept Nat Hist, Toronto, ON M5S 2C6, Canada</t>
  </si>
  <si>
    <t>University of California System; University of California San Diego; Scripps Institution of Oceanography; University of California System; University of California Santa Cruz; Royal Ontario Museum</t>
  </si>
  <si>
    <t>Dhaliwal, JK; Day, JMD (corresponding author), Univ Calif San Diego, Scripps Inst Oceanog, La Jolla, CA 92093 USA.;Dhaliwal, JK (corresponding author), Univ Calif Santa Cruz, Dept Earth &amp; Planetary Sci, Santa Cruz, CA 95064 USA.</t>
  </si>
  <si>
    <t>jdhaliwal@ucsd.edu; jmdday@ucsd.edu</t>
  </si>
  <si>
    <t>Day, James/A-5099-2010</t>
  </si>
  <si>
    <t>Day, James/0000-0001-9520-3465; Tait, Kimberly/0000-0001-5403-2727</t>
  </si>
  <si>
    <t>NASA Emerging Worlds program [NNX15AL74G, 80NSSC19K0932]; NSF; NASA</t>
  </si>
  <si>
    <t>NASA Emerging Worlds program; NSF(National Science Foundation (NSF)); NASA(National Aeronautics &amp; Space Administration (NASA))</t>
  </si>
  <si>
    <t>Financial support from the NASA Emerging Worlds program (NNX15AL74G; 80NSSC19K0932) to conduct this work is gratefully acknowledged. We thank the Meteorite Working Group for providing this study with eucrite meteorite samples; U.S. Antarctic meteorite samples are recovered by the Antarctic Search for Meteorites (ANSMET) program which has been funded by NSF and NASA, and characterized and curated by the Department of Mineral Sciences of the Smithsonian Institution and the Astromaterials Curation Office at NASA Johnson Space Center. We appreciate the generous loans from the Royal Ontario Museum meteorite collection, and J.-A. Barrat and T. Kleine for gracious personal loans of samples. Review comments by A. Yamaguchi and several anonymous reviewers are greatly appreciated. We dedicate this paper to the memory of Lawrence A. Taylor, who was an excellent mentor to us.</t>
  </si>
  <si>
    <t>10.1111/maps.13945</t>
  </si>
  <si>
    <t>9Z4MG</t>
  </si>
  <si>
    <t>WOS:000920104300001</t>
  </si>
  <si>
    <t>Petenko, I; Casasanta, G; Kallistratova, M; Lyulyukin, V; Genthon, C; Sozzi, R; Argentini, S</t>
  </si>
  <si>
    <t>Petenko, Igor; Casasanta, Giampietro; Kallistratova, Margarita; Lyulyukin, Vasily; Genthon, Christophe; Sozzi, Roberto; Argentini, Stefania</t>
  </si>
  <si>
    <t>Kelvin-Helmholtz Billows in the Rising Turbulent Layer During Morning Evolution of the ABL at Dome C, Antarctica</t>
  </si>
  <si>
    <t>BOUNDARY-LAYER METEOROLOGY</t>
  </si>
  <si>
    <t>Dome C Antarctica; High-resolution sodar; Kelvin-Helmholtz instability; Kelvin-Helmholtz billows; Boundary-layer morning evolution</t>
  </si>
  <si>
    <t>ATMOSPHERIC BOUNDARY-LAYER; TEMPERATURE STRUCTURE PARAMETER; CRITICAL RICHARDSON-NUMBER; GRAVITY-WAVES; SHEAR-FLOW; STRATIFIED FLUIDS; EDDY-COVARIANCE; INTERNAL WAVES; HEIGHT; INSTABILITY</t>
  </si>
  <si>
    <t>Kelvin-Helmholtz billows (KHBs) within a rising turbulent layer during the transition period from stable to unstable stratification occurring in the morning hours in summertime at the interior of Antarctica (Dome C, Concordia station) are examined in this study. The wave pattern captured by high-resolution sodar echograms from November 2014-February 2015 exhibits regular braid-like structures, associated with Kelvin-Helmholtz shear instabilities. This phenomenon is observed in more than 70% of days in the selected period. Two main regimes of the morning evolution with KHBs are identified roughly, distinguished by the presence or absence of turbulence in the preceding night-time. The weather and turbulent conditions favouring the occurrence of these regimes are analyzed. Also, two distinct patterns of KHBs are identified: (i) quasi-periodical (with periods approximate to 8-15 min) trains containing 5-10 braids, (ii) about continuous series lasting 20-90 min containing 20-80 braids. A composite shape of KHBs is determined. The periodicity of these waves is estimated to be between 20 and 70 s, and their wavelength is estimated roughly to be 100-400 m. The vertical thickness of individual braids at the wave crests ranges between 5 and 25 m. The total depth of a rising turbulent layer containing these waves varies between 15 and 120 m, and the ratio of the wavelength to the depth of the wave layer varies from 3 to 12 with a mean value approximate to 8.2. The morphology of the turbulence structure in the ABL is studied as a function of both temperature and wind field characteristics retrieved from an instrumented 45-m tower and an ultrasonic anemometer-thermometer at 3.5 m. The observational results highlight the necessity of considering the interaction between convective and wave processes when occurring simultaneously.</t>
  </si>
  <si>
    <t>[Petenko, Igor; Casasanta, Giampietro; Argentini, Stefania] Inst Atmospher Sci &amp; Climate, CNR, I-00133 Rome, Italy; [Kallistratova, Margarita; Lyulyukin, Vasily] AM Obukhov Inst Atmospher Phys RAS, Moscow 117019, Russia; [Genthon, Christophe] Lab Meteol Dynam, CNRS, Paris, France; [Sozzi, Roberto] Arianet SRL, I-20128 Milan, Italy; [Lyulyukin, Vasily] Bauman MSTU, Moscow 105005, Russia</t>
  </si>
  <si>
    <t>Consiglio Nazionale delle Ricerche (CNR); Istituto di Scienze dell'Atmosfera e del Clima (ISAC-CNR); Russian Academy of Sciences; Obukhov Institute of Atmospheric Physics of Russian Academy of Sciences; Centre National de la Recherche Scientifique (CNRS); Bauman Moscow State Technical University</t>
  </si>
  <si>
    <t>Petenko, I (corresponding author), Inst Atmospher Sci &amp; Climate, CNR, I-00133 Rome, Italy.</t>
  </si>
  <si>
    <t>i.petenko@isac.cnr.it</t>
  </si>
  <si>
    <t>PNRA; Russian Science Foundation [21-17-00021]</t>
  </si>
  <si>
    <t>PNRA; Russian Science Foundation(Russian Science Foundation (RSF))</t>
  </si>
  <si>
    <t>We thank the Italian National Programme of Researches in Antarctica (PNRA) and the Paul-Emile Victor French Polar Institute (IPEV) running the Concordia station for making possible a study in this special place. This research has been done in the framework of the Projects Mass lost in wind flux (MALOX), and Concordia multi-process atmospheric studies (COMPASS) sponsored by the PNRA. A special thanks to P. Grigioni and all the stuff of the Antarctic Meteo-Climatological Observatory at Concordia of the PNRA for providing the data and information from the automatic weather station and radiosoundings obtained from the IPEV/PNRA Project Routine Meteorological Observations at Station Concordia (http://www.climantartide.it). Analysis and data processing were partly supported by the Russian Science Foundation (Project No. 21-17-00021). The authors are also thankful to G. Mastrantonio, A. Viola, and A. Conidi for their assistance in preparing the experimental equipment, and to the logistics staff of the Concordia station for their help during the field work. The authors are thankful to B. van de Wiel, S. van der Linden, A. Grachev, V. Gryanik, S. Danilov, R. Kouznetsov and S. Zilitinkevich for useful discussions and comments, and to L. Baldini for his help in correcting the manuscript. Finally; we wish to thank T. Foken and another two anonymous reviewers for their careful reading of our manuscript and many insightful comments and constructive suggestions which improved the manuscript substantially.</t>
  </si>
  <si>
    <t>0006-8314</t>
  </si>
  <si>
    <t>1573-1472</t>
  </si>
  <si>
    <t>BOUND-LAY METEOROL</t>
  </si>
  <si>
    <t>Bound.-Layer Meteor.</t>
  </si>
  <si>
    <t>1-2</t>
  </si>
  <si>
    <t>10.1007/s10546-022-00781-y</t>
  </si>
  <si>
    <t>AJ9N1</t>
  </si>
  <si>
    <t>WOS:000914711400001</t>
  </si>
  <si>
    <t>Mancilla, A; Jabour, JA</t>
  </si>
  <si>
    <t>Mancilla, Alejandra; Jabour, Julia Ann</t>
  </si>
  <si>
    <t>Turned 60, is the Antarctic treaty system in good health?</t>
  </si>
  <si>
    <t>GEOGRAPHICAL JOURNAL</t>
  </si>
  <si>
    <t>Antarctic treaty system; Antarctica; protocol on environmental protection</t>
  </si>
  <si>
    <t>Signed in 1959, the Antarctic Treaty is usually hailed as an example of what states can achieve when they leave aside their interests and truly collaborate. It was over 30 years ago, however, that the last significant legal instrument of the Antarctic Treaty System (namely, the Protocol on Environmental Protection) was signed. Since then, no new legal instruments have been drafted, despite a number of growing internal and external challenges. In this special issue, an interdisciplinary group of scholars examine some of these challenges and evaluate whether the system is well prepared to tackle them. Their point of agreement is that, if not severely ill, the system's chronic ailments-particularly laggardness-must be addressed if it is to respond satisfactorily to rapid social, political, environmental and economic changes on a global scale.</t>
  </si>
  <si>
    <t>[Mancilla, Alejandra] Univ Oslo, Fac Humanities, Dept Philosophy Class Hist Art &amp; Ideas, Oslo, Norway; [Jabour, Julia Ann] Univ Tasmania, Inst Marine &amp; Antarctic Studies, Hobart, Tas, Australia; [Mancilla, Alejandra] Univ Oslo, Fac Social Sci, Oslo, Norway</t>
  </si>
  <si>
    <t>University of Oslo; University of Tasmania; University of Oslo</t>
  </si>
  <si>
    <t>Mancilla, A (corresponding author), Univ Oslo, Fac Social Sci, Oslo, Norway.</t>
  </si>
  <si>
    <t>alejandra.mancilla@ifikk.uio.no</t>
  </si>
  <si>
    <t>0016-7398</t>
  </si>
  <si>
    <t>1475-4959</t>
  </si>
  <si>
    <t>GEOGR J</t>
  </si>
  <si>
    <t>Geogr. J.</t>
  </si>
  <si>
    <t>10.1111/geoj.12501</t>
  </si>
  <si>
    <t>Geography</t>
  </si>
  <si>
    <t>9A6IV</t>
  </si>
  <si>
    <t>WOS:000913212600001</t>
  </si>
  <si>
    <t>Sherman, CS; Simpfendorfer, CA; Pacoureau, N; Matsushiba, JH; Yan, HF; Walls, RHL; Rigby, CL; VanderWright, WJ; Jabado, RW; Pollom, RA; Carlson, JK; Charvet, P; Bin Ali, A; Fahmi; Cheok, J; Derrick, DH; Herman, KB; Finucci, B; Eddy, TD; Palomares, MLD; Avalos-Castillo, CG; Kinattumkara, B; Blanco-Parra, MDP; Dharmadi; Espinoza, M; Fernando, D; Haque, AB; Mejía-Falla, PA; Navia, AF; Pérez-Jiménez, JC; Utzurrum, J; Yuneni, RR; Dulvy, NK</t>
  </si>
  <si>
    <t>Sherman, C. Samantha; Simpfendorfer, Colin A.; Pacoureau, Nathan; Matsushiba, Jay H.; Yan, Helen F.; Walls, Rachel H. L.; Rigby, Cassandra L.; VanderWright, Wade J.; Jabado, Rima W.; Pollom, Riley A.; Carlson, John K.; Charvet, Patricia; Bin Ali, Ahmad; Fahmi; Cheok, Jessica; Derrick, Danielle H.; Herman, Katelyn B.; Finucci, Brittany; Eddy, Tyler D.; Palomares, Maria Lourdes D.; Avalos-Castillo, Christopher G.; Kinattumkara, Bineesh; Blanco-Parra, Maria-del-Pilar; Dharmadi; Espinoza, Mario; Fernando, Daniel; Haque, Alifa B.; Mejia-Falla, Paola A.; Navia, Andres F.; Perez-Jimenez, Juan Carlos; Utzurrum, Jean; Yuneni, Ranny R.; Dulvy, Nicholas K.</t>
  </si>
  <si>
    <t>Half a century of rising extinction risk of coral reef sharks and rays</t>
  </si>
  <si>
    <t>CLIMATE-CHANGE; MARINE; VULNERABILITY; CONSERVATION; COMMUNITIES; POPULATIONS; INDICATORS; MANAGEMENT; TRADE</t>
  </si>
  <si>
    <t>Sharks and rays are key functional components of coral reef ecosystems, yet many populations of a few species exhibit signs of depletion and local extinctions. The question is whether these declines forewarn of a global extinction crisis. We use IUCN Red List to quantify the status, trajectory, and threats to all coral reef sharks and rays worldwide. Here, we show that nearly two-thirds (59%) of the 134 coral-reef associated shark and ray species are threatened with extinction. Alongside marine mammals, sharks and rays are among the most threatened groups found on coral reefs. Overfishing is the main cause of elevated extinction risk, compounded by climate change and habitat degradation. Risk is greatest for species that are larger-bodied (less resilient and higher trophic level), widely distributed across several national jurisdictions (subject to a patchwork of management), and in nations with greater fishing pressure and weaker governance. Population declines have occurred over more than half a century, with greatest declines prior to 2005. Immediate action through local protections, combined with broad-scale fisheries management and Marine Protected Areas, is required to avoid extinctions and the loss of critical ecosystem function condemning reefs to a loss of shark and ray biodiversity and ecosystem services, limiting livelihoods and food security.</t>
  </si>
  <si>
    <t>[Sherman, C. Samantha; Matsushiba, Jay H.; Walls, Rachel H. L.; VanderWright, Wade J.; Cheok, Jessica; Derrick, Danielle H.; Dulvy, Nicholas K.] Simon Fraser Univ, Biol Sci, Earth Ocean Res Grp, 8888 Univ Dr, Burnaby, BC V5A IS6, Canada; [Sherman, C. Samantha] TRAFFIC Int, Cambridge, England; [Simpfendorfer, Colin A.; Rigby, Cassandra L.; Jabado, Rima W.] James Cook Univ, Coll Sci &amp; Engn, 1 James Cook Dr, Townsville, Qld 4811, Australia; [Simpfendorfer, Colin A.] Univ Tasmania, Inst Marine &amp; Antarctic Studies, Hobart, Tas 7000, Australia; [Pacoureau, Nathan] Virginia Polytech Inst &amp; State Univ, Dept Fish &amp; Wildlife Conservat, 310 West Campus Dr, Blacksburg, VA 24061 USA; [Yan, Helen F.] James Cook Univ, Coll Sci &amp; Engn, Res Hub Coral Reef Ecosyst Funct, 1 James Cook Dr, Townsville, Qld 4811, Australia; [Yan, Helen F.] James Cook Univ, ARC Ctr Excellence Coral Reef Studies, 1 James, Townsville, Qld 4811, Australia; [Jabado, Rima W.] Elasmo Project, POB 29588, Dubai, U Arab Emirates; [Pollom, Riley A.] Seattle Aquarium, Species Recovery Program, 1483 AlaskanWay,Pier 59, Seattle, WA 98101 USA; [Carlson, John K.] NOAA Fisheries Serv, 3500 Delwood Beach Rd, Panama City, FL 32408 USA; [Charvet, Patricia] Univ Fed Ceara, Programa Pos Grad Sistemat Uso &amp; Conservac Biodiv, Acesso Publ, 913 Pici, BR-60020181 Fortaleza, Parana, Brazil; [Charvet, Patricia] UFPR, Programa Pos Grad Engn Ambiental PPGEA, Ave Coronel Francisco Heraclito Dos Santos,210 Ct, BR-81531970 Curitiba, Parana, Brazil; [Bin Ali, Ahmad] Southeast Asian Fisheries Dev Ctr, Marine Fishery Resources Dev &amp; Management Dept, Jalan Pelabuhan LKIM, Kuala Terengganu 21080, Terengganu, Malaysia; [Fahmi] Natl Res &amp; Innovat Agcy Indonesia, Res Ctr Oceanog, Jalan Pasir Putih Raya 1 Ancol Timur, Jakarta Utara 14430, DKI Jakarta, Indonesia; [Fahmi] Georgia Aquarium, 225 Baker St NW, Atlanta, GA 30313 USA; [Herman, Katelyn B.] Natl Inst Water &amp; Atmospher Res NIWA, Wellington 6011, New Zealand; [Finucci, Brittany] Mem Univ Newfoundland, Ctr Fisheries Ecosyst Res, 155 Ridge Rd, St John, NF A1C 5R3, Canada; [Finucci, Brittany] Mem Univ Newfoundland, Fisheries &amp; Marine Inst, 155 Ridge Rd, St John, NF A1C 5R3, Canada; [Eddy, Tyler D.] Univ British Columbia, Inst Oceans &amp; Fisheries, Sea Us, 2202 Main Mall, Vancouver, BC V6T1Z4, Canada; [Palomares, Maria Lourdes D.] Fdn Mundo Azul, Km 21-22 Finca Moran, Villa Canales 01065, Guatemala; [Avalos-Castillo, Christopher G.] Univ San Carlos, Ctr Estudios Mar &amp; Acuicultura, Ciudad Univ zona 12, Guatemala City 01012, Guatemala; [Avalos-Castillo, Christopher G.] Zool Survey India, Marine Biol Reg Ctr, 30 Near Hotel Sangeetha Santhome High Rd, Chennai 600028, Tamil Nadu, India; [Kinattumkara, Bineesh] Consejo Nacl Ciencia &amp; Technol, Ave Insurgentes Sur 1582, Mexico City 03940, DF, Mexico; [Blanco-Parra, Maria-del-Pilar] Univ Autonoma Estado Quintana Roo, Div Desarrollo Sustentable, Blvd Bahia S-N, Chetmal 77019, Quintana Roo, Mexico; [Blanco-Parra, Maria-del-Pilar] Fdn Int Nat &amp; Sustentabil AC, Calle Larun,Mzn 75 Lt4, Chetmal 77014, Quintana Roo, Mexico; [Espinoza, Mario] Univ Costa Rica, Ctr Invest Ciencias Mar &amp; Limnol, San Jose 206011501, Costa Rica; [Espinoza, Mario] Univ Costa Rica, Escuela Biol, San Jose 206011501, Costa Rica; [Fernando, Daniel] Blue Resources Trust, 86 Barnes Pl, Colombo 00700, WP, Sri Lanka; [Fernando, Daniel] Linnaeus Univ, Dept Biol &amp; Environm Sci, SE-39182 Kalmar, Sweden; [Haque, Alifa B.] Univ Oxford, Dept Zool, Nat Based Solut Initiat, Res &amp; Adm Bldg,11a Mansfield Rd, Oxford OX1 3SZ, England; [Haque, Alifa B.] Univ Dhaka, Dept Zool, Dhaka 1000, Bangladesh; [Mejia-Falla, Paola A.] Wildlife Conservat Soc WCS Colombia, Ave 5N 22N-11, Cali 760001, Valle Del Cauca, Colombia; [Mejia-Falla, Paola A.; Navia, Andres F.] Fdn Colombiana Invest &amp; Conservac Tiburone &amp; Raya, Calle 10A 72-35, Cali 760001, Valle Del Cauca, Colombia; [Perez-Jimenez, Juan Carlos] Clg Frontera Sur, Ave Rancho Poligono 2-A, Lerma 24500, Campeche, Mexico; [Utzurrum, Jean] Marine Wildlife Watch Philippines, G-F Bonifacio Ridge Bldg,1st Ave, Taguig 1634, Philippines; [Utzurrum, Jean] Silliman Univ, Inst Environm &amp; Marine Sci, Dumaguete 6200, Negros Oriental, Philippines; [Yuneni, Ranny R.] WWF Indonesia, Pemuda 1 8, Denpasar 80224, Bali, Indonesia</t>
  </si>
  <si>
    <t>Simon Fraser University; James Cook University; University of Tasmania; Virginia Polytechnic Institute &amp; State University; James Cook University; James Cook University; National Oceanic Atmospheric Admin (NOAA) - USA; Universidade Federal do Ceara; Universidade Federal do Parana; National Institute of Water &amp; Atmospheric Research (NIWA) - New Zealand; Memorial University Newfoundland; Memorial University Newfoundland; University of British Columbia; Universidad de San Carlos de Guatemala; Zoological survey of India; Universidad Costa Rica; Universidad Costa Rica; Linnaeus University; University of Oxford; University of Dhaka; Silliman University; World Wildlife Fund</t>
  </si>
  <si>
    <t>Sherman, CS (corresponding author), Simon Fraser Univ, Biol Sci, Earth Ocean Res Grp, 8888 Univ Dr, Burnaby, BC V5A IS6, Canada.;Sherman, CS (corresponding author), TRAFFIC Int, Cambridge, England.</t>
  </si>
  <si>
    <t>Pérez-Jiménez, Juan Carlos/AAD-7658-2022; Simpfendorfer, Colin A/G-9681-2011; Eddy, Tyler/ABE-7092-2021; Yan, Helen Feng/AAW-2636-2021; Dulvy, Nicholas/I-2895-2012; Charvet, Patricia/P-1822-2018; del Pilar Blanco, María/E-7162-2010; Sherman, Samantha/AAB-3349-2020</t>
  </si>
  <si>
    <t>Pérez-Jiménez, Juan Carlos/0000-0002-7258-1700; Eddy, Tyler/0000-0002-2833-9407; Dulvy, Nicholas/0000-0002-4295-9725; Charvet, Patricia/0000-0002-8801-433X; del Pilar Blanco, María/0000-0003-2492-2168; Sherman, Samantha/0000-0002-7150-1035; Haque, Bazle/0000-0002-0836-3864; Yan, Helen/0000-0002-9428-9882; Finucci, Brittany/0000-0003-1315-2946; Pollom, Riley/0000-0001-8260-4614; Utzurrum, Jean Asuncion/0000-0002-1606-985X; Pacoureau, Nathan/0000-0002-8363-6332; Navia, Andres Felipe/0000-0002-6758-7729</t>
  </si>
  <si>
    <t>Shark Conservation Fund; Natural Science and Engineering Research Council; Canada Research Chairs Program</t>
  </si>
  <si>
    <t>Shark Conservation Fund; Natural Science and Engineering Research Council(Natural Sciences and Engineering Research Council of Canada (NSERC)); Canada Research Chairs Program(Canada Research Chairs)</t>
  </si>
  <si>
    <t>We thank all members of the IUCN Species Survival Commission Shark Specialist Group and other experts who contributed to the data collation and, in particular, R. Barreto, A. Cevallos, C. Dudgeon, D. Ebert, A. Gonzalez, P.M. Kyne, A. Maung, J.M. Morales-Saldana, L. Seyha, A. Sianipar, D. Tanay, and V.Q. Vo (Supplementary Data 3). We thank W.W.L. Cheung and V.W.Y. Lam for their contributions to the coral reef catch and effort data. We thank C.M. Pollock and C. Hilton-Taylor for quality-controlling data submission through the IUCN Red List. The scientific results and conclusions, as well as any views or opinions expressed herein, are those of the author(s) and do not necessarily reflect those of institutions or data providers. This project was funded by the Shark Conservation Fund, a philanthropic collaborative pooling expertise and resources to meet the threats facing the world's sharks and rays. The Shark Conservation Fund is a project of Rockefeller Philanthropy Advisors. This work was funded by the Shark Conservation Fund as part of the Global Shark Trends Project to N.K.D. and C.A.S. N.K.D. was supported by Natural Science and Engineering Research Council Discovery and Accelerator Awards and the Canada Research Chairs Program.</t>
  </si>
  <si>
    <t>JAN 17</t>
  </si>
  <si>
    <t>10.1038/s41467-022-35091-x</t>
  </si>
  <si>
    <t>L1BW6</t>
  </si>
  <si>
    <t>WOS:001020688600001</t>
  </si>
  <si>
    <t>Zhang, SW; Wang, F; Wang, R; Cai, MH</t>
  </si>
  <si>
    <t>Zhang, Shengwei; Wang, Feng; Wang, Rui; Cai, Minghong</t>
  </si>
  <si>
    <t>Spatial assessment of triazole organic compounds in surface water from the coastal estuaries to the East China sea</t>
  </si>
  <si>
    <t>Triazole organic compounds; Estuary transport; Influencing factors; Spatial distribution; East China sea</t>
  </si>
  <si>
    <t>Triazole is widely used in the synthesis of pharmaceuticals, pesticides, and fungicides. However, triazole organic compounds are often a source of toxicity in the water environment due to the presence of chlorobenzene. This study reported on the occurrence and distribution of 15 TrOCs in the surface waters of estuaries and the East China sea, and identified the influences of TrOCs originating from the estuarine environment on the ocean. The results showed that the total concentrations of n-ary sumation TrOCs in the surface water of estuaries along the coasts of Jiangsu (JS), Zhejiang (ZJ), and Shanghai (SH), China ranged from 0.020 to 104 ng L-1 (7.49 &amp; PLUSMN; 18.2 ng L-1), whereas they ranged from 0.235 to 1.25 ng L-1 (mean 0.711 &amp; PLUSMN; 0.235 ng L-1) in the East China sea. Difenoconazole and tebuconazole were the dominant TrOCs in the estuaries, whereas fenbuconazole and hexaconazole dominated in the ocean. TrOCs in surface water of estuaries showed a continuous spatial distribution and presented regional characteristics mainly related to agricultural activities. In contrast, TrOCs in the East China Sea showed a low spatial variation and dispersion, which may be related to complex disturbance by currents and dilution. The low levels of estuarine TrOCs measured in SH estuaries (&lt;0.5 ng L-1) indicates that the Yangtze River may only pose a low-level TrOC contamination risk to the East China Sea. Moreover, estuary transport in the estuaries of ZJ may have influenced the occurrence of TrOCs in the offshore East China Sea area, although they may have also undergone a filter process in the estuary turbid zone; whereas it had little influence on the open sea. This study can act as a critical reference for the presence of TrOCs in surface water both estuaries and the ocean.</t>
  </si>
  <si>
    <t>[Zhang, Shengwei; Cai, Minghong] Shanghai Jiao Tong Univ, Sch Oceanog, 1954 Huashan Rd, Shanghai 200030, Peoples R China; [Zhang, Shengwei] Beijing Normal Univ, Sch Environm, State Key Lab Water Environm Simulat, Beijing 100875, Peoples R China; [Wang, Feng] Tongji Univ, Coll Environm Sci &amp; Engn, State Key Lab Pollut Control &amp; Resources Reuse, Shanghai 200092, Peoples R China; [Wang, Rui; Cai, Minghong] Polar Res Inst China, Minist Nat Resources Key Lab Polar Sci, Shanghai 200136, Peoples R China; [Cai, Minghong] Polar Res Inst China, Antarctic Great Wall Ecol Natl Observat &amp; Res Stn, 1000 Xuelong Rd, Shanghai 201209, Peoples R China</t>
  </si>
  <si>
    <t>Shanghai Jiao Tong University; Beijing Normal University; Tongji University; Polar Research Institute of China; Polar Research Institute of China</t>
  </si>
  <si>
    <t>Cai, MH (corresponding author), Shanghai Jiao Tong Univ, Sch Oceanog, 1954 Huashan Rd, Shanghai 200030, Peoples R China.</t>
  </si>
  <si>
    <t>caiminghong@pric.org.cn</t>
  </si>
  <si>
    <t>Wang, Rui/JWA-4726-2024; Zhang, Shengwei/HZI-0177-2023</t>
  </si>
  <si>
    <t>Wang, Rui/0009-0000-9914-7835; Cai, Minghong/0000-0003-2107-4386</t>
  </si>
  <si>
    <t>National Natural Science Founda- tion of China [41776202]; National Key Research and Development Program of China [2021YFC2801103]</t>
  </si>
  <si>
    <t>National Natural Science Founda- tion of China(National Natural Science Foundation of China (NSFC)); National Key Research and Development Program of China</t>
  </si>
  <si>
    <t>This research is supported by the National Natural Science Founda- tion of China through Grants 41776202, the National Key Research and Development Program of China through Grant 2021YFC2801103.</t>
  </si>
  <si>
    <t>10.1016/j.envpol.2023.121024</t>
  </si>
  <si>
    <t>K3IL7</t>
  </si>
  <si>
    <t>WOS:001015407200001</t>
  </si>
  <si>
    <t>Liegeois, K; Perego, M; Hartland, T</t>
  </si>
  <si>
    <t>Liegeois, Kim; Perego, Mauro; Hartland, Tucker</t>
  </si>
  <si>
    <t>PyAlbany: A Python interface to the C plus plus multiphysics solver Albany</t>
  </si>
  <si>
    <t>JOURNAL OF COMPUTATIONAL AND APPLIED MATHEMATICS</t>
  </si>
  <si>
    <t>Albany; Python interface; Python front -end; Nonintrusive parameter computations</t>
  </si>
  <si>
    <t>SHEET; PARALLEL; ARRAY; MODEL</t>
  </si>
  <si>
    <t>Albany is a parallel C++ finite element library for solving forward and inverse problems involving partial differential equations (PDEs). In this paper we introduce PyAlbany, a newly developed Python interface to the Albany library. PyAlbany can be used to effectively drive Albany enabling fast and easy analysis and post-processing of applica-tions based on PDEs that are pre-implemented in Albany. PyAlbany relies on the library PyBind11 to bind Python with C++ Albany code. Here we detail the implementation of PyAlbany and showcase its capabilities through a number of examples targeting a heat -diffusion problem. In particular we consider (1) the generation of samples for a Monte Carlo application, (2) a scalability study, (3) a study of parameters on the performance of a linear solver, and (4) a tool for performing eigenvalue decompositions of matrix-free operators for a Bayesian inference application.(c) 2023 Elsevier B.V. All rights reserved.</t>
  </si>
  <si>
    <t>[Liegeois, Kim; Perego, Mauro] Sandia Natl Labs, Ctr Comp Res, Albuquerque, NM 87123 USA; [Hartland, Tucker] Univ Calif Merced, Merced, CA USA</t>
  </si>
  <si>
    <t>United States Department of Energy (DOE); Sandia National Laboratories; University of California System; University of California Merced</t>
  </si>
  <si>
    <t>Liegeois, K (corresponding author), Sandia Natl Labs, Ctr Comp Res, Albuquerque, NM 87123 USA.</t>
  </si>
  <si>
    <t>knliege@sandia.gov</t>
  </si>
  <si>
    <t>U.S. Department of Energy, Advanced Scientific Computing Research program, under SciDAC-BER partnership: the Probabilistic Sea Level Projections from Ice Sheets and Earth System Models (ProSPect) project; U.S. Department of Energy, Advanced Scientific Computing Research program, under SciDAC-BER partnership: Framework for Antarctic System Science in E3SM (FAnSSIE) project; National Science Foundation, United States of America [DMS-1840265]</t>
  </si>
  <si>
    <t>U.S. Department of Energy, Advanced Scientific Computing Research program, under SciDAC-BER partnership: the Probabilistic Sea Level Projections from Ice Sheets and Earth System Models (ProSPect) project(United States Department of Energy (DOE)); U.S. Department of Energy, Advanced Scientific Computing Research program, under SciDAC-BER partnership: Framework for Antarctic System Science in E3SM (FAnSSIE) project(United States Department of Energy (DOE)); National Science Foundation, United States of America(National Science Foundation (NSF))</t>
  </si>
  <si>
    <t>We would like to acknowledge the anonymous reviewers for their time and comments that improved the quality of the paper and the PyCompadre [49] team for their advise. The work has been supported by the U.S. Department of Energy, Advanced Scientific Computing Research program, under two SciDAC-BER partnerships: the Probabilistic Sea Level Projections from Ice Sheets and Earth System Models (ProSPect) project and the Framework for Antarctic System Science in E3SM (FAnSSIE) project. Support was also provided by the National Science Foundation, United States of America under Grant No. DMS-1840265.</t>
  </si>
  <si>
    <t>0377-0427</t>
  </si>
  <si>
    <t>1879-1778</t>
  </si>
  <si>
    <t>J COMPUT APPL MATH</t>
  </si>
  <si>
    <t>J. Comput. Appl. Math.</t>
  </si>
  <si>
    <t>10.1016/j.cam.2022.115037</t>
  </si>
  <si>
    <t>Mathematics, Applied</t>
  </si>
  <si>
    <t>J1RN4</t>
  </si>
  <si>
    <t>WOS:001007453800001</t>
  </si>
  <si>
    <t>Acevedo, J; Haro, D; González-Rodríguez, E; Aguayo-Lobo, A</t>
  </si>
  <si>
    <t>Acevedo, Jorge; Haro, Daniela; Gonzalez-Rodriguez, Eduardo; Aguayo-Lobo, Anelio</t>
  </si>
  <si>
    <t>Estimates of prey requirements and initial examination of the primary productivity to support the magellan strait humpback whales</t>
  </si>
  <si>
    <t>Humpback whale; Prey requirements; Primary productivity; Bioenergetic model; Stable isotopes; Chile</t>
  </si>
  <si>
    <t>MEGAPTERA-NOVAEANGLIAE; TROPHIC STRUCTURE; STABLE-ISOTOPES; MARINE MAMMALS; CLIMATE-CHANGE; MODEL; SATELLITE; PATTERNS; BEHAVIOR; VALUES</t>
  </si>
  <si>
    <t>The waters of the Magellan Strait shelter a persistent and small feeding subpopulation of humpback whales (HWs) which is growing at a slower rate than expected, making it highly vulnerable. Despite their low abundance, the HWs represent significant consumers in this austral ecosystem. To better understand the needs of this summering subpopulation in the Magellan Strait feeding area, we estimated the biomass of prey required by HWs to meet their annual energy requirements using a velocity-dependent bioenergetic model and scaled it to two estimates of annual abundance (2011 and 2012), as well as the fraction of primary productivity required (PPR) to support that biomass of prey using a simple trophic energy transfer model. Based on a range of abundance between 75 and 101 whales, the summering subpopulation was estimated to require between 4,007 and 12,673 tons of prey under different population abundances estimates, energy needs, and residence times. These findings imply a minimum and maximum estimate ranging from 12.1 to 62.6 g C/m(-2)(- |-) y(-1), or similar to 6.8 to 41.5 % of net primary productivity in the feeding area to sustain the prey species directly required by HWs. Even though our estimates of prey requirements and PPR may change as new and better data become available, the results show that this small summering subpopulation requires at least a significant portion of annual phytoplankton production.</t>
  </si>
  <si>
    <t>[Acevedo, Jorge] Ctr Reg Estudios Cuaternario Fuego Patagonia &amp; An, Ave Espana 184, Punta Arenas, Chile; [Haro, Daniela] Univ Santo Tomas, Ctr Bahia Lomas, Ave Costanera 01834, Punta Arenas, Chile; [Gonzalez-Rodriguez, Eduardo] Ctr Invest Cient &amp; Educ Super Ensenada UT3, C Ney M Gonzalez 7, Tepic 63173, Nayayarit, Mexico; [Aguayo-Lobo, Anelio] Inst Antartico Chileno, Plaza Munoz Gamero 1055, Punta Arenas, Chile</t>
  </si>
  <si>
    <t>Universidad Santo Tomas</t>
  </si>
  <si>
    <t>Acevedo, J (corresponding author), Ctr Reg Estudios Cuaternario Fuego Patagonia &amp; An, Ave Espana 184, Punta Arenas, Chile.</t>
  </si>
  <si>
    <t>jorge.acevedo@cequa.cl</t>
  </si>
  <si>
    <t>Acevedo, Jorge/0000-0002-6106-0838</t>
  </si>
  <si>
    <t>Conicyt Regional/GORE Magallanes [R16A10002]; National Commission for Scientific and Technological Research (CONICYT) [21140216]; National Research and Development Agency (ANID) [R20F0009]; Chilean Antarctic Institute (INACH)</t>
  </si>
  <si>
    <t>Conicyt Regional/GORE Magallanes; National Commission for Scientific and Technological Research (CONICYT)(Comision Nacional de Investigacion Cientifica y Tecnologica (CONICYT)); National Research and Development Agency (ANID); Chilean Antarctic Institute (INACH)</t>
  </si>
  <si>
    <t>We gratefully acknowledge Conicyt Regional/GORE Magallanes (grant number R16A10002) for financial support during those years, as well as the National Commission for Scientific and Technological Research (CONICYT) (scholarship number 21140216) , the National Research and Development Agency (ANID) through the grant R20F0009, and the Centro Regional CEQUA for providing time and support in the writing of this material. We would also like to thank the Fundaci?on Biomar for allowing us to collect data and samples during the summers of 2011 and 2012, as well as the Jorge Bergun?o Laboratory of the Chilean Antarctic Institute (INACH) for assistance in the processing of stable isotope samples. The National Secretariat of Fisheries and Aquaculture of Chile granted permission to collect samples in 2011 and 2012.</t>
  </si>
  <si>
    <t>10.1016/j.pocean.2023.102971</t>
  </si>
  <si>
    <t>E5GY9</t>
  </si>
  <si>
    <t>WOS:000975835600001</t>
  </si>
  <si>
    <t>Wang, WJ; Mu, HM; Ren, XT; Ouyang, QQ; Li, J</t>
  </si>
  <si>
    <t>Wang, Wenjing; Mu, Hongmei; Ren, Xingtao; Ouyang, Qingqing; Li, Jing</t>
  </si>
  <si>
    <t>Genome-based classification of Pedobacter polysacchareus sp. nov., isolated from Antarctic soil producing exopolysaccharide</t>
  </si>
  <si>
    <t>FEMS MICROBIOLOGY LETTERS</t>
  </si>
  <si>
    <t>Pedobacter; polyphasic taxonomy; Antarctic; comparative genomics; environmental adaptation; novel species</t>
  </si>
  <si>
    <t>COLD SHOCK RESPONSE; FACULTATIVE PSYCHROPHILE; SEQUENCE; GENUS; ANNOTATION; HEPARINUS; BACTERIUM; ALIGNMENT; TAXONOMY; GLYCOGEN</t>
  </si>
  <si>
    <t>A psychrotolerant bacterial strain, designated ZS13-49(T), with strong extracellular polysaccharide synthesis ability was isolated from soil collected in Antarctica and subjected to polyphasic taxonomic and comparative genomics. Chemotaxonomic features, including fatty acids, and polar lipid profiles, support the assignment of strain ZS13-49(T) to the genus Pedobacter. 16S rRNA gene phylogeny demonstrates that strain ZS13-49(T) forms a well-supported separate branch as a sister clade to Pedobacter gandavensis LMG 31462(T) and is clearly separated from Pedobacter steynii DSM 19110(T) and Pedobacter caeni DSM 16990(T). Phylogenetic analysis showed strain ZS13-49(T) shared the highest 16S rRNA gene sequence similarity (99.9%) with P. gandavensis LMG 31462(T). However, the digital DNA-DNA hybridization (dDDH), average nucleotide identity (ANI) value and average amino identity (AAI) value between strain ZS13-49(T) and P. gandavensis LMG 31462(T) were 26.5%, 83.3%, and 87.5%, respectively. Phylogenomic tree and a comparative genomic analysis indicated distinct characteristics to distinguish strain ZS13-49(T) from the closely related species. The complete genome sequence of strain ZS13-49(T) consists of 5 830 353 bp with 40.61% G + C content. Genomic features of strain ZS13-49(T) adapted to Antarctic environment were also revealed. Based on the phenotypic, chemotaxonomic, and genomic data, strain ZS13-49(T) could be assigned to a novel species within the genus Pedobacter for which the name Pedobacter polysacchareus sp. nov. is proposed. The type strain is ZS13-49(T) ( = CCTCC AB 2019394(T) = KCTC 72824(T)). We provide a taxonogenomic description of a new psychrotolerant bacterial species isolated from soil collected in Antarctica.</t>
  </si>
  <si>
    <t>[Wang, Wenjing; Mu, Hongmei; Li, Jing] Ocean Univ China, Coll Marine Life Sci, 5 Yushan Rd, Qingdao 266003, Shandong, Peoples R China; [Ren, Xingtao; Ouyang, Qingqing] Ocean Univ China, Sch Med &amp; Pharm, 5 Yushan Rd, Qingdao 266003, Shandong, Peoples R China</t>
  </si>
  <si>
    <t>Ocean University of China; Ocean University of China</t>
  </si>
  <si>
    <t>Li, J (corresponding author), Ocean Univ China, Coll Marine Life Sci, 5 Yushan Rd, Qingdao 266003, Shandong, Peoples R China.</t>
  </si>
  <si>
    <t>Wang, Wenjing/0000-0003-4035-8552; Li, Jing/0000-0003-4601-3440</t>
  </si>
  <si>
    <t>Acknowledgement This work was supported by the National Key R&amp;D Program of China (grant number 2022YFC2807500).</t>
  </si>
  <si>
    <t>0378-1097</t>
  </si>
  <si>
    <t>1574-6968</t>
  </si>
  <si>
    <t>FEMS MICROBIOL LETT</t>
  </si>
  <si>
    <t>FEMS Microbiol. Lett.</t>
  </si>
  <si>
    <t>fnad031</t>
  </si>
  <si>
    <t>10.1093/femsle/fnad031</t>
  </si>
  <si>
    <t>E3PB3</t>
  </si>
  <si>
    <t>WOS:000974684400003</t>
  </si>
  <si>
    <t>Meier, M; Francelino, MR; Gasparini, AS; Thomazini, A; Pereira, AB; von Krnger, FL; Fernandes, EI; Schaefer, CEGR</t>
  </si>
  <si>
    <t>Meier, Martin; Francelino, Marcio Rocha; Gasparini, Arthur Stefanelli; Thomazini, Andre; Pereira, Antonio Batista; von Kruger, Fernando Leopoldo; Fernandes-Filho, Elpidio Inacio; Schaefer, Carlos Ernesto Goncalves Reynauld</t>
  </si>
  <si>
    <t>Soilscapes and geoenvironments at Stansbury Peninsula, Nelson Island, maritime Antarctica</t>
  </si>
  <si>
    <t>Weathering; Cryoturbation; Mineralogy; Mineral Liberation Analyzer</t>
  </si>
  <si>
    <t>SOUTH-SHETLAND ISLANDS; KING GEORGE ISLAND; ORNITHOGENIC SOILS; CLIMATE-CHANGE; HOPE BAY; CRYOSOLS; CLASSIFICATION; MINERALS; GENESIS; LANDSCAPE</t>
  </si>
  <si>
    <t>Considering that the extreme variation in Antarctica's climate has important effects on soil properties and dis-tribution, characterizing and mapping surface landforms in ice-free areas is strategic. We aimed to evaluate the pedogenetic processes, as well as classify and map the different types of soils at Stansbury Peninsula (ST), Nelson Island. In order to stratify the whole environment area of the Peninsula, we used the geosystems' approach, identifying the landscape unit of geoenvironment. We mapped geoenvironments and soils, performing phys-ical-chemical and mineralogical characterizations. Our results suggest that compared to other islands in the South Shetlands, the active layer at Stansbury is thin, so that it is more susceptible to climate change, repre-senting a Key monitoring site for climate change studies. The northwestern area of Stansbury Peninsula is the preferential area for marine birds, mammals nesting and resting places. Hence, higher values of nutrients are recorded in their soils. The climate at ST is harsh due to strong northwest polar winds, which promote wide-spread wind ablation, erosion and contribute to physical weathering, with a high prevalence of periglacial processes under wet conditions, which is typical of this zone of South Shetlands areas, exposed to the Drake passage. Soils at ST are predominantly skeletal, gravelly, with little organic matter and little fauna activity, poor vegetation cover, and high levels of base saturation suggesting limited weathering of volcanic rocks. Soils display a strong characteristic of physical weathering due freezing and thawing process, resulting in typical patterned ground (cryoturbation forming Cryosols), under active periglacial processes. The unique proglacial and peri-glacial geoenvironments of Stansbury are influenced by melting water and widespread snow banks, under wet polar oceanic climate condition.</t>
  </si>
  <si>
    <t>[Meier, Martin; Francelino, Marcio Rocha; Fernandes-Filho, Elpidio Inacio; Schaefer, Carlos Ernesto Goncalves Reynauld] Univ Fed Vicosa, Nucleo Terrantar INCT, Dept Solos, Ave PH Rolfs S-N, BR-36570000 Vicosa, MG, Brazil; [Thomazini, Andre] Univ Fed Sao Joao Del Rei, Ctr Ciencias Agr, Rua Setimo Moreira Martins Itapoa 2, BR-35702031 Sete Lagoas, MG, Brazil; [Pereira, Antonio Batista] Univ Fed Pampa, BR-97300000 Sao Gabriel, RS, Brazil; [von Kruger, Fernando Leopoldo] Univ Fed Ouro Preto, Curso Posgrad Engn Mat, BR-35400000 Ouro Preto, MG, Brazil; [Gasparini, Arthur Stefanelli] Univ Fed Vicosa, Dept Solos, Ave PH Rolfs S-N, BR-36570000 Vicosa, MG, Brazil</t>
  </si>
  <si>
    <t>Universidade Federal de Vicosa; Universidade Federal de Sao Joao del-Rei; Universidade Federal do Pampa; Universidade Federal de Ouro Preto; Universidade Federal de Vicosa</t>
  </si>
  <si>
    <t>Meier, M (corresponding author), Univ Fed Vicosa, Nucleo Terrantar INCT, Dept Solos, Ave PH Rolfs S-N, BR-36570000 Vicosa, MG, Brazil.</t>
  </si>
  <si>
    <t>martin.meier@ufv.br</t>
  </si>
  <si>
    <t>Filho, Elpídio Inácio Fernandes/AAE-7315-2019; Francelino, Marcio Rocha/AAS-4224-2020; Pereira, Antonio B/I-8201-2014</t>
  </si>
  <si>
    <t>Filho, Elpídio Inácio Fernandes/0000-0002-9484-1411; Francelino, Marcio Rocha/0000-0001-8837-1372; Pereira, Antonio B/0000-0003-0368-4594</t>
  </si>
  <si>
    <t>Coordenacao de Aperfeicoamento de Pessoal de Nivel Superior -Brasil (CAPES) [001]; Brazilian Ministry of Education (CNPq); PROANTAR - Brazilian Antarctic Program</t>
  </si>
  <si>
    <t>Coordenacao de Aperfeicoamento de Pessoal de Nivel Superior -Brasil (CAPES)(Coordenacao de Aperfeicoamento de Pessoal de Nivel Superior (CAPES)); Brazilian Ministry of Education (CNPq)(Conselho Nacional de Desenvolvimento Cientifico e Tecnologico (CNPQ)); PROANTAR - Brazilian Antarctic Program</t>
  </si>
  <si>
    <t>This study was financed in part by the Coordenacao de Aperfeicoamento de Pessoal de Nivel Superior -Brasil (CAPES) - Finance Code 001; Brazilian Ministry of Education (CNPq); and PROANTAR - Brazilian Antarctic Program.</t>
  </si>
  <si>
    <t>10.1016/j.catena.2022.106884</t>
  </si>
  <si>
    <t>C4DA1</t>
  </si>
  <si>
    <t>WOS:000961427400001</t>
  </si>
  <si>
    <t>Fernández-Granja, JA; Brands, S; Bedia, J; Casanueva, A; Fernández, J</t>
  </si>
  <si>
    <t>Fernandez-Granja, Juan A.; Brands, Swen; Bedia, Joaquin; Casanueva, Ana; Fernandez, Jesus</t>
  </si>
  <si>
    <t>Exploring the limits of the Jenkinson-Collison weather types classification scheme: a global assessment based on various reanalyses</t>
  </si>
  <si>
    <t>Jenkinson-Collison classification; Weather types; Observational uncertainty; Transition probabilities</t>
  </si>
  <si>
    <t>NORTH-ATLANTIC OSCILLATION; ATMOSPHERIC CIRCULATION; ANNULAR MODES; EXTRATROPICAL CIRCULATION; ANTARCTIC OSCILLATION; MEDITERRANEAN BASIN; PART I; CLIMATE; PRECIPITATION; DEFINITION</t>
  </si>
  <si>
    <t>The Jenkinson-Collison weather typing scheme (JC-WT) is an automated method used to classify regional sea-level pressure into a reduced number of typical recurrent patterns. Originally developed for the British Isles in the early 1970's on the basis of expert knowledge, the method since then has seen many applications. Encouraged by the premise that the JC-WT approach can in principle be applied to any mid-to-high latitude region, the present study explores its global extra-tropical applicability, including the Southern Hemisphere. To this aim, JC-WT is applied at each grid-box of a global 2.5(?) regular grid excluding the inner tropics (+/- 5( ?) band). Thereby, 6-hourly JC-WT catalogues are obtained for 5 distinct reanalyses, covering the period 1979-2005, which are then applied to explore (1) the limits of method applicability and (2) observational uncertainties inherent to the reanalysis datasets. Using evaluation criteria, such as the diversity of occurring circulation types and the frequency of unclassified situations, we extract empirically derived applicability thresholds which suggest that JC-WT can be generally used anywhere polewards of 23.5(?) , with some exceptions. Seasonal fluctuations compromise this finding along the equatorward limits of the domain. Furthermore, unreliable reanalysis sea-level pres-sure estimates in elevated areas with complex orography (such as the Tibetan Plateau, the Andes, Greenland and Antarctica) prevent the application of the method in these regions. In some other regions, the JC-WT classifications obtained from the distinct reanalyses substantially differ from each other, which may bring additional uncertainties when the method is used in model evaluation experiments.</t>
  </si>
  <si>
    <t>[Fernandez-Granja, Juan A.; Fernandez, Jesus] Univ Cantabria, Inst Fis Cantabria IFCA, CSIC, Santander 39005, Spain; [Brands, Swen] Xunta Galicia, MeteoGalicia, Conselleria Medio Ambiente Terr &amp; Vivienda, Santiago De Compostela, Spain; [Bedia, Joaquin; Casanueva, Ana] Univ Cantabria, Dept Matemat Aplicada &amp; Ciencias Comp MACC, Santander 39005, Spain; [Bedia, Joaquin; Casanueva, Ana] Univ Cantabria, Un Asociada CSIC, Grp Meteorol &amp; Comp, Santander 39005, Spain</t>
  </si>
  <si>
    <t>Consejo Superior de Investigaciones Cientificas (CSIC); Universidad de Cantabria; CSIC - Instituto de Fisica de Cantabria (IFCA); Universidad de Cantabria; Universidad de Cantabria</t>
  </si>
  <si>
    <t>Fernández-Granja, JA (corresponding author), Univ Cantabria, Inst Fis Cantabria IFCA, CSIC, Santander 39005, Spain.</t>
  </si>
  <si>
    <t>juan.fernandez@unican.es; swen.brands@gmail.com; joaquin.bedia@unican.es; ana.casanueva@unican.es; jesus.fernandez@unican.es</t>
  </si>
  <si>
    <t>Fernández, Jesús/F-5189-2011; Casanueva, Ana/L-4055-2015; Bedia, Joaquin/Q-2148-2015; Brands, Swen/C-1068-2015</t>
  </si>
  <si>
    <t>Fernández, Jesús/0000-0002-3483-0008; Casanueva, Ana/0000-0002-7568-0229; Bedia, Joaquin/0000-0001-6219-4312; Fernandez De La Granja, Juan Antonio/0000-0002-9763-7811; Brands, Swen/0000-0002-3254-0277</t>
  </si>
  <si>
    <t>CRUE-CSIC; CORDyS [PID2020-116595RB-I00]; ATLAS [PID2019-111481RB-I00]; MCIN/AEI [PRE2020-094728]; INDECIS; European Research Area for Climate Services Consortium (ERA4CS); European Union [690462]</t>
  </si>
  <si>
    <t>CRUE-CSIC; CORDyS; ATLAS; MCIN/AEI; INDECIS; European Research Area for Climate Services Consortium (ERA4CS); European Union(European Union (EU))</t>
  </si>
  <si>
    <t>Open Access funding provided thanks to the CRUE-CSIC agreement with Springer Nature. This paper is part of the R+D+i projects CORDyS (PID2020-116595RB-I00) and ATLAS (PID2019-111481RB-I00), funded by MCIN/AEI/10.13039/501100011033. J.A.F. has received research support from grant PRE2020-094728 funded by MCIN/AEI/10.13039/501100011033. J.B. and A.C. received research support from the project INDECIS, part of the European Research Area for Climate Services Consortium (ERA4CS) with co-funding by the European Union (grant no. 690462).</t>
  </si>
  <si>
    <t>10.1007/s00382-022-06658-7</t>
  </si>
  <si>
    <t>M0NC3</t>
  </si>
  <si>
    <t>WOS:000916918300001</t>
  </si>
  <si>
    <t>Jing, YJ; Guo, RZ; Wang, HM; Liang, YT; Liu, YD; Feng, YF; Ma, Q; Shao, HB; Sung, YY; Mok, WJ; Wong, LL; Zhang, YZ; McMinn, A; Wang, M; Xing, JY</t>
  </si>
  <si>
    <t>Jing, Yajun; Guo, Ruizhe; Wang, Hongmin; Liang, Yantao; Liu, Yundan; Feng, Yifei; Ma, Qin; Shao, Hongbing; Sung, Yeong Yik; Mok, Wen Jye; Wong, Li Lian; Zhang, Yu-Zhong; McMinn, Andrew; Wang, Min; Xing, Jinyan</t>
  </si>
  <si>
    <t>Characterization and genome analysis of Vibrio phage vB_VhaP_PG11, representing a new viral genus</t>
  </si>
  <si>
    <t>vibrio phage; genomic and comparative genomic analysis; phylogenetic analysis; schitoviridae; qingschitovirus</t>
  </si>
  <si>
    <t>MARINE VIRUSES; PROCHLOROCOCCUS; BACTERIOPHAGES; PREVALENCE; SEQUENCE</t>
  </si>
  <si>
    <t>Vibrio is a kind of common gram-negative bacteria, which is widely distributed in marine and estuarine environments. In the study, a novel marine phage vB_VhaP_PG11, infecting Vibrio hangzhouensis, was isolated from the offshore waters of Qingdao, China. vB_VhaP_PG11 is a double-stranded DNA phage. The whole genome proteomic tree shows that vB_VhaP_PG11 phage is related to two Vibrio phages, Vibrio phage 1.238.A._10N.261.52.F10 and Vibrio phage 1.245.O._10N.261.54.C7, but with low homology. Their amino acids identity with vB_VhaP_PG11 is 42.77 and 41.49% respectively. The prediction results of genome-blast distance phylogeny (GBDP) and the analysis gene-sharing network indicate that vB_VhaP_PG11 belongs to a new genus in Schitoviridae, named Qingschitovirus. The study of Vibrio phage vB_VhaP_PG11 provides basic information contributing to a better understanding of interactions between Vibrio phages and their hosts and helps analyze unknown viral sequences in the metagenomic database.</t>
  </si>
  <si>
    <t>[Jing, Yajun; Wang, Min; Xing, Jinyan] Qingdao Univ, Affiliated Hosp, Dept Crit Care Med, Qingdao, Peoples R China; [Jing, Yajun; Guo, Ruizhe; Wang, Hongmin; Liang, Yantao; Liu, Yundan; Feng, Yifei; Ma, Qin; Shao, Hongbing; Zhang, Yu-Zhong; McMinn, Andrew; Wang, Min] Ocean Univ China, Coll Marine Life Sci, Qingdao, Peoples R China; [Guo, Ruizhe; Wang, Hongmin; Liang, Yantao; Liu, Yundan; Shao, Hongbing; McMinn, Andrew; Wang, Min] Ocean Univ China, Inst Evolut &amp; Marine Biodivers, Frontiers Sci Ctr Deep Ocean Multispheres &amp; Earth, Ctr Ocean Carbon Neutral, Qingdao, Peoples R China; [Liang, Yantao; Shao, Hongbing; Sung, Yeong Yik; Mok, Wen Jye; Wong, Li Lian; Wang, Min] UMT OUC Joint Acad Ctr Marine Studies, Qingdao, Peoples R China; [Sung, Yeong Yik; Mok, Wen Jye; Wong, Li Lian] Univ Malaysia Terengganu, Inst Marine Biotechnol, Kuala Terengganu, Malaysia; [Zhang, Yu-Zhong] Shandong Univ, Marine Biotechnol Res Ctr, State Key Lab Microbial Technol, Qingdao, Peoples R China; [McMinn, Andrew] Univ Tasmania, Inst Marine, Antarctic Studies, Hobart, Tas, Australia; [Wang, Min] Ocean Univ China, Haide Coll, Qingdao, Peoples R China</t>
  </si>
  <si>
    <t>Qingdao University; Ocean University of China; Ocean University of China; Universiti Malaysia Terengganu; Shandong University; University of Tasmania; Ocean University of China</t>
  </si>
  <si>
    <t>Wang, M; Xing, JY (corresponding author), Qingdao Univ, Affiliated Hosp, Dept Crit Care Med, Qingdao, Peoples R China.;Liang, YT; Wang, M (corresponding author), Ocean Univ China, Coll Marine Life Sci, Qingdao, Peoples R China.;Liang, YT; Wang, M (corresponding author), Ocean Univ China, Inst Evolut &amp; Marine Biodivers, Frontiers Sci Ctr Deep Ocean Multispheres &amp; Earth, Ctr Ocean Carbon Neutral, Qingdao, Peoples R China.;Liang, YT; Wang, M (corresponding author), UMT OUC Joint Acad Ctr Marine Studies, Qingdao, Peoples R China.;Wang, M (corresponding author), Ocean Univ China, Haide Coll, Qingdao, Peoples R China.</t>
  </si>
  <si>
    <t>liangyantao@ouc.edu.cn; mingwang@ouc.edu.cn; xingjy@qdu.edu.cn</t>
  </si>
  <si>
    <t>Han, Yang/JVN-5921-2024; Mok, Wen Jye/AAF-9229-2019; Guo, Ruizhe/GQZ-7494-2022; li, jixiang/JXN-7599-2024; JIANG, Peng/KGL-3427-2024; Wang, Min/AFR-9645-2022; wong, li/ABF-6896-2021</t>
  </si>
  <si>
    <t>Mok, Wen Jye/0000-0002-7629-8312; Wang, Min/0000-0002-2357-589X; wong, li/0000-0003-0649-2010; Yeong, Yik Sung/0000-0001-5897-9037</t>
  </si>
  <si>
    <t>National Natural Science Foundation of China [41976117, 42120104006, 42176111, 42188102, 81701878]; Fundamental Research Funds for the Central Universities [202172002, 201812002]</t>
  </si>
  <si>
    <t>This study was supported by the following funding sources: National Natural Science Foundation of China (No. 41976117, 42120104006, 42176111, 42188102 and 81701878), and the Fundamental Research Funds for the Central Universities (202172002, 201812002 and Andrew McMinn).</t>
  </si>
  <si>
    <t>10.3389/fmars.2022.1092917</t>
  </si>
  <si>
    <t>8I7TY</t>
  </si>
  <si>
    <t>WOS:000921934300001</t>
  </si>
  <si>
    <t>Ochwada-Doyle, F; Hughes, J; Fowler, AM; Murphy, J; Stark, K; Lowry, M; West, L; Taylor, MD</t>
  </si>
  <si>
    <t>Ochwada-Doyle, Faith; Hughes, Julian; Fowler, Ashley M.; Murphy, Jeffrey; Stark, Kate; Lowry, Michael; West, Laurie; Taylor, Matthew D.</t>
  </si>
  <si>
    <t>Quantifying the potential impact of reducing recreational harvest limits on the catch of a key marine species using off-site angler survey data</t>
  </si>
  <si>
    <t>harvest strategies; output management regulations; precautionary approach; telephone-diary surveys; triple-bottom line sustainability</t>
  </si>
  <si>
    <t>NEW-SOUTH-WALES; FISHERIES MANAGEMENT; PRECAUTIONARY APPROACH; PLATYCEPHALUS-FUSCUS; FISH ASSEMBLAGES; MORTALITY; REGULATIONS; CONSERVATION; SELECTION; CLOSURES</t>
  </si>
  <si>
    <t>Recreational fishing can have substantial ecological impacts, which must be managed against a background of critical socio-economic factors. However, it is often difficult to assess the effect of altered management arrangements on this sector's harvest. Recreational fishing surveys can assist in quantifying the impact of changes to harvest limits. Here, we use survey data collected in 2013/2014 and 2017/2018 to estimate the total catch of Dusky Flathead (Platycephalus fuscus), a key Australian marine species, under a daily harvest limit of 10 fish per angler and simulated scenarios where the limit is reduced to 5, 3, or 1 fish per angler. We then test the significance of these changes in harvest limit on catch and also model the potential effects of year and region using generalized linear mixed models (GLMMz). For both sampled time periods, the GLMMz found that only the most stringent harvest limit reduction to 1 fish per angler would lower retained harvest significantly. None of the reductions in harvest limit increased the number of released Dusky Flathead significantly. We discuss how this novel quantitative approach can be used to inform alternative output management regulations by taking into account their potential ecological and socio-economic benefits for a recreational fishery.</t>
  </si>
  <si>
    <t>[Ochwada-Doyle, Faith; Hughes, Julian; Fowler, Ashley M.] Sydney Inst Marine Sci, New South Wales Dept Primary Ind, 19 Chowder Bay Rd, Mosman, NSW 2088, Australia; [Ochwada-Doyle, Faith] Univ New South Wales, Kensington, NSW 2052, Australia; [Murphy, Jeffrey] New South Wales Dept Primary Ind, 84 Crown St, Wollongong, NSW 2500, Australia; [Stark, Kate] Univ Tasmania, Inst Marine &amp; Antarctic Studies, Hobart, Tas 7001, Australia; [Lowry, Michael; Taylor, Matthew D.] New South Wales Dept Primary Ind, Port Stephens Fisheries Inst, Taylors Beach Rd, Taylors Beach, NSW 2316, Australia; [West, Laurie] Kewagama Res, Doonan, Qld 4562, Australia</t>
  </si>
  <si>
    <t>Sydney Institute of Marine Science; NSW Department of Primary Industries; University of New South Wales Sydney; NSW Department of Primary Industries; University of Tasmania; NSW Department of Primary Industries</t>
  </si>
  <si>
    <t>Ochwada-Doyle, F (corresponding author), Sydney Inst Marine Sci, New South Wales Dept Primary Ind, 19 Chowder Bay Rd, Mosman, NSW 2088, Australia.;Ochwada-Doyle, F (corresponding author), Univ New South Wales, Kensington, NSW 2052, Australia.</t>
  </si>
  <si>
    <t>faith.doyle@dpi.nsw.gov.au</t>
  </si>
  <si>
    <t>Taylor, Matthew David/IRZ-9539-2023; Doyle, Faith/IYT-3580-2023; Fowler, Ashley/N-8623-2016; Hughes, Julian/D-2695-2017</t>
  </si>
  <si>
    <t>Taylor, Matthew David/0000-0002-1519-9521; Ochwada-Doyle, Faith/0000-0002-9810-7716; Fowler, Ashley/0000-0003-3075-7066; Hughes, Julian/0000-0002-0884-8386</t>
  </si>
  <si>
    <t>New South Wales(NSW) Recreational Fishing Saltwater Trust; NSW Department of Primary Industries (NSW DPI)</t>
  </si>
  <si>
    <t>Funding for this project was provided by the New South Wales(NSW) Recreational Fishing Saltwater Trust and NSW De-partment of Primary Industries (NSW DPI).</t>
  </si>
  <si>
    <t>10.1093/icesjms/fsac232</t>
  </si>
  <si>
    <t>9Z6UW</t>
  </si>
  <si>
    <t>WOS:000915745900001</t>
  </si>
  <si>
    <t>Maeda, R; Van Acker, T; Vanhaecke, F; Yamaguchi, A; Debaille, V; Claeys, P; Goderis, S</t>
  </si>
  <si>
    <t>Maeda, Ryoga; Van Acker, Thibaut; Vanhaecke, Frank; Yamaguchi, Akira; Debaille, Vinciane; Claeys, Phillippe; Goderis, Steven</t>
  </si>
  <si>
    <t>Quantitative elemental mapping of chondritic meteorites using laser ablation-inductively coupled plasma-time of flight-mass spectrometry (LA-ICP-TOF-MS)</t>
  </si>
  <si>
    <t>JOURNAL OF ANALYTICAL ATOMIC SPECTROMETRY</t>
  </si>
  <si>
    <t>HIGH-RESOLUTION; TRACE-ELEMENTS; HIGH-SPEED; PETROGENESIS; CAPABILITIES; INCLUSIONS; INVENTORY; MINERALS; APATITE; ND</t>
  </si>
  <si>
    <t>Fast elemental mapping using laser ablation-inductively coupled plasma-time of flight-mass spectrometry (LA-ICP-TOF-MS) was applied to a set of chondritic meteorite samples, more specifically H chondrites. LA-ICP-TOF-MS enables element distribution maps for both major and trace elements to be obtained at mu m-order spatial resolution (5 x 5 mu m square pixels in this study) in a (semi-)quantitative manner. To assess the reliability of the quantitative data as obtained using LA-ICP-TOF-MS mapping, the accuracy and precision as obtained using this fast elemental mapping approach were compared to those of the data obtained using the more conventional spot analysis with an electron probe micro analyzer and LA-ICP-sector field (SF)-MS for major and trace elements, respectively. The maps obtained using LA-ICP-TOF-MS visualize elemental distributions among the constituent minerals, while major and trace element abundances determined using LA-ICP-TOF-MS are overall in good agreement within up to 30% relative uncertainty with those obtained based on the spot analyses and with literature values. Yet, some analytical limitations of LA-ICP-TOF-MS mapping remain due to the limited ablated yield when using a small laser spot size for high spatial resolution mapping, while ICP-TOF-MS shows a lower sensitivity and narrower linear dynamic range than does ICP-SF-MS. On the other hand, the main host phase(s) of an element can be readily identified and the major and trace element abundances in the phase(s) can be quantified with an accuracy approaching that of the spot analyses. As such, this study demonstrates the potential of LA-ICP-TOF-MS for fast quantitative imaging of various types of samples, in particular geological samples.</t>
  </si>
  <si>
    <t>[Maeda, Ryoga; Claeys, Phillippe; Goderis, Steven] Vrije Univ Brussel, Analyt Environm &amp; Geochem, Pl Laan 2, B-1050 Brussels, Belgium; [Maeda, Ryoga; Debaille, Vinciane] Univ Libre Bruxelles, Lab G Time, CP 160-02,50 Ave FD Roosevelt, B-1050 Brussels, Belgium; [Van Acker, Thibaut; Vanhaecke, Frank] Univ Ghent, Dept Chem, Atom &amp; Mass Spectrometry A&amp;MS Res Unit, Campus Sterre,Krijgslaan281-S12, B-9000 Ghent, Belgium; [Yamaguchi, Akira] Natl Inst Polar Res, 10-3 Midori Cho, Tachikawa, Tokyo 1908518, Japan</t>
  </si>
  <si>
    <t>Vrije Universiteit Brussel; Universite Libre de Bruxelles; Ghent University; Research Organization of Information &amp; Systems (ROIS); National Institute of Polar Research (NIPR) - Japan</t>
  </si>
  <si>
    <t>Maeda, R (corresponding author), Vrije Univ Brussel, Analyt Environm &amp; Geochem, Pl Laan 2, B-1050 Brussels, Belgium.;Maeda, R (corresponding author), Univ Libre Bruxelles, Lab G Time, CP 160-02,50 Ave FD Roosevelt, B-1050 Brussels, Belgium.</t>
  </si>
  <si>
    <t>Ryoga.Maeda@vub.be</t>
  </si>
  <si>
    <t>Vanhaecke, Frank/AAO-4582-2020; (VUB), VRIJE UNIVERSITEIT BRUSSEL/B-4895-2008; Van Acker, Thibaut/W-7928-2019; Goderis, Steven/F-9908-2011</t>
  </si>
  <si>
    <t>Vanhaecke, Frank/0000-0002-1884-3853; (VUB), VRIJE UNIVERSITEIT BRUSSEL/0000-0002-4585-7687; Van Acker, Thibaut/0000-0002-0649-7228; Debaille, Vinciane/0000-0002-6544-4564; Maeda, Ryoga/0000-0003-4791-630X; Goderis, Steven/0000-0002-6666-7153</t>
  </si>
  <si>
    <t>NIPR International Internship Program for Polar Science 2020; Excellence of Science (EoS) project ET-HoME; Ghent University [BOF PDO2020003501]; GOA grant; ERC StG ISoSyC and FRSFNRS; VUB Strategic Research Program; Research Foundation Flanders (FWO Hercules grant)</t>
  </si>
  <si>
    <t>NIPR International Internship Program for Polar Science 2020; Excellence of Science (EoS) project ET-HoME; Ghent University(Ghent University); GOA grant; ERC StG ISoSyC and FRSFNRS(European Research Council (ERC)); VUB Strategic Research Program; Research Foundation Flanders (FWO Hercules grant)</t>
  </si>
  <si>
    <t>We would like to thank R. Kanemaru for his assistance during the EPMA and N. J. de Winter and S. M. Chernonozhkin for guidance with the XRF and the HDIP software, respectively. We also thank the Royal Belgian Institute of Natural Sciences, Belgium, and the National Institute of Polar Research, Japan, for the loan of the Antarctic meteorites, meteorites collected from hot deserts, and the fall meteorites used in this study. RM thanks NIPR International Internship Program for Polar Science 2020 for financial and analytical support. RM, FV, VD, PhC, and SG acknowledge support from the Excellence of Science (EoS) project ET-HoME. TVA thanks the Special Research Fund of Ghent University (BOF PDO2020003501). FV thanks BOF-UGent for financial support under the form of a GOA grant and acknowledges Teledyne Photon Machines for financial and logistic support. VD and SG thank the BRAIN-Be Belgian Science Policy (BELSPO) projects BAMM and DESIRED. VD thanks the ERC StG ISoSyC and FRSFNRS for support. PhC and SG acknowledge support from the VUB Strategic Research Program. PhC also thanks the Research Foundation Flanders (FWO Hercules grant) for the purchase of the XRF instrument. Finally, we gratefully acknowledge Derya Kara Fisher and Cara Sutton for the editorial work. We also thank two anonymous reviewers for their constructive reviews.</t>
  </si>
  <si>
    <t>0267-9477</t>
  </si>
  <si>
    <t>1364-5544</t>
  </si>
  <si>
    <t>J ANAL ATOM SPECTROM</t>
  </si>
  <si>
    <t>J. Anal. At. Spectrom.</t>
  </si>
  <si>
    <t>FEB 8</t>
  </si>
  <si>
    <t>10.1039/d2ja00317a</t>
  </si>
  <si>
    <t>Chemistry, Analytical; Spectroscopy</t>
  </si>
  <si>
    <t>Chemistry; Spectroscopy</t>
  </si>
  <si>
    <t>8N9ZC</t>
  </si>
  <si>
    <t>WOS:000915352300001</t>
  </si>
  <si>
    <t>de la Torre, A; Alexander, P; Marcos, T; Hierro, R; Llamedo, P; Hormaechea, JL; Preusse, P; Geldenhuys, M; Krasauskas, L; Giez, A; Kaifler, B; Kaifler, N; Rapp, M</t>
  </si>
  <si>
    <t>de la Torre, A.; Alexander, P.; Marcos, T.; Hierro, R.; Llamedo, P.; Hormaechea, J. L.; Preusse, P.; Geldenhuys, M.; Krasauskas, L.; Giez, A.; Kaifler, B.; Kaifler, N.; Rapp, M.</t>
  </si>
  <si>
    <t>A Spectral Rotary Analysis of Gravity Waves: An Application During One of the SOUTHTRAC Flights</t>
  </si>
  <si>
    <t>SOUTHTRAC; gravity waves; rotary spectrum; energy flux; Patagonia; Antarctic Peninsula</t>
  </si>
  <si>
    <t>MOMENTUM FLUX; STRATOSPHERE; PARAMETERS; MOTIONS; PROPAGATION; LIMB</t>
  </si>
  <si>
    <t>To understand the main orographic and non-orographic sources of gravity waves (GWs) over South America during an Experiment (Rapp et al., 2021, ), we propose the application of a rotational spectral analysis based on methods originally developed for oceanographic studies. This approach is deployed in a complex scenario of large-amplitude GWs by applying it to reanalysis data. We divide the atmospheric region of interest into two height intervals. The simulations are compared with lidar measurements during one of the flights. From the degree of polarization and the total energy of the GWs, the contribution of the upward and downward wave packets is described as a function of their vertical wavenumbers. At low levels, a larger downward energy flux is observed in a few significant harmonics, suggesting inertial GWs radiated at polar night jet levels, and below, near to a cold front. In contrast, the upward GW energy flux, per unit area, is larger than the downward flux, as expected over mountainous areas. The main sub-regions of upward GW energy flux are located above Patagonia, the Antarctic Peninsula and only some oceanic sectors. Above the sea, there are alternating sub-regions dominated by linearly polarized GWs and sectors of downward GWs. At the upper levels, the total available GW energy per unit mass is higher than at the lower levels. Regions with different degrees of polarization are distributed in elongated bands. A satisfactory comparison is made with an analysis based on the phase difference between temperature and vertical wind disturbances.</t>
  </si>
  <si>
    <t>[de la Torre, A.; Marcos, T.; Hierro, R.; Llamedo, P.] Univ Austral, Fac Ingn, LIDTUA CIC &amp; CONICET, Pilar, Argentina; [Alexander, P.] Consejo Nacl Invest Cient &amp; Tecn, Inst Fis Buenos Aires, Buenos Aires, Argentina; [Hormaechea, J. L.] Univ Nacl La Plata, CONICET, Fac Ciencias Astron &amp; Geofis, Estn Astron Rio Grande, La Plata, Argentina; [Preusse, P.; Geldenhuys, M.; Krasauskas, L.] Forschungszentrum Julich, Inst Energy &amp; Climate Res IEK 7, Julich, Germany; [Geldenhuys, M.] South African Weather Serv, Pretoria, South Africa; [Giez, A.] Deutsch Zent Luft &amp; Raumfahrt, Einrichtung Flugexperimente, Oberpfaffenhofen, Germany; [Kaifler, B.; Kaifler, N.; Rapp, M.] Deutsch Zent Luft &amp; Raumfahrt, Inst Phys Atmosphare, Oberpfaffenhofen, Germany; [Rapp, M.] Ludwig Maximilians Univ Munchen, Meteorol Inst Munchen, Munich, Germany</t>
  </si>
  <si>
    <t>Austral University; Consejo Nacional de Investigaciones Cientificas y Tecnicas (CONICET); National University of La Plata; Consejo Nacional de Investigaciones Cientificas y Tecnicas (CONICET); Helmholtz Association; Research Center Julich; South African Weather Service (SAWS); Helmholtz Association; German Aerospace Centre (DLR); Helmholtz Association; German Aerospace Centre (DLR); University of Munich</t>
  </si>
  <si>
    <t>de la Torre, A (corresponding author), Univ Austral, Fac Ingn, LIDTUA CIC &amp; CONICET, Pilar, Argentina.</t>
  </si>
  <si>
    <t>adelatorre@austral.edu.ar</t>
  </si>
  <si>
    <t>Kaifler, Natalie/JOK-0324-2023; Rapp, Markus/K-6081-2015</t>
  </si>
  <si>
    <t>Kaifler, Natalie/0000-0002-3118-6480; Alexander, Peter/0000-0001-9455-2487; Geldenhuys, Markus/0000-0001-6273-5633; Hierro, Rodrigo/0000-0001-7835-8801; Hormaechea, Jose Luis/0000-0003-4533-3282; Krasauskas, Lukas/0000-0003-3534-4535; Rapp, Markus/0000-0003-1508-5900</t>
  </si>
  <si>
    <t>Federal Ministry for Education and Research [01LG1907]; German Aerospace Center (DLR); German Ministry for Education and Research [01 LG 1907]; ANPCYT [PICT 2018-653, PIP-CONICET20170100067]</t>
  </si>
  <si>
    <t>Federal Ministry for Education and Research(Federal Ministry of Education &amp; Research (BMBF)); German Aerospace Center (DLR)(Helmholtz AssociationGerman Aerospace Centre (DLR)); German Ministry for Education and Research(Federal Ministry of Education &amp; Research (BMBF)); ANPCYT(ANPCyT)</t>
  </si>
  <si>
    <t>AT, PA, RH, PL, and TM were funded by grants ANPCYT PICT 2018-653 and PIP-CONICET20170100067. MR's contribution was partly funded by the Federal Ministry for Education and Research under Grants 01LG1907 (project WASCLIM) in the frame of the Role of the Middle Atmosphere in Climate (ROMIC) program as well as by internal funds of the German Aerospace Center (DLR). The work of LK was partly funded by the German Ministry for Education and Research under Grant 01 LG 1907 (project WASCLIM) in the frame of the role of the Middle Atmosphere in Climate (ROMIC)- program.</t>
  </si>
  <si>
    <t>JAN 16</t>
  </si>
  <si>
    <t>e2022JD037139</t>
  </si>
  <si>
    <t>10.1029/2022JD037139</t>
  </si>
  <si>
    <t>H9CE4</t>
  </si>
  <si>
    <t>WOS:000998847300001</t>
  </si>
  <si>
    <t>Bednarz, EM; Visioni, D; Kravitz, B; Jones, A; Haywood, JM; Richter, J; MacMartin, DG; Braesicke, P</t>
  </si>
  <si>
    <t>Bednarz, Ewa M.; Visioni, Daniele; Kravitz, Ben; Jones, Andy; Haywood, James M.; Richter, Jadwiga; MacMartin, Douglas G.; Braesicke, Peter</t>
  </si>
  <si>
    <t>Climate response to off-equatorial stratospheric sulfur injections in threeEarth system models - Part 2: Stratospheric and free-tropospheric response</t>
  </si>
  <si>
    <t>QUASI-BIENNIAL OSCILLATION; OZONE RESPONSE; SULFATE; AEROSOL; CHEMISTRY; TRANSPORT; STRATEGY; IMPACTS</t>
  </si>
  <si>
    <t>The paper constitutes Part 2 of a study performing a first systematicinter-model comparison of the atmospheric responses to stratospheric aerosolinjection (SAI) at various single latitudes in the tropics, as simulated bythree state-of-the-art Earth system models - CESM2-WACCM6, UKESM1.0, andGISS-E2.1-G. Building on Part 1 (Visioni et al., 2023) we demonstratethe role of biases in the climatological circulation and specific aspects ofthe model microphysics in driving the inter-model differences in thesimulated sulfate distributions. We then characterize the simulated changesin stratospheric and free-tropospheric temperatures, ozone, water vapor, andlarge-scale circulation, elucidating the role of the above aspects inthe surface SAI responses discussed in Part 1. We show that the differences in the aerosol spatial distribution can beexplained by the significantly faster shallow branches of the Brewer-Dobsoncirculation in CESM2, a relatively isolated tropical pipe and older tropicalage of air in UKESM, and smaller aerosol sizes and relatively strongerhorizontal mixing (thus very young stratospheric age of air) in the two GISSversions used. We also find a large spread in the magnitudes of the tropicallower-stratospheric warming amongst the models, driven by microphysical,chemical, and dynamical differences. These lead to large differences instratospheric water vapor responses, with significant increases instratospheric water vapor under SAI in CESM2 and GISS that were largely notreproduced in UKESM. For ozone, good agreement was found in the tropicalstratosphere amongst the models with more complex microphysics, with lowerstratospheric ozone changes consistent with the SAI-induced modulation ofthe large-scale circulation and the resulting changes in transport. Incontrast, we find a large inter-model spread in the Antarctic ozoneresponses that can largely be explained by the differences in the simulatedlatitudinal distributions of aerosols as well as the degree ofimplementation of heterogeneous halogen chemistry on sulfate in the models. The use of GISS runs with bulk microphysics demonstrates the importance ofmore detailed treatment of aerosol processes, with contrastingly differentstratospheric SAI responses to the models using the two-moment aerosoltreatment; however, some problems in halogen chemistry in GISS are alsoidentified that require further attention. Overall, our results contributeto an increased understanding of the underlying physical mechanisms as wellas identifying and narrowing the uncertainty in model projections of climateimpacts from SAI.</t>
  </si>
  <si>
    <t>[Bednarz, Ewa M.; Visioni, Daniele; MacMartin, Douglas G.] Cornell Univ, Sibley Sch Mech &amp; Aerosp Engn, Ithaca, NY 14850 USA; [Kravitz, Ben] Indiana Univ, Dept Earth &amp; Atmospher Sci, Bloomington, IN USA; [Kravitz, Ben] Pacific Northwest Natl Lab, Atmospher Sci &amp; Global Change Div, Richland, WA USA; [Jones, Andy; Haywood, James M.] Met Off Hadley Ctr, Exeter, Devon, England; [Haywood, James M.] Univ Exeter, Coll Engn Maths &amp; Phys Sci, Exeter, Devon, England; [Richter, Jadwiga] Natl Ctr Atmospher Res, Climate &amp; Global Dynam Lab, Boulder, CO USA; [Braesicke, Peter] Karlsruhe Inst Technol, IMK ASF, Eggenstein Leopoldshafen, Germany; [Bednarz, Ewa M.] Univ Colorado, Cooperat Inst Res Environm Sci, Boulder, CO 80309 USA; [Bednarz, Ewa M.] NOAA, Chem Sci Lab, Boulder, CO 80305 USA</t>
  </si>
  <si>
    <t>Cornell University; Indiana University System; Indiana University Bloomington; United States Department of Energy (DOE); Pacific Northwest National Laboratory; Met Office - UK; Hadley Centre; University of Exeter; National Center Atmospheric Research (NCAR) - USA; Helmholtz Association; Karlsruhe Institute of Technology; University of Colorado System; University of Colorado Boulder; National Oceanic Atmospheric Admin (NOAA) - USA</t>
  </si>
  <si>
    <t>Bednarz, EM (corresponding author), Cornell Univ, Sibley Sch Mech &amp; Aerosp Engn, Ithaca, NY 14850 USA.;Bednarz, EM (corresponding author), Univ Colorado, Cooperat Inst Res Environm Sci, Boulder, CO 80309 USA.;Bednarz, EM (corresponding author), NOAA, Chem Sci Lab, Boulder, CO 80305 USA.</t>
  </si>
  <si>
    <t>ewa.bednarz@noaa.gov</t>
  </si>
  <si>
    <t>Braesicke, Peter/D-8330-2016; MacMartin, Douglas/AAB-5314-2020; Haywood, Jim/GQA-6691-2022; Visioni, Daniele/O-7824-2016; MacMartin, Douglas/A-6333-2016; Kravitz, Ben/P-7925-2014</t>
  </si>
  <si>
    <t>Braesicke, Peter/0000-0003-1423-0619; Visioni, Daniele/0000-0002-7342-2189; Bednarz, Ewa Monika/0000-0002-7441-0497; MacMartin, Douglas/0000-0003-1987-9417; Haywood, Jim/0000-0002-2143-6634; Kravitz, Ben/0000-0001-6318-1150</t>
  </si>
  <si>
    <t>Atkinson Center for a Sustainable Future at Cornell Universitythrough SilverLining's Safe Climate Research Initiative; National Science Foundation [CBET-2038246, CBET-1931641]</t>
  </si>
  <si>
    <t>Atkinson Center for a Sustainable Future at Cornell Universitythrough SilverLining's Safe Climate Research Initiative; National Science Foundation(National Science Foundation (NSF))</t>
  </si>
  <si>
    <t>This research has been supported by the Atkinson Center for a Sustainable Future at Cornell Universitythrough SilverLining's Safe Climate Research Initiative and bythe National Science Foundation (grant nos. CBET-2038246 and CBET-1931641).</t>
  </si>
  <si>
    <t>10.5194/acp-23-687-2023</t>
  </si>
  <si>
    <t>7X3UI</t>
  </si>
  <si>
    <t>WOS:000914126300001</t>
  </si>
  <si>
    <t>Bradley, AT; Hewitt, IJ; Vella, D</t>
  </si>
  <si>
    <t>Bradley, Alexander T.; Hewitt, Ian J.; Vella, Dominic</t>
  </si>
  <si>
    <t>Bendocapillary instability of liquid in a flexible-walled channel</t>
  </si>
  <si>
    <t>microfluidics; lubrication theory; capillary flows</t>
  </si>
  <si>
    <t>EVAPORATION</t>
  </si>
  <si>
    <t>We study the bendocapillary instability of a liquid droplet that part fills a flexible walled channel. Inspired by experiments in which a periodic pattern emerges as droplets of liquid are condensed slowly into deformable microchannels, we develop a mathematical model of this instability. We describe equilibria of the system, and use a combination of numerical methods and asymptotic analysis in the limit of small channel wall deflections, to elucidate the key features of this instability. We find that configurations are unstable to perturbations of sufficiently small wavenumber regardless of parameter values, that the growth rate of the instability is highly sensitive to the volume of liquid in the channel, and that both wetting and non-wetting configurations are susceptible to the instability in the same channel. Insight into novel interfacial instabilities opens the possibility for their control and thus exploitation in processes such as microfabrication.</t>
  </si>
  <si>
    <t>[Bradley, Alexander T.; Hewitt, Ian J.; Vella, Dominic] Univ Oxford, Math Inst, Woodstock Rd, Oxford OX2 6GG, England; [Bradley, Alexander T.] British Antarctic Survey, Madingley Rd, Cambridge CB3 0ET, England</t>
  </si>
  <si>
    <t>University of Oxford; UK Research &amp; Innovation (UKRI); Natural Environment Research Council (NERC); NERC British Antarctic Survey</t>
  </si>
  <si>
    <t>Bradley, AT (corresponding author), Univ Oxford, Math Inst, Woodstock Rd, Oxford OX2 6GG, England.;Bradley, AT (corresponding author), British Antarctic Survey, Madingley Rd, Cambridge CB3 0ET, England.</t>
  </si>
  <si>
    <t>Bradley, Alex/GRO-6619-2022; Vella, Dominic/A-9070-2008</t>
  </si>
  <si>
    <t>Hewitt, Ian/0000-0002-9167-6481; Bradley, Alexander/0000-0001-8381-5317</t>
  </si>
  <si>
    <t>A26</t>
  </si>
  <si>
    <t>10.1017/jfm.2022.1025</t>
  </si>
  <si>
    <t>9P9WY</t>
  </si>
  <si>
    <t>Green Submitted, Green Accepted, Green Published, hybrid</t>
  </si>
  <si>
    <t>WOS:000944627600001</t>
  </si>
  <si>
    <t>Christie, FDW; Steig, EJ; Gourmelen, N; Tett, SFB; Bingham, RG</t>
  </si>
  <si>
    <t>Christie, Frazer D. W.; Steig, Eric J.; Gourmelen, Noel; Tett, Simon F. B.; Bingham, Robert G.</t>
  </si>
  <si>
    <t>Inter-decadal climate variability induces differential ice response along Pacific-facing West Antarctica</t>
  </si>
  <si>
    <t>GROUNDING LINE RETREAT; CIRCUMPOLAR DEEP-WATER; AMUNDSEN SEA EMBAYMENT; THWAITES GLACIER; PINE ISLAND; ISOSTATIC ADJUSTMENT; KOHLER GLACIERS; ANNULAR MODE; OCEAN; SHELF</t>
  </si>
  <si>
    <t>West Antarctica has experienced dramatic ice losses contributing to global sea-level rise in recent decades, particularly from Pine Island and Thwaites glaciers. Although these ice losses manifest an ongoing Marine Ice Sheet Instability, projections of their future rate are confounded by limited observations along West Antarctica's coastal perimeter with respect to how the pace of retreat can be modulated by variations in climate forcing. Here, we derive a comprehensive, 12-year record of glacier retreat around West Antarctica's Pacific-facing margin and compare this dataset to contemporaneous estimates of ice flow, mass loss, the state of the Southern Ocean and the atmosphere. Between 2003 and 2015, rates of glacier retreat and acceleration were extensive along the Bellingshausen Sea coastline, but slowed along the Amundsen Sea. We attribute this to an interdecadal suppression of westerly winds in the Amundsen Sea, which reduced warm water inflow to the Amundsen Sea Embayment. Our results provide direct observations that the pace, magnitude and extent of ice destabilization around West Antarctica vary by location, with the Amundsen Sea response most sensitive to interdecadal atmosphere-ocean variability. Thus, model projections accounting for regionally resolved ice-ocean-atmosphere interactions will be important for predicting accurately the short-term evolution of the Antarctic Ice Sheet. Systematic satellite, ocean and atmosphere records show the pace and extent of melting in West Antarctica vary by location, with glaciers flowing to the Amundsen Sea most sensitive to atmosphere-ocean variability atop a marine ice-sheet instability.</t>
  </si>
  <si>
    <t>[Christie, Frazer D. W.] Univ Cambridge, Scott Polar Res Inst, Cambridge CB2 1ER, England; [Christie, Frazer D. W.; Gourmelen, Noel; Tett, Simon F. B.; Bingham, Robert G.] Univ Edinburgh, Sch Geosci, Edinburgh EH8 9XP, Scotland; [Steig, Eric J.] Univ Washington, Dept Earth &amp; Space Sci, Seattle, WA 98195 USA</t>
  </si>
  <si>
    <t>University of Cambridge; University of Edinburgh; University of Washington; University of Washington Seattle</t>
  </si>
  <si>
    <t>Christie, FDW (corresponding author), Univ Cambridge, Scott Polar Res Inst, Cambridge CB2 1ER, England.;Christie, FDW (corresponding author), Univ Edinburgh, Sch Geosci, Edinburgh EH8 9XP, Scotland.</t>
  </si>
  <si>
    <t>fc475@cam.ac.uk</t>
  </si>
  <si>
    <t>Tett, Simon F. B./B-1504-2013; Bingham, Robert G/G-3576-2017; Steig, Eric J/G-9088-2015</t>
  </si>
  <si>
    <t>Tett, Simon F. B./0000-0001-7526-560X;</t>
  </si>
  <si>
    <t>Carnegie Trust for the Universities of Scotland Carnegie PhD Scholarship; Natural Environment Research Council (NERC) [NE/L002558/1]; Scottish Alliance for Geoscience, Environment and Society (SAGES) Graduate School; Prince Albert II of Monaco Foundation; NERC / U.S. National Science Foundation (NSF) International Thwaites Glacier Collaboration [NE/S006613, NE/S006796]; NSF [2045075]; NERC [NE/T001607/1]; European Space Agency [4000128611/19/I-DT]; Office of Polar Programs (OPP); Directorate For Geosciences [2045075] Funding Source: National Science Foundation; NERC [NE/S006613/1, NE/T001607/1] Funding Source: UKRI</t>
  </si>
  <si>
    <t>Carnegie Trust for the Universities of Scotland Carnegie PhD Scholarship; Natural Environment Research Council (NERC)(UK Research &amp; Innovation (UKRI)Natural Environment Research Council (NERC)); Scottish Alliance for Geoscience, Environment and Society (SAGES) Graduate School; Prince Albert II of Monaco Foundation; NERC / U.S. National Science Foundation (NSF) International Thwaites Glacier Collaboration; NSF(National Science Foundation (NSF)); NERC(UK Research &amp; Innovation (UKRI)Natural Environment Research Council (NERC)); European Space Agency(European Space Agency); Office of Polar Programs (OPP); Directorate For Geosciences(National Science Foundation (NSF)NSF - Directorate for Geosciences (GEO)); NERC(UK Research &amp; Innovation (UKRI)Natural Environment Research Council (NERC))</t>
  </si>
  <si>
    <t>This study was supported by a Carnegie Trust for the Universities of Scotland Carnegie PhD Scholarship (to F.D.W.C.), hosted in the Edinburgh E3 U.K. Natural Environment Research Council (NERC) Doctoral Training Partnership (NE/L002558/1) and the Scottish Alliance for Geoscience, Environment and Society (SAGES) Graduate School. The study was also produced with the financial assistance of the Prince Albert II of Monaco Foundation (to F.D.W.C.), as well as grants from the NERC / U.S. National Science Foundation (NSF) International Thwaites Glacier Collaboration (Grants NE/S006613, ITGC-GHOST, to R.G.B. and NE/S006796, ITGC-PROPHET, to N.G.; this is ITGC Contribution No. ITGC-088), NSF Grant 2045075 to E.J.S., NERC Grant NE/T001607/1 (QuORUM) to N.G. and S.F.B.T., and European Space Agency funding (Projects 4000128611/19/I-DT, 4D Antarctica and Digital Twin Antarctica) to N.G. The authors thank I. Joughin for providing access to his TerraSAR-X-derived grounding zone data acquired over Pine Island Glacier (cf. ref. 15).</t>
  </si>
  <si>
    <t>10.1038/s41467-022-35471-3</t>
  </si>
  <si>
    <t>9E6LI</t>
  </si>
  <si>
    <t>WOS:000936894300009</t>
  </si>
  <si>
    <t>Schiavon, L; Negrisolo, E; Battistotti, A; Lucassen, M; Damerau, M; Harms, L; Riginella, E; Matschiner, M; Zane, L; La Mesa, M; Papetti, C</t>
  </si>
  <si>
    <t>Schiavon, Luca; Negrisolo, Enrico; Battistotti, Alessandra; Lucassen, Magnus; Damerau, Malte; Harms, Lars; Riginella, Emilio; Matschiner, Michael; Zane, Lorenzo; La Mesa, Mario; Papetti, Chiara</t>
  </si>
  <si>
    <t>Species identification and population genetics of the Antarctic fish genera Lepidonotothen and Nototheniops (Perciformes, Notothenioidei)</t>
  </si>
  <si>
    <t>ZOOLOGICA SCRIPTA</t>
  </si>
  <si>
    <t>Antarctic Peninsula; Lepidonotothen kempi; Lepidonotothen squamifrons; microsatellites; ND2; Scotia Arc; Southern Ocean; Shag Rocks; species limits; tRNA</t>
  </si>
  <si>
    <t>SOUTHERN-OCEAN; CLIMATE-CHANGE; SCOTIA SEA; DIVERSITY; DIVERSIFICATION; CONNECTIVITY; SQUAMIFRONS; PATTERNS; ISLANDS; HISTORY</t>
  </si>
  <si>
    <t>Accurate species identification is essential to assess biodiversity and species richness in ecosystems threatened by rapid and recent environmental changes, such as warming in most Antarctic waters. The Lepidonotothen species complex comprises demersal notothenioid fishes which inhabit the shelf areas of the Antarctic Peninsula, the Scotia Arc and sub-Antarctic islands with a circum-Antarctic distribution. Species determination in this group has often been problematic. In particular, whether Lepidonotothen squamifrons and Lepidonotothen kempi are valid as separate species has been questioned. In this study, we analysed the genetic variation among four nominal southern polar species within this complex (L. kempi, L. squamifrons, Nototheniops larseni, Nototheniops nudifrons) by means of three different markers (ND2 and tRNA mitochondrial genes and a panel of 16 nuclear microsatellites). We tested whether individuals morphologically assigned to L. kempi showed genetic separation from L. squamifrons. Our analyses indicated a lack of differentiation between L. kempi and L. squamifrons. However, a genetically distinct population was found for L. squamifrons at the Shag Rocks islands near South Georgia. Antarctic and sub-Antarctic islands are known to be home to many cryptic species and further studies will elucidate if the genetically differentiated population we found potentially originated from this context and can be considered an incipient species. Our analysis contributes to further characterize the species composition of the most abundant fish suborder in the Southern Ocean, which is among the regions most threatened by climate change.</t>
  </si>
  <si>
    <t>[Schiavon, Luca; Battistotti, Alessandra; Zane, Lorenzo; Papetti, Chiara] Univ Padua, Dept Biol, Padua, Italy; [Negrisolo, Enrico] Univ Padua, Dept Comparat Biomed &amp; Food Sci, Legnaro, Italy; [Negrisolo, Enrico] Univ Padua, CRIBI Interdept Res Ctr Innovat Biotechnol, Padua, Italy; [Lucassen, Magnus; Harms, Lars] Alfred Wegener Inst Helmholtz Ctr Polar &amp; Marine, Data Sci Support, Bremerhaven, Germany; [Damerau, Malte] Johann Heinrich Thuenen Inst, Inst Fisheries Ecol, Fed Res Inst Rural Areas Forestry &amp; Fisheries, Hamburg, Germany; [Riginella, Emilio; Papetti, Chiara] Dept Integrat Marine Ecol, Zool Stn Anton Dohrn, Naples, Italy; [Matschiner, Michael] Univ Oslo, Nat Hist Museum, Oslo, Norway; [Zane, Lorenzo; Papetti, Chiara] Consorzio Nazl Interuniv Sci Mare CoNISMa, Rome, Italy; [La Mesa, Mario] Inst Polar Sci ISP, CNR, Area Ric Bologna, Bologna, Italy</t>
  </si>
  <si>
    <t>University of Padua; University of Padua; University of Padua; Helmholtz Association; Alfred Wegener Institute, Helmholtz Centre for Polar &amp; Marine Research; Stazione Zoologica Anton Dohrn di Napoli; University of Oslo; CoNISMa; Consiglio Nazionale delle Ricerche (CNR); Istituto di Scienze Polari (ISP-CNR)</t>
  </si>
  <si>
    <t>La Mesa, M (corresponding author), CNR, Area Ric Bologna, Inst Polar Sci ISP, Via P Gobetti 101, I-40129 Bologna, Italy.</t>
  </si>
  <si>
    <t>; Negrisolo, Enrico/K-8124-2015; Zane, Lorenzo/G-6249-2010</t>
  </si>
  <si>
    <t>Papetti, Chiara/0000-0002-4567-459X; Negrisolo, Enrico/0000-0002-6244-805X; Zane, Lorenzo/0000-0002-6963-2132; Riginella, Emilio/0000-0002-1442-8310</t>
  </si>
  <si>
    <t>0300-3256</t>
  </si>
  <si>
    <t>1463-6409</t>
  </si>
  <si>
    <t>ZOOL SCR</t>
  </si>
  <si>
    <t>Zool. Scr.</t>
  </si>
  <si>
    <t>10.1111/zsc.12580</t>
  </si>
  <si>
    <t>Evolutionary Biology; Zoology</t>
  </si>
  <si>
    <t>8N6XJ</t>
  </si>
  <si>
    <t>WOS:000914332500001</t>
  </si>
  <si>
    <t>Song, BG; Chun, HY; Song, IS; Lee, C; Kim, JH; Jee, G</t>
  </si>
  <si>
    <t>Song, B. -G.; Chun, H. -Y.; Song, I. -S.; Lee, C.; Kim, J. -H.; Jee, G.</t>
  </si>
  <si>
    <t>Long-Term Characteristics of the Meteor Radar Winds Observed at King Sejong Station, Antarctica</t>
  </si>
  <si>
    <t>meteor radar; Antarctica; MLT; King Sejong Station; mesospheric wind; long-term trend</t>
  </si>
  <si>
    <t>ROTATIONAL TEMPERATURE OBSERVATIONS; LOWER THERMOSPHERE REGIONS; CONVECTIVE GRAVITY-WAVES; PERIOD PLANETARY-WAVES; ARCTIC MESOSPHERE; MOMENTUM FLUX; 2-DAY WAVE; EQUATORIAL WAVES; MEAN WINDS; DYNAMICS</t>
  </si>
  <si>
    <t>The characteristics of the horizontal wind in the mesosphere and lower thermosphere (MLT) at King Sejong Station (KSS) in the Antarctic Peninsula are investigated using approximately 15-year (March 2007-November 2021) meteor radar (MR) observations. The 15-year climatology and variability of the MLT winds at KSS are analyzed for the first time, and comparisons with the observations at other Antarctic stations are performed. The short-period oscillations (periods between 2 hr and 10 days) of the winds, including tides and several planetary wave components, are examined for each month. Temporal and altitudinal variations in the amplitudes of the semidiurnal and diurnal tides, the two largest short-period components, are analyzed. Annual and semiannual oscillations of the wind are distinct below and above z = 90 km, respectively. The long-term trend of the zonal wind is estimated through a multiple linear regression analysis. Statistically significant trends of the zonal wind of similar to 0.5-0.8 m s(-1) yr(-1) appear above z = 90 km in July. To understand observed MLT wind trends, the gravity-wave momentum flux and gravity-wave drag (GWD) in the MLT region are estimated from the MR observations at KSS for the 15 years. Similar seasonal variations are found between the trends of the zonal winds and zonal GWDs, especially above z = 94 km. In July where a strong positive zonal wind trend appears, positive correlation between the zonal wind and zonal GWDs is found to be statistically significant above z = 94 km. Plain Language Summary The mesosphere and lower thermosphere (MLT) is the atmospheric layer between the Earth's lower atmosphere and space. A meteor radar (MR) can be used to observe the horizontal winds in the MLT region. In this study, we analyze the characteristics of the MLT winds using the recent 15-year MR observations at King Sejong Station (KSS; 62.22 degrees S, 58.78 degrees W) located in the Antarctic Peninsula. We find that the zonal and meridional components of the MLT wind at KSS exhibit temporal variability on various timescales. Statistically significant trends of the zonal wind appear above z = 90 km in July. To understand the observed MLT wind trends, we calculated the gravity-wave momentum flux and gravity-wave drag (GWD) using the MR observations at KSS for 15 years, which are quite unique data for such a long time period. A similar seasonal pattern between the zonal wind and the zonal GWD suggests that the positive zonal wind trend observed from the MR at KSS in July is likely related to that of the GWD.</t>
  </si>
  <si>
    <t>[Song, B. -G.; Chun, H. -Y.; Song, I. -S.] Yonsei Univ, Dept Atmospher Sci, Seoul, South Korea; [Lee, C.; Kim, J. -H.; Jee, G.] Korea Polar Res Inst, Div Atmospher Sci, Incheon, South Korea; [Jee, G.] Univ Sci &amp; Technol, Dept Polar Sci, Incheon, South Korea</t>
  </si>
  <si>
    <t>Yonsei University; Korea Polar Research Institute (KOPRI)</t>
  </si>
  <si>
    <t>Chun, HY; Song, IS (corresponding author), Yonsei Univ, Dept Atmospher Sci, Seoul, South Korea.</t>
  </si>
  <si>
    <t>chunhy@yonsei.ac.kr; songi@yonsei.ac.kr</t>
  </si>
  <si>
    <t>Song, In-Sun/KCK-5485-2024; Chun, Hye-Yeong/AAA-6249-2019</t>
  </si>
  <si>
    <t>Song, In-Sun/0000-0001-7211-6035; Song, Byeong-Gwon/0000-0003-1252-3231</t>
  </si>
  <si>
    <t>Korea Polar Research Institute (KOPRI) [PE21020/PE22020]; National Research Foundation of Korea (NRF) - South Korea government (MSIT) [2021R1A2C100710212]</t>
  </si>
  <si>
    <t>Korea Polar Research Institute (KOPRI)(Korea Polar Research Institute of Marine Research Placement (KOPRI)); National Research Foundation of Korea (NRF) - South Korea government (MSIT)(National Research Foundation of KoreaMinistry of Science &amp; ICT (MSIT), Republic of Korea)</t>
  </si>
  <si>
    <t>This work was supported by the Korea Polar Research Institute (KOPRI, PE21020/PE22020). HYC was also supported from the National Research Foundation of Korea (NRF) grant funded by the South Korea government (MSIT) (2021R1A2C100710212). The authors would like to thank the overwintering members at KSS for the undisrupted operation of meteor radar. The authors would like to thank two anonymous reviewers and the editor for their valuable comments and suggestions.</t>
  </si>
  <si>
    <t>e2022JD037190</t>
  </si>
  <si>
    <t>10.1029/2022JD037190</t>
  </si>
  <si>
    <t>9A4KH</t>
  </si>
  <si>
    <t>WOS:000934027900001</t>
  </si>
  <si>
    <t>Fu, J; Fu, KH; Hu, BY; Zhou, W; Fu, YL; Gu, LY; Zhang, QH; Zhang, AQ; Fu, JJ; Jiang, GB</t>
  </si>
  <si>
    <t>Fu, Jie; Fu, Kehan; Hu, Boyuan; Zhou, Wei; Fu, Yilin; Gu, Luyao; Zhang, Qinghua; Zhang, Aiqian; Fu, Jianjie; Jiang, Guibin</t>
  </si>
  <si>
    <t>Source Identification of Organophosphate Esters through the Profiles in Proglacial and Ocean Sediments from Ny-Alesund, the Arctic</t>
  </si>
  <si>
    <t>organophosphate tri-esters; organophosphate di-esters; ocean sediment; proglacial sediment; the Arctic; source identification</t>
  </si>
  <si>
    <t>PHOSPHATE FLAME RETARDANTS; OH-INITIATED OXIDATION; ORGANIC POLLUTANTS; WATER; KONGSFJORDEN; PLASTICIZERS; PACIFIC; PERSISTENT; PARTICLES; SNOW</t>
  </si>
  <si>
    <t>Little is known about the sources and environmental behavior of organophosphate esters (OPEs) in the Arctic, especially their transformation products. The present study unprecedentedly investigated both 16 tri-OPEs and 8 di-OPEs in proglacial and ocean sediments from Ny-Alesund, the Arctic. Mean concentrations of tri-OPEs and di-OPEs in proglacial sediments were 487 and 341 pg/g dry weight (dw), respectively, which were significantly lower than those in ocean sediments (1692 and 525 pg/g dw). Ocean sediments might be simultaneously influenced by long-range atmospheric transport (LRAT), oceanic transport, and human activities, whereas proglacial sediments, since they are isolated from human settlements, may be dominantly affected by LRAT. Such source difference was evidenced by the contamination profile of OPEs: chlorinated tri-OPEs with high environmental persistence and high LRAT were dominant in proglacial sediments (66%); however, weakly environmentally persistent and highly hydrophobic aryl tri-OPEs were dominant in ocean sediments (47%), which were plausibly from local emission sources due to their low LRAT potential. Di-OPEs in proglacial and ocean sediments were dominated by groups of parent tri-OPEs with strong photodegradability, such as alkyl (75%) and aryl (58%). A higher mean molar ratio of di-OPE/tri-OPE in the proglacial sediment (14) than that in the ocean sediment (2.2) may be related to its higher photodegradation than that of the ocean sediment.</t>
  </si>
  <si>
    <t>[Fu, Jie; Hu, Boyuan; Zhou, Wei; Gu, Luyao; Zhang, Qinghua; Zhang, Aiqian; Fu, Jianjie; Jiang, Guibin] Univ Chinese Acad Sci, Hangzhou Inst Adv Study, Sch Environm, Hangzhou 310024, Peoples R China; [Fu, Jie; Fu, Kehan; Hu, Boyuan; Zhou, Wei; Fu, Yilin; Gu, Luyao; Zhang, Qinghua; Zhang, Aiqian; Fu, Jianjie; Jiang, Guibin] Chinese Acad Sci, Res Ctr Ecoenvironm Sci, State Key Lab Environm Chem &amp; Ecotoxicol, Beijing 100085, Peoples R China; [Zhang, Aiqian; Fu, Jianjie; Jiang, Guibin] Univ Chinese Acad Sci, Coll Resources &amp; Environm, Beijing 100049, Peoples R China; [Fu, Kehan; Zhang, Aiqian; Fu, Jianjie; Jiang, Guibin] Jianghan Univ, Inst Environm &amp; Hlth, Hubei Key Lab Environm &amp; Hlth Effects Persistent, Wuhan 430056, Peoples R China</t>
  </si>
  <si>
    <t>Chinese Academy of Sciences; University of Chinese Academy of Sciences, CAS; Chinese Academy of Sciences; Research Center for Eco-Environmental Sciences (RCEES); Chinese Academy of Sciences; University of Chinese Academy of Sciences, CAS; Jianghan University</t>
  </si>
  <si>
    <t>Fu, JJ (corresponding author), Univ Chinese Acad Sci, Hangzhou Inst Adv Study, Sch Environm, Hangzhou 310024, Peoples R China.;Fu, JJ (corresponding author), Chinese Acad Sci, Res Ctr Ecoenvironm Sci, State Key Lab Environm Chem &amp; Ecotoxicol, Beijing 100085, Peoples R China.;Fu, JJ (corresponding author), Univ Chinese Acad Sci, Coll Resources &amp; Environm, Beijing 100049, Peoples R China.;Fu, JJ (corresponding author), Jianghan Univ, Inst Environm &amp; Hlth, Hubei Key Lab Environm &amp; Hlth Effects Persistent, Wuhan 430056, Peoples R China.</t>
  </si>
  <si>
    <t>jjfu@rcees.ac.cn</t>
  </si>
  <si>
    <t>tian, ye/KGL-6485-2024; ren, jing/JXN-8411-2024; Yao, Chen/JVD-6226-2023; Zhang, Qinghua/G-3980-2019</t>
  </si>
  <si>
    <t>Fu, Jianjie/0000-0002-6373-0719</t>
  </si>
  <si>
    <t>National Natural Science Foundation [22022611, 21976188]; Second Tibetan Plateau Scientific Expedition and Research Program [2019QZKK0605]; Youth Innovation Promotion Association CAS [2018052]</t>
  </si>
  <si>
    <t>National Natural Science Foundation(National Natural Science Foundation of China (NSFC)); Second Tibetan Plateau Scientific Expedition and Research Program; Youth Innovation Promotion Association CAS</t>
  </si>
  <si>
    <t>Y This work was jointly supported by the National Natural Science Foundation (22022611, 21976188), the Second Tibetan Plateau Scientific Expedition and Research Program (No. 2019QZKK0605), and the Youth Innovation Promotion Association CAS (2018052). The authors also greatly thank Chinese Arctic and Antarctic Ministration, the State Oceanic Administration, P.R. China, for the arrangement during the 2017 Chinese Arctic Expedition.</t>
  </si>
  <si>
    <t>10.1021/acs.est.2c06747</t>
  </si>
  <si>
    <t>FP3L4</t>
  </si>
  <si>
    <t>WOS:000921872300001</t>
  </si>
  <si>
    <t>Skinner, CB; Lora, JM; Tabor, C; Zhu, J</t>
  </si>
  <si>
    <t>Skinner, Christopher B. B.; Lora, Juan M. M.; Tabor, Clay; Zhu, Jiang</t>
  </si>
  <si>
    <t>Atmospheric River Contributions to Ice Sheet Hydroclimate at the Last Glacial Maximum</t>
  </si>
  <si>
    <t>WESTERN NORTH-AMERICA; SURFACE; CLIMATE; CIRCULATION; MODEL; MELT; TEMPERATURE; MECHANISMS; LAURENTIDE; PACIFIC</t>
  </si>
  <si>
    <t>Atmospheric rivers (ARs) are an important driver of surface mass balance over today's Greenland and Antarctic ice sheets. Using paleoclimate simulations with the Community Earth System Model, we find ARs also had a key influence on the extensive ice sheets of the Last Glacial Maximum (LGM). ARs provide up to 53% of total precipitation along the margins of the eastern Laurentide ice sheet and up to 22%-27% of precipitation along the margins of the Patagonian, western Cordilleran, and western Fennoscandian ice sheets. Despite overall cold conditions at the LGM, surface temperatures during AR events are often above freezing, resulting in more rain than snow along ice sheet margins and conditions that promote surface melt. The results suggest ARs may have had an important role in ice sheet growth and melt during previous glacial periods and may have accelerated ice sheet retreat following the LGM.</t>
  </si>
  <si>
    <t>[Skinner, Christopher B. B.] Univ Massachusetts Lowell, Dept Environm Earth &amp; Atmospher Sci, Lowell, MA 01854 USA; [Lora, Juan M. M.] Yale Univ, Dept Earth &amp; Planetary Sci, New Haven, CT USA; [Tabor, Clay] Univ Connecticut, Dept Geosci, Storrs, CT USA; [Zhu, Jiang] NCAR, Climate &amp; Global Dynam Lab, Boulder, CO USA</t>
  </si>
  <si>
    <t>University of Massachusetts System; University of Massachusetts Lowell; Yale University; University of Connecticut; National Center Atmospheric Research (NCAR) - USA</t>
  </si>
  <si>
    <t>Skinner, CB (corresponding author), Univ Massachusetts Lowell, Dept Environm Earth &amp; Atmospher Sci, Lowell, MA 01854 USA.</t>
  </si>
  <si>
    <t>christopher_skinner@uml.edu</t>
  </si>
  <si>
    <t>; Zhu, Jiang/H-6040-2011</t>
  </si>
  <si>
    <t>Skinner, Christopher/0000-0002-8105-8698; Zhu, Jiang/0000-0002-0908-5130; Lora, Juan/0000-0001-9925-1050</t>
  </si>
  <si>
    <t>National Science Foundation [1903600, AGS-1903528]; National Science Foundation (NSF); NSF [1852977]; Directorate For Geosciences; Div Atmospheric &amp; Geospace Sciences [1903600] Funding Source: National Science Foundation</t>
  </si>
  <si>
    <t>National Science Foundation(National Science Foundation (NSF)); National Science Foundation (NSF)(National Science Foundation (NSF)); NSF(National Science Foundation (NSF)); Directorate For Geosciences; Div Atmospheric &amp; Geospace Sciences(National Science Foundation (NSF)NSF - Directorate for Geosciences (GEO))</t>
  </si>
  <si>
    <t>This work was supported by National Science Foundation Awards 1903600 and AGS-1903528. The CESM project is supported primarily by the National Science Foundation (NSF). This material is based upon work supported by the National Center for Atmospheric Research, which is a major facility sponsored by the NSF under Cooperative Agreement No. 1852977. Computing and data storage resources, including the Cheyenne supercomputer (https://doi. org/10.5065/D6RX99HX), were provided by the Computational and Information Systems Laboratory (CISL) at NCAR.</t>
  </si>
  <si>
    <t>10.1029/2022GL101750</t>
  </si>
  <si>
    <t>8A5FP</t>
  </si>
  <si>
    <t>WOS:000916264900031</t>
  </si>
  <si>
    <t>Albano, JF; Lombardi, L; Rocha, E; Tobal, J; Fosdick, JC; Goddard, ALS; VanderLeest, RA; Ramos, M; Giampaoli, P; Kress, P; Raggio, F</t>
  </si>
  <si>
    <t>Albano, Juan F.; Lombardi, Laura; Rocha, Emilio; Tobal, Jonathan; Fosdick, Julie C.; Goddard, Andrea L. Stevens; VanderLeest, Rebecca A.; Ramos, Miguel; Giampaoli, Pablo; Kress, Pedro; Raggio, Fernanda</t>
  </si>
  <si>
    <t>Tectonic evolution of the eastern margin of the Southern Patagonian Andes fold-thrust belt: U-Pb detrital zircon geochronology and kinematic-structural modelling</t>
  </si>
  <si>
    <t>Austral -Magallanes Basin; Kinematic evolution; Structural modelling; U-Pb zircon geochronology; Southern Patagonian Andes fold -thrust belt</t>
  </si>
  <si>
    <t>CERRO-TORO FORMATION; CRETACEOUS MAGALLANES BASIN; TRES PASOS FORMATION; ULTIMA-ESPERANZA-DISTRICT; ROCAS VERDES BASIN; FORELAND BASIN; BACK-ARC; ANTARCTIC PENINSULA; AUSTRAL BASIN; STRATIGRAPHIC RECORD</t>
  </si>
  <si>
    <t>We present a multidisciplinary study in the Austral-Magallanes basin combining U-Pb geochronology and provenance analysis with structural modelling to unravel the evolution of the fold-thrust belt and related foreland basin sedimentation. Our approach is innovative for the studied area, where the foreland stratigraphic record comprises a stack of marine deposits exceeding 5000 m in thickness. Using zircon U-Pb geochronology from 13 samples distributed through the foreland deposits in the Southern Patagonian Andes at 51 degrees 20 ' S latitude, we calculated maximum depositional ages and analyzed regional variations in provenance. The older sample, with an age of 96.0 +/- 1.5 Ma, corresponds to the first sandstone beds of the Punta Barrosa Formation, whereas the uppermost sample, with an age of 17.9 +/- 0.4 Ma stems from the Santa Cruz Formation. Furthermore, the presented data help to complete the geochronological information existing for the South Patagonian Andes, by informing the regional geodynamic framework and timing variations. Linking new and previously published data regarding detrital zircon provenance, maximum depositional ages analysis, thermochronology and stratigraphic data with a balanced structural cross section, we propose a step-by-step model combining the kinematic evolution of the fold-thrust belt orogenic front with the basin history. A wedge-top setting for the Late Cretaceous is recognized, as well as two minor uplift events by Eocene time, followed by a major Miocene tectonic exhumation event.</t>
  </si>
  <si>
    <t>[Albano, Juan F.; Tobal, Jonathan; Ramos, Miguel] Univ Buenos Aires, Inst Estudios Andinos, CONICET, Buenos Aires, Argentina; [Lombardi, Laura] Univ Buenos Aires, Buenos Aires, Argentina; [Rocha, Emilio; Giampaoli, Pablo; Kress, Pedro; Raggio, Fernanda] YPF SA, Buenos Aires, Argentina; [Rocha, Emilio] Pluspetrol SA, Buenos Aires, Argentina; [Fosdick, Julie C.] Univ Connecticut, Dept Earth Sci, Mansfield, CT USA; [Goddard, Andrea L. Stevens] Indiana Univ, Dept Earth &amp; Atmospher Sci, Bloomington, IN USA; [VanderLeest, Rebecca A.] West Texas A&amp;M Univ, Dept Life Earth &amp; Environm Sci, Canyon, TX USA</t>
  </si>
  <si>
    <t>Consejo Nacional de Investigaciones Cientificas y Tecnicas (CONICET); University of Buenos Aires; University of Buenos Aires; University of Connecticut; Indiana University System; Indiana University Bloomington; Texas A&amp;M University System; West Texas A&amp;M University</t>
  </si>
  <si>
    <t>Albano, JF (corresponding author), Univ Buenos Aires, Inst Estudios Andinos, CONICET, Buenos Aires, Argentina.</t>
  </si>
  <si>
    <t>juanf.albano@gmail.com</t>
  </si>
  <si>
    <t>YPF S.A.; CONICET PIP [11220200100307CO]; UBACYT GC [20020190100382BA, PICT-2020-SERIEA-03277]</t>
  </si>
  <si>
    <t>YPF S.A.; CONICET PIP(Consejo Nacional de Investigaciones Cientificas y Tecnicas (CONICET)); UBACYT GC</t>
  </si>
  <si>
    <t>This work has been carried out with financial support from YPF S.A., CONICET PIP 11220200100307CO, UBACYT GC 20020190100382BA and PICT-2020-SERIEA-03277 to MG and MR. We thank Vanesa Barberon for field assistance and Mauricio Calderon and Paulo Quezada for the constructive and inspiring discussions. We also thank Jose Rivera from the Estancia Complejo Torres del Paine who always welcomed us with kindness and granted access to the outcrops.</t>
  </si>
  <si>
    <t>FEB 5</t>
  </si>
  <si>
    <t>10.1016/j.tecto.2023.229705</t>
  </si>
  <si>
    <t>8L5RU</t>
  </si>
  <si>
    <t>WOS:000923840200001</t>
  </si>
  <si>
    <t>Senatore, MX</t>
  </si>
  <si>
    <t>Senatore, Maria Ximena</t>
  </si>
  <si>
    <t>Antarctic conservation policies and practices: Towards a more inclusive and sustainable future</t>
  </si>
  <si>
    <t>Antarctic Treaty System; Antarctica; archaeology; inclusiveness; polar heritage; sustainability</t>
  </si>
  <si>
    <t>SEALING SITES; ARCHAEOLOGY; CHALLENGES; HERITAGE</t>
  </si>
  <si>
    <t>Contemporary archaeology brings a unique perspective from which to critically think about Antarctic Treaty System conservation policies and practices concerning material things. The paper begins by highlighting how they have relied on several underlying assumptions, which we summarise as the 'wilderness' and 'heritage' principles. It then discusses how these policies and practices have often led to non-sustainable or non-inclusive outcomes. In particular, the application of the wilderness and heritage principles to environmental conservation has, on the one hand, reinforced the dominant images and narratives of Antarctica, selectively neglecting and erasing diverse human and non-human stories, and on the other hand, led to human-thing entanglements that are currently difficult to overcome. The paper's conclusions encourage readers to envision more inclusive and sustainable conservation models by challenging the assumptions underlying current policies and practices.</t>
  </si>
  <si>
    <t>[Senatore, Maria Ximena] Univ Alicante, Inst Univ Arqueol &amp; Patrimonio Hist, San Vicente Del Raspeig, Alicante, Spain; [Senatore, Maria Ximena] UNPA UASJ, Consejo Nacl Invest Cient &amp; Tecn CONICET INAPL, Buenos Aires, Argentina</t>
  </si>
  <si>
    <t>Universitat d'Alacant</t>
  </si>
  <si>
    <t>Senatore, MX (corresponding author), Univ Alicante, Inst Univ Arqueol &amp; Patrimonio Hist, San Vicente Del Raspeig, Alicante, Spain.</t>
  </si>
  <si>
    <t>mariaximena.senatore@ua.es</t>
  </si>
  <si>
    <t>Senatore, Maria Ximena/AAX-5863-2021</t>
  </si>
  <si>
    <t>Senatore, Maria Ximena/0000-0002-7509-9020</t>
  </si>
  <si>
    <t>10.1111/geoj.12502</t>
  </si>
  <si>
    <t>WOS:000916506600001</t>
  </si>
  <si>
    <t>Hall, B; Johnson, S; Thomas, M; Rampai, T</t>
  </si>
  <si>
    <t>Hall, Benjamin; Johnson, Siobhan; Thomas, Max; Rampai, Tokoloho</t>
  </si>
  <si>
    <t>Review of the design considerations for the laboratory growth of sea ice</t>
  </si>
  <si>
    <t>Sea ice; sea-ice growth and decay; sea-ice; ocean interactions; solid salts; volume scaling methods</t>
  </si>
  <si>
    <t>MECHANICAL-PROPERTIES; OPTICAL-PROPERTIES; THERMAL EVOLUTION; GRAVITY DRAINAGE; WAVE-PROPAGATION; SOLID FRACTION; SALINE ICE; GREASE ICE; MODEL; PARAMETERIZATION</t>
  </si>
  <si>
    <t>Sample collection and field studies of sea ice take place under harsh conditions which, combined with the logistical difficulties and high cost of voyages to the polar regions, limits the abilities of researchers to determine its properties. Observations of laboratory-grown sea ice can help quantify important sea-ice properties and incorporate them into numerical models. The growth of laboratory sea ice requires experimental set-ups that consider the complexity of sea-ice growth. Regulation and monitoring of environmental variables allow for growth and melt conditions to be controlled, manipulated and reproduced. Facilities thus vary widely because of differing research objectives. This paper presents a summary of some of the published sea-ice laboratories that study the physical properties of sea ice and an overview of their major design considerations, such as tank size, freezing method and instrumentation. It also discusses how these design considerations were implemented in the set-up of the new sea-ice growth laboratory at the Marine and Antarctic Research for Innovation and Sustainability. This paper should guide others in designing their facilities as well as in their understanding of other facilities for results comparison.</t>
  </si>
  <si>
    <t>[Hall, Benjamin; Johnson, Siobhan; Rampai, Tokoloho] Univ Cape Town, Dept Chem Engn, ZA-7712 Cape Town, South Africa; [Johnson, Siobhan; Rampai, Tokoloho] Univ Cape Town, Marine &amp; Antarctic Res Ctr Innovat &amp; Sustainabil M, ZA-7712 Cape Town, South Africa; [Thomas, Max] Univ Otago, Dept Phys, POB 56, Dunedin 9054, New Zealand</t>
  </si>
  <si>
    <t>University of Cape Town; University of Cape Town; University of Otago</t>
  </si>
  <si>
    <t>Rampai, Tokoloho/0000-0002-5808-947X; Thomas, Max/0000-0002-2327-3664</t>
  </si>
  <si>
    <t>National Research Foundation of South Africa (NRF) [116801]; University of Cape Town; University of Cape Town's Research Committee (URC)</t>
  </si>
  <si>
    <t>National Research Foundation of South Africa (NRF)(National Research Foundation - South Africa); University of Cape Town; University of Cape Town's Research Committee (URC)</t>
  </si>
  <si>
    <t>This study was based on the research supported in part by the National Research Foundation of South Africa (NRF Grant No. 116801). We thank the research office at the University of Cape Town for their financial support. This publication is based on research that has been supported in part by the University of Cape Town's Research Committee (URC).</t>
  </si>
  <si>
    <t>PII S0022143022001150</t>
  </si>
  <si>
    <t>10.1017/jog.2022.115</t>
  </si>
  <si>
    <t>N6ME2</t>
  </si>
  <si>
    <t>WOS:000914256500001</t>
  </si>
  <si>
    <t>Hoban, S; Bruford, MW; da Silva, JM; Funk, WC; Frankham, R; Gill, MJ; Grueber, CE; Heuertz, M; Hunter, ME; Kershaw, F; Lacy, RC; Lees, C; Lopes-Fernandes, M; MacDonald, AJ; Mastretta-Yanes, A; McGowan, PJK; Meek, MH; Mergeay, J; Millette, KL; Mittan-Moreau, CS; Navarro, LM; O'Brien, D; Ogden, R; Segelbacher, G; Paz-Vinas, I; Vernesi, C; Laikre, L</t>
  </si>
  <si>
    <t>Hoban, Sean; Bruford, Michael W.; da Silva, Jessica M.; Funk, W. Chris; Frankham, Richard; Gill, Michael J.; Grueber, Catherine E.; Heuertz, Myriam; Hunter, Margaret E.; Kershaw, Francine; Lacy, Robert C.; Lees, Caroline; Lopes-Fernandes, Margarida; MacDonald, Anna J.; Mastretta-Yanes, Alicia; McGowan, Philip J. K.; Meek, Mariah H.; Mergeay, Joachim; Millette, Katie L.; Mittan-Moreau, Cinnamon S.; Navarro, Laetitia M.; O'Brien, David; Ogden, Rob; Segelbacher, Gernot; Paz-Vinas, Ivan; Vernesi, Cristiano; Laikre, Linda</t>
  </si>
  <si>
    <t>Genetic diversity goals and targets have improved, but remain insufficient for clear implementation of the post-2020 global biodiversity framework</t>
  </si>
  <si>
    <t>CONSERVATION GENETICS</t>
  </si>
  <si>
    <t>Adaptive capacity; Gene flow; Global conservation policy; Effective population size; Indicators</t>
  </si>
  <si>
    <t>CONSERVATION; POPULATIONS</t>
  </si>
  <si>
    <t>Genetic diversity among and within populations of all species is necessary for people and nature to survive and thrive in a changing world. Over the past three years, commitments for conserving genetic diversity have become more ambitious and specific under the Convention on Biological Diversity's (CBD) draft post-2020 global biodiversity framework (GBF). This Perspective article comments on how goals and targets of the GBF have evolved, the improvements that are still needed, lessons learned from this process, and connections between goals and targets and the actions and reporting that will be needed to maintain, protect, manage and monitor genetic diversity. It is possible and necessary that the GBF strives to maintain genetic diversity within and among populations of all species, to restore genetic connectivity, and to develop national genetic conservation strategies, and to report on these using proposed, feasible indicators.</t>
  </si>
  <si>
    <t>[Hoban, Sean] Morton Arboretum, Ctr Tree Sci, Lisle, IL 60532 USA; [Hoban, Sean] Univ Chicago, Chicago, IL 60637 USA; [Bruford, Michael W.] Cardiff Univ, Sch Biosci, Cardiff, Wales; [da Silva, Jessica M.] South African Natl Biodivers Inst, Pretoria, South Africa; [Funk, W. Chris; Paz-Vinas, Ivan] Colorado State Univ, Dept Biol, Ft Collins, CO USA; [Frankham, Richard] Macquarie Univ, Sch Nat Sci, Sydney, NSW, Australia; [Gill, Michael J.] NatureServe, Biodivers Indicators Program, Arlington, VA USA; [Grueber, Catherine E.] Univ Sydney, Fac Sci, Sch Life &amp; Environm Sci, Sydney, Australia; [Heuertz, Myriam] Univ Bordeaux, INRAE, Biogeco, Cestas, France; [Hunter, Margaret E.] US Geol Survey, Wetland &amp; Aquat Res Ctr, Gainesville, FL USA; [Kershaw, Francine] Nat Resources Def Council, Oceans Div, New York, NY USA; [Lacy, Robert C.] Chicago Zool Soc, Species Conservat Toolkit Initiat, Brookfield, IL USA; [Lees, Caroline] IUCN SSC, Conservat Planning Specialist Grp, Auckland, New Zealand; [Lopes-Fernandes, Margarida] NOVA FCSH, Ctr Res Anthropol CRIA, Lisbon, Portugal; [MacDonald, Anna J.] Dept Climate Change Energy Environm &amp; Water, Australian Antarctic Div, Kingston, Australia; [Mastretta-Yanes, Alicia] Comis Nacl Conocimiento &amp; Uso Biodivers CONABIO, Mexico City, Mexico; [Mastretta-Yanes, Alicia] Consejo Nacl Ciencia &amp; Tecnol CONACYT, Mexico City, Mexico; [McGowan, Philip J. K.] Newcastle Univ, Sch Nat &amp; Environm Sci, Newcastle Upon Tyne, England; [Meek, Mariah H.] Michigan State Univ, Dept Integrat Biol, Ecol Evolut &amp; Behav Program, AgBio Res, Lansing, MI USA; [Mergeay, Joachim] Res Inst Nat &amp; Forest, Geraardsbergen, Belgium; [Millette, Katie L.] McGill Univ, Grp Earth Observat Biodivers Observat Network GEO, Montreal, PQ, Canada; [Mittan-Moreau, Cinnamon S.] Michigan State Univ, Kellogg Biol Stn, Ecol &amp; Evolutionary Biol, Lansing, MI USA; [Navarro, Laetitia M.] Estn Biol Donana EBD CSIC, Seville, Spain; [O'Brien, David] NatureScot, Inverness, Scotland; [Ogden, Rob] Univ Edinburgh, Royal Dick Sch Vet Studies, Edinburgh EH25 9RG, Midlothian, Scotland; [Ogden, Rob] Univ Edinburgh, Roslin Inst, Edinburgh EH25 9RG, Midlothian, Scotland; [Segelbacher, Gernot] Univ Freiburg, Wildlife Ecol &amp; Management, Freiburg, Germany; [Vernesi, Cristiano] Fdn Edmund Mach, Forest Ecol Unit, Trento, Italy; [Laikre, Linda] Stockholm Univ, Dept Zool, Stockholm, Sweden; [da Silva, Jessica M.] Univ Johannesburg, Ctr Ecol Genom &amp; Wildlife Conservat, Johannesburg, South Africa</t>
  </si>
  <si>
    <t>University of Chicago; Cardiff University; South African National Biodiversity Institute; Colorado State University; Macquarie University; Nature Conservancy; University of Sydney; Universite de Bordeaux; INRAE; United States Department of the Interior; United States Geological Survey; Australian Antarctic Division; Newcastle University - UK; Michigan State University; Research Institute for Nature &amp; Forest; McGill University; Michigan State University; Consejo Superior de Investigaciones Cientificas (CSIC); CSIC - Estacion Biologica de Donana (EBD); University of Edinburgh; UK Research &amp; Innovation (UKRI); Biotechnology and Biological Sciences Research Council (BBSRC); Roslin Institute; University of Edinburgh; University of Freiburg; Fondazione Edmund Mach; Stockholm University; University of Johannesburg</t>
  </si>
  <si>
    <t>Hoban, S (corresponding author), Morton Arboretum, Ctr Tree Sci, Lisle, IL 60532 USA.;Hoban, S (corresponding author), Univ Chicago, Chicago, IL 60637 USA.;Laikre, L (corresponding author), Stockholm Univ, Dept Zool, Stockholm, Sweden.</t>
  </si>
  <si>
    <t>shoban@mortonarb.org; linda.laikre@popgen.su.se</t>
  </si>
  <si>
    <t>MacDonald, Anna J/B-4462-2011; Hoban, Sean M/E-1530-2011; Mergeay, Joachim/E-7670-2011; Segelbacher, Gernot/F-3633-2011; Navarro, Laetitia/U-1899-2017; Paz-Vinas, Ivan/L-1936-2013; da Silva, Jessica Marie/J-4290-2012; Heuertz, Myriam/A-7831-2011</t>
  </si>
  <si>
    <t>MacDonald, Anna J/0000-0003-2972-200X; Gill, Michael/0000-0003-1961-1680; Kershaw, Francine/0000-0003-2146-8094; Mergeay, Joachim/0000-0002-6504-0551; Ogden, Rob/0000-0002-2831-0428; Frankham, Richard/0000-0003-2890-5904; Mittan-Moreau, Cinnamon S./0000-0002-5874-5588; Segelbacher, Gernot/0000-0002-8024-7008; Grueber, Catherine/0000-0002-8179-1822; Navarro, Laetitia/0000-0003-1099-5147; Hoban, Sean/0000-0002-0348-8449; Lopes Fernandes, Margarida/0000-0001-9239-1202; Funk, W. Chris/0000-0002-6466-3618; Millette, Katie/0000-0001-9638-1538; Paz-Vinas, Ivan/0000-0002-0043-9289; O'Brien, David/0000-0001-7901-295X; da Silva, Jessica Marie/0000-0001-8385-1166; Heuertz, Myriam/0000-0002-6322-3645</t>
  </si>
  <si>
    <t>COST (European Cooperation in Science and Technology) [CA 18134]; Formas [2020-01290]; VR; SEPA; U.S. Geological Survey Powell Center for Synthesis and Analysis; John Wesley Powell Center for Analysis and Synthesis - U.S. Geological Survey; [2019-05503]; Formas [2020-01290] Funding Source: Formas</t>
  </si>
  <si>
    <t>COST (European Cooperation in Science and Technology)(European Cooperation in Science and Technology (COST)); Formas(Swedish Research Council Formas); VR(Swedish Research Council); SEPA; U.S. Geological Survey Powell Center for Synthesis and Analysis; John Wesley Powell Center for Analysis and Synthesis - U.S. Geological Survey; ; Formas(Swedish Research Council Formas)</t>
  </si>
  <si>
    <t>We thank GEO BON and the CBD Secretariat for advice and logistical support. This article is based upon work from COST Action G-BiKE, CA 18134 supported by COST (European Cooperation in Science and Technology), www.cost.eu. This work was conducted as a part of the Standardizing, aggregating, analyzing and disseminating global wildlife genetic and genomic data for improved management and advancement of community best practices Working Group supported by the John Wesley Powell Center for Analysis and Synthesis, funded by the U.S. Geological Survey. LL was supported by Formas (2020-01290), VR (2019-05503), and SEPA. IP-V is supported by the U.S. Geological Survey Powell Center for Synthesis and Analysis.DisclaimerAny use of trade, firm, or product names is for descriptive purposes only and does not imply endorsement by the U.S. Government.</t>
  </si>
  <si>
    <t>1566-0621</t>
  </si>
  <si>
    <t>1572-9737</t>
  </si>
  <si>
    <t>CONSERV GENET</t>
  </si>
  <si>
    <t>Conserv. Genet.</t>
  </si>
  <si>
    <t>10.1007/s10592-022-01492-0</t>
  </si>
  <si>
    <t>Biodiversity Conservation; Genetics &amp; Heredity</t>
  </si>
  <si>
    <t>Biodiversity &amp; Conservation; Genetics &amp; Heredity</t>
  </si>
  <si>
    <t>A0TB7</t>
  </si>
  <si>
    <t>WOS:000914363000001</t>
  </si>
  <si>
    <t>Thompson, SS; Kulessa, B; Luckman, A; Halpin, JA; Greenbaum, JS; Pelle, T; Habbal, F; Guo, JX; Jong, LM; Roberts, JL; Sun, B; Blankenship, DD</t>
  </si>
  <si>
    <t>Thompson, Sarah S.; Kulessa, Bernd; Luckman, Adrian; Halpin, Jacqueline A.; Greenbaum, Jamin S.; Pelle, Tyler; Habbal, Feras; Guo, Jingxue; Jong, Lenneke M.; Roberts, Jason L.; Sun, Bo; Blankenship, Donald D.</t>
  </si>
  <si>
    <t>Glaciological history and structural evolution of the Shackleton Ice Shelf system, East Antarctica, over the past 60 years</t>
  </si>
  <si>
    <t>CONTINENT-WIDE; SURFACE; GLACIER; FLOW; MASS; DISCHARGE; BENEATH; DRIVEN; MELT</t>
  </si>
  <si>
    <t>The discovery of Antarctica's deepest subglacial troughbeneath the Denman Glacier, combined with high rates of basal melt at thegrounding line, has caused significant concern over its vulnerability toretreat. Recent attention has therefore been focusing on understanding thecontrols driving Denman Glacier's dynamic evolution. Here we consider theShackleton system, comprised of the Shackleton Ice Shelf, Denman Glacier,and the adjacent Scott, Northcliff, Roscoe and Apfel glaciers, about whichalmost nothing is known. We widen the context of previously observed dynamicchanges in the Denman Glacier to the wider region of the Shackleton system,with a multi-decadal time frame and an improved biannual temporal frequencyof observations in the last 7 years (2015-2022). We integrate newsatellite observations of ice structure and airborne radar data with changesin ice front position and ice flow velocities to investigate changes in thesystem. Over the 60-year period of observation we find significant riftpropagation on the Shackleton Ice Shelf and Scott Glacier and notablestructural changes in the floating shear margins between the ice shelf andthe outlet glaciers, as well as features indicative of ice with elevatedsalt concentration and brine infiltration in regions of the system. Over theperiod 2017-2022 we observe a significant increase in ice flow speed (up to50 %) on the floating part of Scott Glacier, coincident with small-scalecalving and rift propagation close to the ice front. We do not observe anyseasonal variation or significant change in ice flow speed across the restof the Shackleton system. Given the potential vulnerability of the system toaccelerating retreat into the overdeepened, potentially sediment-filledbedrock trough, an improved understanding of the glaciological,oceanographic and geological conditions in the Shackleton system arerequired to improve the certainty of numerical model predictions, and weidentify a number of priorities for future research. With access to theseremote coastal regions a major challenge, coordinated internationallycollaborative efforts are required to quantify how much the Shackletonregion is likely to contribute to sea level rise in the coming centuries.</t>
  </si>
  <si>
    <t>[Thompson, Sarah S.] Univ Tasmania, Inst Marine &amp; Antarctic Studies, Australian Antarctic Program Partnership, Hobart, Tas 7001, Australia; [Thompson, Sarah S.; Kulessa, Bernd; Luckman, Adrian] Swansea Univ, Sch Biosci Geog &amp; Phys, Swansea, Wales; [Kulessa, Bernd] Univ Tasmania, Sch Technol Environm &amp; Design, Hobart, Tas 7001, Australia; [Halpin, Jacqueline A.] Univ Tasmania, Inst Marine &amp; Antarctic Studies, Oceans &amp; Cryosphere, Hobart, Tas 7001, Australia; [Greenbaum, Jamin S.; Pelle, Tyler] Univ Calif San Diego, Scripps Inst Oceanog, Inst Geophys &amp; Planetary Phys, San Diego, CA USA; [Habbal, Feras; Sun, Bo] Univ Texas Austin, Oden Inst Computat Engn &amp; Sci, Austin, TX USA; [Guo, Jingxue] Polar Res Inst China, Shanghai, Peoples R China; [Jong, Lenneke M.; Roberts, Jason L.] Australian Antarctic Div, Ice Cores Grp, Kingston, Tas, Australia; [Blankenship, Donald D.] Univ Texas Austin, Inst Geophys, Austin, TX USA</t>
  </si>
  <si>
    <t>University of Tasmania; Swansea University; University of Tasmania; University of Tasmania; University of California System; University of California San Diego; Scripps Institution of Oceanography; University of Texas System; University of Texas Austin; Polar Research Institute of China; Australian Antarctic Division; University of Texas System; University of Texas Austin</t>
  </si>
  <si>
    <t>Thompson, SS (corresponding author), Univ Tasmania, Inst Marine &amp; Antarctic Studies, Australian Antarctic Program Partnership, Hobart, Tas 7001, Australia.;Thompson, SS (corresponding author), Swansea Univ, Sch Biosci Geog &amp; Phys, Swansea, Wales.</t>
  </si>
  <si>
    <t>ss.thompson@utas.edu.au</t>
  </si>
  <si>
    <t>Li, Xiaoli/JVZ-4089-2024; Blankenship, Donald D./G-5935-2010; Jong, Lenneke M/AAT-3230-2020; sun, bo/JFA-9978-2023; Halpin, Jacqueline/A-3776-2014</t>
  </si>
  <si>
    <t>Jong, Lenneke M/0000-0001-6707-570X; Luckman, Adrian/0000-0002-9618-5905; Pelle, Tyler/0000-0002-9772-1730; Thompson, Sarah S/0000-0001-9112-6933; Roberts, Jason/0000-0002-3477-4069; Kulessa, Bernd/0000-0002-4830-4949; Halpin, Jacqueline/0000-0002-4992-8681</t>
  </si>
  <si>
    <t>Australian Government as part of the Antarctic Science Collaboration Initiative program; AXA Research Council; National Natural Science Foundation of China [41941007]; NSF [OPP-2114454]; NASA [80NSSC22K0387]; Australian Antarctic Division project [4346]; Antarctic Gateway Partnership (University of Tasmania, Australia)</t>
  </si>
  <si>
    <t>Australian Government as part of the Antarctic Science Collaboration Initiative program(Australian Government); AXA Research Council(AXA Research Fund); National Natural Science Foundation of China(National Natural Science Foundation of China (NSFC)); NSF(National Science Foundation (NSF)); NASA(National Aeronautics &amp; Space Administration (NASA)); Australian Antarctic Division project; Antarctic Gateway Partnership (University of Tasmania, Australia)</t>
  </si>
  <si>
    <t>This project received grant funding from the Australian Government as part of the Antarctic Science Collaboration Initiative program, the AXA Research Council through an AXA Post-Doctoral Fellowship and The National Natural Science Foundation of China grant 41941007. Jamin S. Greenbaum acknowledges supported from NSF OPP-2114454 and NASA grant 80NSSC22K0387. Lenneke M. Jong and Jason L. Roberts acknowledge support from Australian Antarctic Division project 4346 and the Antarctic Gateway Partnership (University of Tasmania, Australia). Jingxue Guo acknowledges support from the National Natural Science Foundation of China grant 41941007. We thank Gregory Ng for engineering support in the field and with radar data processing.</t>
  </si>
  <si>
    <t>10.5194/tc-17-157-2023</t>
  </si>
  <si>
    <t>7Z2FM</t>
  </si>
  <si>
    <t>WOS:000915379300001</t>
  </si>
  <si>
    <t>McNabb, BJ; Tortell, PD</t>
  </si>
  <si>
    <t>McNabb, Brandon J. J.; Tortell, Philippe D. D.</t>
  </si>
  <si>
    <t>Oceanographic controls on Southern Ocean dimethyl sulfide distributions revealed by machine learning algorithms</t>
  </si>
  <si>
    <t>SUB-ARCTIC PACIFIC; DIMETHYLSULFONIOPROPIONATE DMSP; INDIAN SECTOR; ROSS SEA; IRON; PHYTOPLANKTON; CLIMATOLOGY; WATERS; VARIABILITY; DYNAMICS</t>
  </si>
  <si>
    <t>We developed two machine learning models to map the Southern Ocean distribution of the climate-active gas dimethyl sulfide (DMS) at 20 km resolution. Results obtained from ensembles of random forest regressions and artificial neural networks reproduce observed DMS distributions with significantly higher accuracy than traditional statistical techniques, and are less prone to biases and spatial distortions than existing interpolationbased climatologies. Both models predict persistently low offshore DMS concentrations associated with the Antarctic circumpolar current, suggesting that wind-driven overturning mixing is the dominant regional control on DMS distributions. In addition, 60% of the variance in DMS seasonality is explained by changes in mixed layer depth and sea surface temperature, with a significant correlation between DMS concentrations and sea-ice cover in coastal waters. We further identify the tracer Si* [SI(OH)(4)] [NO3] as a potentially important predictor for regional DMS distributions in Southern Ocean waters. At finer scales, our models capture various oceanographic features, including eddies, hydrographic fronts and jets that appear to play a role in driving DMS variability. Our results yield an estimated Southern Ocean sea-air DMS flux of 8.7 +/- 2.1 Tg S integrated across the phytoplankton growing season (October to April), representing 30.8% of total global oceanic S emissions, and highlighting the region's importance to the marine sulfur cycle. Our work provides new insights into the drivers of spatial variability in Southern Ocean DMS concentrations and sea-air fluxes, and their potential responses to future climate-dependent changes.</t>
  </si>
  <si>
    <t>[McNabb, Brandon J. J.; Tortell, Philippe D. D.] Univ British Columbia, Dept Earth Ocean &amp; Atmospher Sci, Vancouver, BC, Canada; [Tortell, Philippe D. D.] Univ British Columbia, Dept Bot, Vancouver, BC, Canada</t>
  </si>
  <si>
    <t>University of British Columbia; University of British Columbia</t>
  </si>
  <si>
    <t>McNabb, BJ (corresponding author), Univ British Columbia, Dept Earth Ocean &amp; Atmospher Sci, Vancouver, BC, Canada.</t>
  </si>
  <si>
    <t>bmcnabb@eoas.ubc.ca</t>
  </si>
  <si>
    <t>McNabb, Brandon/0000-0003-3996-5099</t>
  </si>
  <si>
    <t>10.1002/lno.12298</t>
  </si>
  <si>
    <t>WOS:000913041000001</t>
  </si>
  <si>
    <t>Trentin, R; Moschin, E; Grapputo, A; Rindi, F; Schiaparelli, S; Moro, I</t>
  </si>
  <si>
    <t>Trentin, Riccardo; Moschin, Emanuela; Grapputo, Alessandro; Rindi, Fabio; Schiaparelli, Stefano; Moro, Isabella</t>
  </si>
  <si>
    <t>Multi-gene phylogeny reveals a new genus and species of Hapalidiales (Rhodophyta) from Antarctica: Thalassolithon adeliense gen. &amp; sp. nov.</t>
  </si>
  <si>
    <t>PHYCOLOGIA</t>
  </si>
  <si>
    <t>Coralline red algae; Molecular phylogeny; Morpho-anatomy; Ross Sea; Species delimitation models; Taxonomy; Terra Nova Bay</t>
  </si>
  <si>
    <t>BAY ROSS SEA; ALGAE RHODOPHYTA; CORALLINE ALGAE; RED ALGAE; MAXIMUM-LIKELIHOOD; NEW-ZEALAND; DNA; LITHOPHYLLUM; MACROALGAE; COALESCENT</t>
  </si>
  <si>
    <t>Non-geniculate coralline algal specimens were collected in 2013 during the XXVIII Italian Expedition to Antarctica in Adelie Cove (Terra Nova Bay; Ross Sea) and deposited in the collections of the Italian National Antarctic Museum (MNAIT, Section of Genoa). Specimens were characterized through a polyphasic approach combining DNA sequence data obtained for four genes (psbA, rbcL, 18S rDNA and cox1) with morpho-anatomical observations. DNA sequences revealed that all specimens belonged to the same species. Phylogenetic reconstructions unambiguously recovered this alga as a member of the order Hapalidiales, but without any close relationship to a genus of this order currently recognized on a molecular phylogenetic basis. Instead, it formed a well-supported lineage with specimens named 'Hapalidiales sp. ZH-Twist-2019', collected in New Zealand, for which no formal assignment at genus level has been proposed. Species delimitation methods (ABGD, PTP, GMYC) applied to the psbA dataset indicated that the Adelie Cove coralline alga is a distinct species from all other known hapalidialean species for which such sequences are available. A new genus, Thalassolithon gen. nov., is proposed for T. adeliense sp. nov.</t>
  </si>
  <si>
    <t>[Trentin, Riccardo; Moschin, Emanuela; Grapputo, Alessandro; Moro, Isabella] Univ Padua, Dept Biol, I-35121 Padua, Italy; [Rindi, Fabio] Polytech Univ Marche, Dept Life &amp; Environm Sci, I-60131 Ancona, Italy; [Schiaparelli, Stefano] Univ Genoa, Dept Earth Environm &amp; Life Sci, I-16132 Genoa, Italy; [Schiaparelli, Stefano] Univ Genoa, Sect Genoa, Italian Natl Antarctic Museum MNA, I-16132 Genoa, Italy</t>
  </si>
  <si>
    <t>University of Padua; Marche Polytechnic University; University of Genoa; University of Genoa</t>
  </si>
  <si>
    <t>Moro, I (corresponding author), Univ Padua, Dept Biol, I-35121 Padua, Italy.</t>
  </si>
  <si>
    <t>isabella.moro@unipd.it</t>
  </si>
  <si>
    <t>Rindi, Fabio/H-7147-2019; Rindi, Fabio/ITU-7669-2023</t>
  </si>
  <si>
    <t>Grapputo, Alessandro/0000-0001-9255-4294</t>
  </si>
  <si>
    <t>0031-8884</t>
  </si>
  <si>
    <t>2330-2968</t>
  </si>
  <si>
    <t>Phycologia</t>
  </si>
  <si>
    <t>10.1080/00318884.2022.2147745</t>
  </si>
  <si>
    <t>9X9YJ</t>
  </si>
  <si>
    <t>WOS:000913440000001</t>
  </si>
  <si>
    <t>Garfinkel, CI; White, I; Gerber, EP; Son, SW; Jucker, M</t>
  </si>
  <si>
    <t>Garfinkel, Chaim I. I.; White, Ian; Gerber, Edwin P. P.; Son, Seok-Woo; Jucker, Martin</t>
  </si>
  <si>
    <t>Stationary Waves Weaken and Delay the Near-Surface Response to Stratospheric Ozone Depletion</t>
  </si>
  <si>
    <t>Antarctic Oscillation; Stationary waves; Stratosphere-troposphere coupling; Ozone; Shortwave radiation</t>
  </si>
  <si>
    <t>CONVECTIVE ADJUSTMENT SCHEME; RELATIVELY SIMPLE AGCM; AQUAPLANET MOIST GCM; CLIMATE-CHANGE; PART I; SEXUAL-BEHAVIOR; POLAR VORTEX; VIBRATOR USE; SOUTHERN; TRENDS</t>
  </si>
  <si>
    <t>An intermediate-complexity moist general circulation model is used to investigate the factors controlling the magnitude of the surface impact from Southern Hemisphere springtime ozone depletion. In contrast to previous idealized studies, a model with full radiation is used; furthermore, the model can be run with a varied representation of the surface, from a zonally uniform aquaplanet to a configuration with realistic stationary waves. The model captures the observed summertime positive Southern Annular Mode response to stratospheric ozone depletion. While synoptic waves dominate the long-term poleward jet shift, the initial response includes changes in planetary waves that simultaneously moderate the polar cap cooling (i.e., a negative feedback) and also constitute nearly one-half of the initial momentum flux response that shifts the jet poleward. The net effect is that stationary waves weaken the circulation response to ozone depletion in both the stratosphere and troposphere and also delay the response until summer rather than spring when ozone depletion peaks. It is also found that Antarctic surface cooling in response to ozone depletion helps to strengthen the poleward shift; however, shortwave surface effects of ozone are not critical. These surface temperature and stationary wave feedbacks are strong enough to overwhelm the previously recognized jet latitude/persistence feedback, potentially explaining why some recent comprehensive models do not exhibit a clear relationship between jet latitude/persistence and the magnitude of the response to ozone. The jet response is shown to be linear with respect to the magnitude of the imposed stratospheric perturbation, demonstrating the usefulness of interannual variability in ozone depletion for subseasonal forecasting.</t>
  </si>
  <si>
    <t>[Garfinkel, Chaim I. I.; White, Ian] Hebrew Univ Jerusalem, Inst Earth Sci, Edmond J Safra Campus, Jerusalem, Israel; [Gerber, Edwin P. P.] NYU, Courant Inst Math Sci, New York, NY USA; [Son, Seok-Woo] Seoul Natl Univ, Sch Earth &amp; Environm Sci, Seoul, South Korea; [Jucker, Martin] Univ New South Wales, Climate Change Res Ctr, ARC Ctr Excellence Climate Extremes, Sydney, NSW, Australia</t>
  </si>
  <si>
    <t>Hebrew University of Jerusalem; New York University; Seoul National University (SNU); University of New South Wales Sydney</t>
  </si>
  <si>
    <t>Garfinkel, CI (corresponding author), Hebrew Univ Jerusalem, Inst Earth Sci, Edmond J Safra Campus, Jerusalem, Israel.</t>
  </si>
  <si>
    <t>chaim.garfinkel@mail.huji.ac.il</t>
  </si>
  <si>
    <t>garfinkel, chaim I/AAA-1134-2020; Jucker, Martin/C-3914-2014; Son, Seok-Woo/A-8797-2013</t>
  </si>
  <si>
    <t>garfinkel, chaim I/0000-0001-7258-666X; Jucker, Martin/0000-0002-4227-315X;</t>
  </si>
  <si>
    <t>European Research Council; Israel Science Foundation [AGS 1852727]; U.S. NSF [CE170100023]; Australian Research Council (ARC) Centre of Excellence for Climate Extremes [FL 150100035]; ARC [ICT 2017R1E1A1A01074889]; National Research Foundation of Korea (NRF) - South Korean government (Ministry of Science and ICT) [677756]; [1727/21]</t>
  </si>
  <si>
    <t>European Research Council(European Research Council (ERC)); Israel Science Foundation(Israel Science Foundation); U.S. NSF(National Science Foundation (NSF)); Australian Research Council (ARC) Centre of Excellence for Climate Extremes(Australian Research Council); ARC(Australian Research Council); National Research Foundation of Korea (NRF) - South Korean government (Ministry of Science and ICT)(National Research Foundation of Korea);</t>
  </si>
  <si>
    <t>Authors Garfinkel, White, and Gerber acknowledge the support of a European Research Council starting grant under the European Union Horizon 2020 research and innovation program (grant agreement 677756). Garfinkel is also supported by Israel Science Foundation Grant 1727/21. Gerber acknowledges additional support from the U.S. NSF through Grant AGS 1852727. Author Jucker acknowledges support from the Australian Research Council (ARC) Centre of Excellence for Climate Extremes (CE170100023) and ARC Grant FL 150100035. Author Son was supported by the National Research Foundation of Korea (NRF) grant funded by the South Korean government (Ministry of Science and ICT 2017R1E1A1A01074889). We thank the reviewers for their helpful comments on earlier drafts of this paper.</t>
  </si>
  <si>
    <t>JAN 15</t>
  </si>
  <si>
    <t>10.1175/JCLI-D-21-0874.1</t>
  </si>
  <si>
    <t>9X7NL</t>
  </si>
  <si>
    <t>WOS:000949953200004</t>
  </si>
  <si>
    <t>Maffei, S; Eggington, JWB; Livermore, PW; Mound, JE; Sanchez, S; Eastwood, JP; Freeman, MP</t>
  </si>
  <si>
    <t>Maffei, Stefano; Eggington, Joseph W. B.; Livermore, Philip W. W.; Mound, Jonathan E. E.; Sanchez, Sabrina; Eastwood, Jonathan P. P.; Freeman, Mervyn P. P.</t>
  </si>
  <si>
    <t>Climatological predictions of the auroral zone locations driven by moderate and severe space weather events</t>
  </si>
  <si>
    <t>GEOMAGNETIC SECULAR VARIATION; MAGNETIC COORDINATE SYSTEM; SOLAR-WIND; FIELD; CORE; OVAL; 1ST</t>
  </si>
  <si>
    <t>Auroral zones are regions where, in an average sense, aurorae due to solar activity are most likely spotted. Their shape and, similarly, the geographical locations most vulnerable to extreme space weather events (which we term 'danger zones') are modulated by Earth's time-dependent internal magnetic field whose structure changes on yearly to decadal timescales. Strategies for mitigating ground-based space weather impacts over the next few decades can benefit from accurate forecasts of this evolution. Existing auroral zone forecasts use simplified assumptions of geomagnetic field variations. By harnessing the capability of modern geomagnetic field forecasts based on the dynamics of Earth's core we estimate the evolution of the auroral zones and of the danger zones over the next 50 years. Our results predict that space-weather related risk will not change significantly in Europe, Australia and New Zealand. Mid-to-high latitude cities such as Edinburgh, Copenhagen and Dunedin will remain in high-risk regions. However, northward change of the auroral and danger zones over North America will likely cause urban centres such as Edmonton and Labrador City to be exposed by 2070 to the potential impact of severe solar activity.</t>
  </si>
  <si>
    <t>[Maffei, Stefano] Swiss Fed Inst Technol, Inst Geophys, Earth &amp; Planetary Magnetism Grp, Zurich, Switzerland; [Maffei, Stefano; Livermore, Philip W. W.; Mound, Jonathan E. E.] Univ Leeds, Sch Earth &amp; Environm, Leeds, England; [Eggington, Joseph W. B.; Eastwood, Jonathan P. P.] Imperial Coll London, Blackett Lab, Space &amp; Atmospher Phys Grp, London, England; [Sanchez, Sabrina] Univ Paris Diderot, Inst Phys Globe Paris, Paris, France; [Freeman, Mervyn P. P.] British Antarctic Survey, Madingley Rd, Cambridge, England</t>
  </si>
  <si>
    <t>Swiss Federal Institutes of Technology Domain; ETH Zurich; University of Leeds; Imperial College London; Universite Paris Cite; UK Research &amp; Innovation (UKRI); Natural Environment Research Council (NERC); NERC British Antarctic Survey</t>
  </si>
  <si>
    <t>Maffei, S (corresponding author), Swiss Fed Inst Technol, Inst Geophys, Earth &amp; Planetary Magnetism Grp, Zurich, Switzerland.;Maffei, S (corresponding author), Univ Leeds, Sch Earth &amp; Environm, Leeds, England.</t>
  </si>
  <si>
    <t>stefano.maffei@erdw.ethz.ch</t>
  </si>
  <si>
    <t>NERC [NE/P017142/1, NE/P016758/1]; European Research Council [833848-UEMHP]</t>
  </si>
  <si>
    <t>This research was funded by NERC Grant Number NE/P016758/1 (S.M., P.W.L and J.E.M.). S.M. also acknowledges funding contribution from the European Research Council (agreement 833848-UEMHP) under the Horizon 2020 programme. J.W.B.E and J.P.E acknowledge funding by NERC Grant Number NE/P017142/1. The authors are grateful to Julien Aubert (IPGP) for making the coefficients of the IPGP forecast available. The authors would like to express their gratitude to James L. Green and Scott Boardsen (NASA) for providing the dataset containing auroral observations during the Carrington event.</t>
  </si>
  <si>
    <t>10.1038/s41598-022-25704-2</t>
  </si>
  <si>
    <t>7Z5YK</t>
  </si>
  <si>
    <t>WOS:000915634600002</t>
  </si>
  <si>
    <t>Pallin, LJ; Kellar, NM; Steel, D; Botero-Acosta, N; Baker, CS; Conroy, JA; Costa, DP; Johnson, CM; Johnston, DW; Nichols, RC; Nowacek, DP; Read, AJ; Savenko, O; Schofield, OM; Stammerjohn, SE; Steinberg, DK; Friedlaender, AS</t>
  </si>
  <si>
    <t>Pallin, Logan J.; Kellar, Nick M.; Steel, Debbie; Botero-Acosta, Natalia; Baker, C. Scott; Conroy, Jack A.; Costa, Daniel P.; Johnson, Chris M.; Johnston, David W.; Nichols, Ross C.; Nowacek, Doug P.; Read, Andrew J.; Savenko, Oksana; Schofield, Oscar M.; Stammerjohn, Sharon E.; Steinberg, Deborah K.; Friedlaender, Ari S.</t>
  </si>
  <si>
    <t>A surplus no more? Variation in krill availability impacts reproductive rates of Antarctic baleen whales</t>
  </si>
  <si>
    <t>Antarctica; climate change; conservation; humpback whale; krill; pregnancy rates</t>
  </si>
  <si>
    <t>ATLANTIC RIGHT WHALE; HUMPBACK WHALE; MICROSATELLITE LOCI; POPULATION-STRUCTURE; CLIMATE; PENINSULA; WEST; AMPLIFICATION; TEMPERATURE; ECOSYSTEM</t>
  </si>
  <si>
    <t>The krill surplus hypothesis of unlimited prey resources available for Antarctic predators due to commercial whaling in the 20th century has remained largely untested since the 1970s. Rapid warming of the Western Antarctic Peninsula (WAP) over the past 50 years has resulted in decreased seasonal ice cover and a reduction of krill. The latter is being exacerbated by a commercial krill fishery in the region. Despite this, humpback whale populations have increased but may be at a threshold for growth based on these human-induced changes. Understanding how climate-mediated variation in prey availability influences humpback whale population dynamics is critical for focused management and conservation actions. Using an 8-year dataset (2013-2020), we show that inter-annual humpback whale pregnancy rates, as determined from skin-blubber biopsy samples (n = 616), are positively correlated with krill availability and fluctuations in ice cover in the previous year. Pregnancy rates showed significant inter-annual variability, between 29% and 86%. Our results indicate that krill availability is in fact limiting and affecting reproductive rates, in contrast to the krill surplus hypothesis. This suggests that this population of humpback whales may be at a threshold for population growth due to prey limitations. As a result, continued warming and increased fishing along the WAP, which continue to reduce krill stocks, will likely impact this humpback whale population and other krill predators in the region. Humpback whales are sentinel species of ecosystem health, and changes in pregnancy rates can provide quantifiable signals of the impact of environmental change at the population level. Our findings must be considered paramount in developing new and more restrictive conservation and management plans for the Antarctic marine ecosystem and minimizing the negative impacts of human activities in the region.</t>
  </si>
  <si>
    <t>[Pallin, Logan J.; Costa, Daniel P.] Univ Calif Santa Cruz, Dept Ecol &amp; Evolutionary Biol, Santa Cruz, CA USA; [Kellar, Nick M.] Natl Marine Fisheries Serv, Marine Mammal &amp; Turtle Div, Southwest Fisheries Sci Ctr, NOAA, La Jolla, CA USA; [Steel, Debbie; Baker, C. Scott] Oregon State Univ, Marine Mammal Inst, Hatfield Marine Sci Ctr, Dept Fisheries Wildlife &amp; Conservat Sci, Newport, OR USA; [Botero-Acosta, Natalia] Fdn Macuat Colombia, Medellin, Colombia; [Botero-Acosta, Natalia] Edificio World Business Ctr WBC, Programa Antart Colombiano, Bogota, Colombia; [Conroy, Jack A.; Steinberg, Deborah K.] William &amp; Mary, Virginia Inst Marine Sci, Gloucester Point, VA USA; [Johnson, Chris M.] World Wide Fund Nat WWF, Melbourne, Vic, Australia; [Johnson, Chris M.] Curtin Univ, Ctr Marine Sci &amp; Technol, Perth, WA, Australia; [Johnston, David W.; Nowacek, Doug P.; Read, Andrew J.] Duke Univ, Nicholas Sch Environm, Div Marine Sci &amp; Conservat, Marine Lab, Beaufort, NC USA; [Nichols, Ross C.; Friedlaender, Ari S.] UC Santa Cruz, Inst Marine Sci, Ocean Hlth Bldg,115 McAllister Way, Santa Cruz, CA 95060 USA; [Savenko, Oksana] Natl Antarctic Sci Ctr Ukraine, Kiev, Ukraine; [Savenko, Oksana] Ukrainian Sci Ctr Ecol Sea, Odesa, Ukraine; [Schofield, Oscar M.] Rutgers State Univ, Ctr Ocean Observing Leadership, New Brunswick, NJ USA; [Stammerjohn, Sharon E.] Univ Colorado, Inst Arctic &amp; Alpine Res, Boulder, CO USA; [Friedlaender, Ari S.] Univ Calif Santa Cruz, Dept Ocean Sci, Santa Cruz, CA USA</t>
  </si>
  <si>
    <t>University of California System; University of California Santa Cruz; National Oceanic Atmospheric Admin (NOAA) - USA; Oregon State University; William &amp; Mary; Virginia Institute of Marine Science; Melbourne Genomics Health Alliance; Curtin University; Duke University; University of California System; University of California Santa Cruz; Ministry of Education &amp; Science of Ukraine; State Institution National Antarctic Scientific Center; Ukrainian Scientific Center of Ecology of the Sea (UkrSCES); Rutgers University System; Rutgers University New Brunswick; University of Colorado System; University of Colorado Boulder; University of California System; University of California Santa Cruz</t>
  </si>
  <si>
    <t>Pallin, LJ (corresponding author), UC Santa Cruz, Ecol &amp; Evolutionary Biol, Ocean Hlth Bldg,115 McAllister Way, Santa Cruz, CA 95060 USA.</t>
  </si>
  <si>
    <t>lpallin@ucsc.edu</t>
  </si>
  <si>
    <t>Carlos, Universidade Federal de São/W-8832-2019; Savenko, Oksana/ABI-4737-2020; Costa, Daniel Paul/E-2616-2013</t>
  </si>
  <si>
    <t>Carlos, Universidade Federal de São/0000-0002-0334-3899; Savenko, Oksana/0000-0001-6719-4602; Nichols, Ross/0000-0003-2890-3079; Johnston, David/0000-0003-2424-036X; Costa, Daniel Paul/0000-0002-0233-5782; Conroy, Jack/0000-0001-6559-8240; Steinberg, Deborah K./0000-0001-9884-4655; Baker, C. Scott/0000-0003-2183-2036; Pallin, Logan/0000-0001-8024-9663</t>
  </si>
  <si>
    <t>10.1111/gcb.16559</t>
  </si>
  <si>
    <t>9T1CA</t>
  </si>
  <si>
    <t>WOS:000913031200001</t>
  </si>
  <si>
    <t>Biagioli, F; Coleine, C; Piano, E; Nicolosi, G; Poli, A; Prigione, V; Zanellati, A; Varese, C; Isaia, M; Selbmann, L</t>
  </si>
  <si>
    <t>Biagioli, Federico; Coleine, Claudia; Piano, Elena; Nicolosi, Giuseppe; Poli, Anna; Prigione, Valeria; Zanellati, Andrea; Varese, Cristina; Isaia, Marco; Selbmann, Laura</t>
  </si>
  <si>
    <t>Microbial diversity and proxy species for human impact in Italian karst caves</t>
  </si>
  <si>
    <t>SHOW CAVES; COMMUNITY; BIODIVERSITY</t>
  </si>
  <si>
    <t>To date, the highly adapted cave microbial communities are challenged by the expanding anthropization of these subterranean habitats. Although recent advances in characterizing show-caves microbiome composition and functionality, the anthropic effect on promoting the establishment, or reducing the presence of specific microbial guilds has never been studied in detail. This work aims to investigate the whole microbiome (Fungi, Algae, Bacteria and Archaea) of four Italian show-caves, displaying different environmental and geo-morphological conditions and one recently discovered natural cave to highlight potential human-induced microbial traits alterations. Results indicate how show-caves share common microbial traits in contrast to the natural one; the first are characterized by microorganisms related to outdoor environment and/or capable of exploiting extra inputs of organic matter eventually supplied by tourist flows (i.e. Chaetomium and Phoma for fungi and Pseudomonas for bacteria). Yet, variation in microalgae assemblage composition was reported in show-caves, probably related to the effect of the artificial lighting. This study provides insights into the potential microbiome cave contamination by human-related bacteria (e.g. Lactobacillus and Staphylococcus) and commensal/opportunistic human associated fungi (e.g. Candida) and dermatophytes. This work is critical to untangle caves microbiome towards management and conservation of these fragile ecosystems.</t>
  </si>
  <si>
    <t>[Biagioli, Federico; Coleine, Claudia; Selbmann, Laura] Univ Tuscia, Dept Ecol &amp; Biol Sci, I-01100 Viterbo, Italy; [Piano, Elena; Nicolosi, Giuseppe; Isaia, Marco] Univ Torino, Dept Life Sci &amp; Syst Biol, I-10123 Turin, Italy; [Poli, Anna; Prigione, Valeria; Zanellati, Andrea; Varese, Cristina] Univ Torino, Mycotheca Univ Taurinensis, Dept Life Sci &amp; Syst Biol, I-10125 Turin, Italy; [Selbmann, Laura] Italian Natl Antarctic Museum MNA, Mycol Sect, I-16121 Genoa, Italy</t>
  </si>
  <si>
    <t>Tuscia University; University of Turin; University of Turin</t>
  </si>
  <si>
    <t>Selbmann, Laura/L-3056-2013; Nicolosi, Giuseppe/AAJ-9815-2021; Piano, Elena/AAJ-4672-2020; Coleine, Claudia/AAE-1889-2020</t>
  </si>
  <si>
    <t>Selbmann, Laura/0000-0002-8967-3329; Nicolosi, Giuseppe/0000-0002-6360-7171; Piano, Elena/0000-0002-4685-7240; Coleine, Claudia/0000-0002-9289-6179; Biagioli, Federico/0000-0001-7648-0520; PRIGIONE, Valeria Paola/0000-0002-9312-1420</t>
  </si>
  <si>
    <t>Italian Ministry of Education, University and Research [2017HTXT2R]; PON Research and Innovation Programme (Axis IV Education and Research for recovery - Action IV.6 Research contracts on Green themes); European Union's Horizon Europe research and innovation program under Marie Sklodowska-Curie Grant [101062840]; Marie Curie Actions (MSCA) [101062840] Funding Source: Marie Curie Actions (MSCA)</t>
  </si>
  <si>
    <t>Italian Ministry of Education, University and Research(Ministry of Education, Universities and Research (MIUR)); PON Research and Innovation Programme (Axis IV Education and Research for recovery - Action IV.6 Research contracts on Green themes); European Union's Horizon Europe research and innovation program under Marie Sklodowska-Curie Grant; Marie Curie Actions (MSCA)(Marie Curie Actions)</t>
  </si>
  <si>
    <t>This work was realized within the framework of the PRIN SHOWCAVE A multidisciplinary research project to study, classify and mitigate the environmental impact in tourist caves-code 2017HTXT2R (PI: Marco Isaia), funded by the Italian Ministry of Education, University and Research. The SHOWCAVE project is endorsed by AGTI (Associazione Grotte Turistiche Italiane) and the SSI (Societa Speleologica Italiana). The grant of EP is co-financed by the PON Research and Innovation Programme (Axis IV Education and Research for recovery - Action IV.6 Research contracts on Green themes). C.C. is supported by the European Union's Horizon Europe research and innovation program under Marie Sklodowska-Curie Grant Agreement 101062840.</t>
  </si>
  <si>
    <t>JAN 13</t>
  </si>
  <si>
    <t>10.1038/s41598-022-26511-5</t>
  </si>
  <si>
    <t>D4TJ3</t>
  </si>
  <si>
    <t>WOS:000968670400014</t>
  </si>
  <si>
    <t>Pelayo, M; Schmid, T; Díaz-Puente, FJ; López-Martínez, J</t>
  </si>
  <si>
    <t>Pelayo, Marta; Schmid, Thomas; Diaz-Puente, Francisco Javier; Lopez-Martinez, Jeronimo</t>
  </si>
  <si>
    <t>Characterization and distribution of clay minerals in the soils of Fildes Peninsula and Ardley Island (King George Island, Maritime Antarctica)</t>
  </si>
  <si>
    <t>CLAY MINERALS</t>
  </si>
  <si>
    <t>Antarctic Peninsula region; chlorite; ice-free areas; pedogenesis; smectite; South Shetland Islands</t>
  </si>
  <si>
    <t>SOUTH-SHETLAND-ISLANDS; ORNITHOGENIC CRYOSOLS; WEST ANTARCTICA; VOLCANIC-ROCKS; PEDOGENESIS; VERMICULITE; MIGRATION; LANDFORMS; GELISOLS; ORIGIN</t>
  </si>
  <si>
    <t>The environmental conditions in Maritime Antarctica are more favorable to soil development than in continental areas, which is reflected in the content and type of clay minerals present. In this context, soil clay minerals of Fildes Peninsula, South Shetland Islands were studied with the aim of relating them to periglacial and paraglacial processes as possible indicators of initial pedogenic processes. In this work, textural, mineralogical and crystallochemical characterization of clay minerals as well as chemical and physical soil analyses were carried out. The soil samples represented various surface cover types present on Fildes Peninsula. All samples were composed mainly of clay minerals, plagioclase, quartz and minor zeolites and pyroxene. The clay mineral content was very variable and reached up to 63% w/w. The clay minerals present are mainly smectite, vermiculite, chlorite and minor kaolinite, mica, corrensite and interstratified illite-smectite, with smectite and vermiculite dominating in almost all of the samples. The primary minerals display chemical alteration, and smectite formed by alteration of plagioclase. The clay mineral types were related to the parent material, which was affected by low-grade metamorphism and hydrothermal alteration that transformed biotite and chlorite into vermiculite via interstratified chlorite-vermiculite. Furthermore, this process and/or ongoing surface weathering transformed vermiculite into smectite. The genetic relationship observed between vermiculite and smectite suggests progressive alteration and transformation into a phase with intermediate composition between vermiculite and smectite. Therefore, vermiculite could be at least in part the smectite precursor. Samples closer to the current Collins Glacier front are composed mainly of vermiculite, with the greatest chemical variation occurring where the soils were developed from a mixture of initially glacially transported volcanic rocks through periglacial and fluvial processes. The clay minerals from the centre and south of Fildes Peninsula are mixtures of montmorillonite and vermiculite, as well as of chlorite and corrensite in various proportions. The clay minerals in soils developed on the west coast are a mixture of Fe-rich montmorillonite and vermiculite.</t>
  </si>
  <si>
    <t>[Pelayo, Marta; Schmid, Thomas; Diaz-Puente, Francisco Javier] CIEMAT, Dept Environm, Avda Complutense,40, Madrid 28040, Spain; [Lopez-Martinez, Jeronimo] Univ Autonoma Madrid, Fac Sci, Madrid 28049, Spain</t>
  </si>
  <si>
    <t>Centro de Investigaciones Energeticas, Medioambientales Tecnologicas; Autonomous University of Madrid</t>
  </si>
  <si>
    <t>Pelayo, M (corresponding author), CIEMAT, Dept Environm, Avda Complutense,40, Madrid 28040, Spain.</t>
  </si>
  <si>
    <t>m.pelayo@ciemat.es</t>
  </si>
  <si>
    <t>Lopez-Martinez, Jeronimo/C-5744-2011; Schmid, Thomas/L-3397-2014; Pelayo Bayon, Marta/L-4861-2014; Diaz Puente, Francisco Javier/K-7824-2014</t>
  </si>
  <si>
    <t>Lopez-Martinez, Jeronimo/0000-0002-1750-8287; Schmid, Thomas/0000-0002-2849-4730; Pelayo Bayon, Marta/0000-0002-8589-2882; Diaz Puente, Francisco Javier/0000-0002-0441-3473</t>
  </si>
  <si>
    <t>Spanish R&amp;D National Plan - Spanish Ministry of Science and Innovation [CTM 2014-57119-R, RTI2018-098099-B-I00, PID2021-125778OB-I00]</t>
  </si>
  <si>
    <t>Spanish R&amp;D National Plan - Spanish Ministry of Science and Innovation</t>
  </si>
  <si>
    <t>This work was supported by the Projects CTM 2014-57119-R, RTI2018-098099-B-I00 and PID2021-125778OB-I00 of the Spanish R&amp;D National Plan, financed by the Spanish Ministry of Science and Innovation.</t>
  </si>
  <si>
    <t>0009-8558</t>
  </si>
  <si>
    <t>1471-8030</t>
  </si>
  <si>
    <t>CLAY MINER</t>
  </si>
  <si>
    <t>Clay Min.</t>
  </si>
  <si>
    <t>PII S0009855822000462</t>
  </si>
  <si>
    <t>10.1180/clm.2022.46</t>
  </si>
  <si>
    <t>Chemistry, Physical; Geosciences, Multidisciplinary; Mineralogy</t>
  </si>
  <si>
    <t>Chemistry; Geology; Mineralogy</t>
  </si>
  <si>
    <t>D1VD0</t>
  </si>
  <si>
    <t>WOS:000929301500001</t>
  </si>
  <si>
    <t>Peng, DM; Mu, YT; Zhu, YG; Chu, JS; Sumaila, UR</t>
  </si>
  <si>
    <t>Peng, Daomin; Mu, Yongtong; Zhu, Yugui; Chu, Jiansong; Sumaila, U. Rashid</t>
  </si>
  <si>
    <t>Insights from Chinese Mariculture Development to Support Global Blue Growth</t>
  </si>
  <si>
    <t>REVIEWS IN FISHERIES SCIENCE &amp; AQUACULTURE</t>
  </si>
  <si>
    <t>Blue growth; sustainable development; nutrition security; mariculture; over-farming</t>
  </si>
  <si>
    <t>AQUACULTURE; SUSTAINABILITY; CHALLENGES; FISHERIES; FISH</t>
  </si>
  <si>
    <t>Mariculture development has contributed to improving global food and nutrition security. This commentary reviews the importance of blue growth and the potential for aquaculture to fill the nutritional gap left by wild fisheries. On this basis, Chinese mariculture development was analyzed, focusing on five representative large-scale aquaculture practices over the past 60 years. The Chinese mariculture industry has moved from an extensive and low-efficiency development stage to an intensive and high-efficiency development stage; however, the development of the industry has been characterized by environmental and economic over-farming. From a policy perspective, to circumvent these two types of over-farming, more policies and actions by both the public sector and stakeholders are needed.</t>
  </si>
  <si>
    <t>[Peng, Daomin; Chu, Jiansong] Ocean Univ China, Coll Marine Life Sci, Qingdao, Peoples R China; [Peng, Daomin; Sumaila, U. Rashid] Univ British Columbia, Inst Oceans &amp; Fisheries, Vancouver, BC, Canada; [Mu, Yongtong; Zhu, Yugui] Ocean Univ China, Coll Fisheries, Key Lab Mariculture, Minist Educ, Qingdao, Peoples R China; [Zhu, Yugui; Chu, Jiansong] Southern Marine Sci &amp; Engn Guangdong Lab, Guangzhou, Peoples R China; [Sumaila, U. Rashid] Univ British Columbia, Sch Publ Policy &amp; Global Affairs, Vancouver, BC, Canada</t>
  </si>
  <si>
    <t>Ocean University of China; University of British Columbia; Ocean University of China; Southern Marine Science &amp; Engineering Guangdong Laboratory; Southern Marine Science &amp; Engineering Guangdong Laboratory (Guangzhou); University of British Columbia</t>
  </si>
  <si>
    <t>Peng, DM (corresponding author), Ocean Univ China, Coll Marine Life Sci, Qingdao, Peoples R China.;Peng, DM (corresponding author), Univ British Columbia, Inst Oceans &amp; Fisheries, Vancouver, BC, Canada.;Zhu, YG (corresponding author), Ocean Univ China, Coll Fisheries, Key Lab Mariculture, Minist Educ, Qingdao, Peoples R China.</t>
  </si>
  <si>
    <t>pengdm@yeah.net; zhuyugui@ouc.edu.cn</t>
  </si>
  <si>
    <t>Sumaila, U. Rashid/ABE-6475-2020</t>
  </si>
  <si>
    <t>National Natural Science Foundation of China [42176234]; Chinese Arctic and Antarctic Creative Program [JDB20210211]</t>
  </si>
  <si>
    <t>National Natural Science Foundation of China(National Natural Science Foundation of China (NSFC)); Chinese Arctic and Antarctic Creative Program</t>
  </si>
  <si>
    <t>This study was supported by the National Natural Science Foundation of China (No. 42176234), and the Chinese Arctic and Antarctic Creative Program (No. JDB20210211).</t>
  </si>
  <si>
    <t>2330-8249</t>
  </si>
  <si>
    <t>2330-8257</t>
  </si>
  <si>
    <t>REV FISH SCI AQUAC</t>
  </si>
  <si>
    <t>Rev. Fish. Sci. Aquac..</t>
  </si>
  <si>
    <t>OCT 2</t>
  </si>
  <si>
    <t>10.1080/23308249.2023.2167515</t>
  </si>
  <si>
    <t>Q8WD8</t>
  </si>
  <si>
    <t>WOS:000926461800001</t>
  </si>
  <si>
    <t>Carter, MJ; García-Huidobro, MR; Aldana, M; Rezende, EL; Bozinovic, F; Galbán-Malagón, C; Pulgar, JM</t>
  </si>
  <si>
    <t>Carter, Mauricio J.; Garcia-Huidobro, M. Roberto; Aldana, Marcela; Rezende, Enrico L.; Bozinovic, Francisco; Galban-Malagon, Cristobal; Pulgar, Jose M.</t>
  </si>
  <si>
    <t>Upper thermal limits and risk of mortality of coastal Antarctic ectotherms</t>
  </si>
  <si>
    <t>upper thermal limits; heatwave; Antarctic peninsula; marine ectotherms; temperature mortality</t>
  </si>
  <si>
    <t>SOUTHERN-OCEAN; TEMPERATURE; TOLERANCE; RESPONSES; VULNERABILITY; BIODIVERSITY; VARIABILITY; PERFORMANCE; SURVIVAL; SHELF</t>
  </si>
  <si>
    <t>Antarctic marine animals face one of the most extreme thermal environments, characterized by a stable and narrow range of low seawater temperatures. At the same time, the Antarctic marine ecosystems are threatened by accelerated global warming. Determining the upper thermal limits (CTmax) is crucial to project the persistence and distribution areas of the Antarctic marine species. Using thermal death time curves (TDT), we estimated CTmax at different temporal scales from 1 minute to daily and seasonal, the predict vulnerability to the current thermal variation and two potential heatwave scenarios. Our results revealed that CTmax at 1 min are far from the temperature present in the marine intertidal area where our study species, showing Echinoderm species higher CTmax than the Chordata and Arthropods species. Simulations indicated that seasonal thermal variation from the intertidal zone contributed to basal mortality, which increased after considering moderate scenarios of heatwaves (+2 degrees C) in the Shetland Archipelago intertidal zone. Our finding highlighted the relevance of including exposure time explicitly on the CTmax estimates, which deliver closer and more realistic parameters according to the species that may be experiencing in the field.</t>
  </si>
  <si>
    <t>[Carter, Mauricio J.; Pulgar, Jose M.] Univ Andres Bello, Fac Ciencias Vida, Dept Ecol &amp; Biodiversidad, Santiago, Chile; [Garcia-Huidobro, M. Roberto; Aldana, Marcela] Univ Santo Tomas, Fac Ciencias, Ctr Invest &amp; Innovac Cambio Climat, Santiago, Chile; [Rezende, Enrico L.; Bozinovic, Francisco] Pontificia Univ Catolica Chile, Fac Ciencias Biol, Ctr Appl Ecol &amp; Sustainabil CAPES, Dept Ecol, Santiago, Chile; [Galban-Malagon, Cristobal] Univ Mayor, Ctr Genom Ecol &amp; Environm GEMA, Santiago, Chile</t>
  </si>
  <si>
    <t>Universidad Andres Bello; Universidad Santo Tomas; Pontificia Universidad Catolica de Chile; Universidad Mayor</t>
  </si>
  <si>
    <t>Carter, MJ (corresponding author), Univ Andres Bello, Fac Ciencias Vida, Dept Ecol &amp; Biodiversidad, Santiago, Chile.</t>
  </si>
  <si>
    <t>mauricio.carter@unab.cl</t>
  </si>
  <si>
    <t>Rezende, Enrico L/B-8029-2012; Carter, Mauricio/C-3099-2013; Galbán-Malagón, Cristobal/B-2170-2017; Galban Malagon, Cristobal/J-2384-2015</t>
  </si>
  <si>
    <t>Rezende, Enrico L/0000-0002-6245-9605; Carter, Mauricio/0000-0002-5351-8108; Galban Malagon, Cristobal/0000-0001-8397-5804; Pulgar, Jose/0000-0002-8816-7790</t>
  </si>
  <si>
    <t>UNAB [10.20]; ANID [PAI77190031, 11220593]; FONDECYT [1220866, 1210946, FB0002]; ANID PIA/BASAL [11150548]; INACH RT12-17; ANID PIA/INACH [ACT192057]; INACH [RT09-18]; FONDECYT [1200813]</t>
  </si>
  <si>
    <t>UNAB; ANID; FONDECYT(Comision Nacional de Investigacion Cientifica y Tecnologica (CONICYT)CONICYT FONDECYT); ANID PIA/BASAL; INACH RT12-17; ANID PIA/INACH; INACH; FONDECYT(Comision Nacional de Investigacion Cientifica y Tecnologica (CONICYT)CONICYT FONDECYT)</t>
  </si>
  <si>
    <t>MC thanks the support of UNAB DI 10.20/Reg grants. MRG-H acknowledges the support of ANID Grand No. PAI77190031 and FONDECYT 11220593 grants. MA acknowledges the support of FONDECYT 1220866 grants. FB acknowledge ANID PIA/BASAL FB0002. CG-M thanks the support of FONDECYT 11150548 and 1210946, INACH RT12-17 and ANID PIA/INACH ACT192057 grants. JP thanks the support by INACH RT09-18 and FONDECYT 1200813 grants.</t>
  </si>
  <si>
    <t>10.3389/fmars.2022.1108330</t>
  </si>
  <si>
    <t>8H2SR</t>
  </si>
  <si>
    <t>WOS:000920885700001</t>
  </si>
  <si>
    <t>Jiang, Q; Jourdan, F; Olierook, HKH; Merle, RE</t>
  </si>
  <si>
    <t>Jiang, Qiang; Jourdan, Fred; Olierook, Hugo K. H.; Merle, Renaud E.</t>
  </si>
  <si>
    <t>An appraisal of the ages of Phanerozoic large igneous provinces</t>
  </si>
  <si>
    <t>Large igneous province; 40Ar/39Ar age; U-Pb age; Robust age; Mass extinction; Oceanic anoxic event</t>
  </si>
  <si>
    <t>OCEANIC ANOXIC EVENT; ZIRCON U-PB; ATLANTIC MAGMATIC PROVINCE; FLOOD-BASALT PROVINCE; ONTONG JAVA PLATEAU; ASIAN OROGENIC BELT; MAFIC DYKE SWARM; CRETACEOUS-PALEOGENE BOUNDARY; EARLY JURASSIC EXTINCTION; PRECISION 40AR/39AR AGES</t>
  </si>
  <si>
    <t>Large igneous provinces (LIPs) are the products of exceptional magmatic events that played important roles in tectonic plate reorganizations, environmental crises, energy resource formation and ore genesis. Studying the ages of LIPs has been crucial for constraining the duration of these magmatic events and deciphering their temporal relationship with associated geological events. There have been a significant number of radio-isotopic dating analyses (e.g., 40Ar/39Ar, U-Pb) conducted for LIPs, especially in the past decade. These dating results have often been directly accepted and propagated into the literature for geological interpretations, regardless of their reliability and precision. This review compiles all published 40Ar/39Ar and U-Pb age determinations for the eighteen Phanerozoic large igneous provinces and critically evaluates each for their statistical robustness and precision. The compiled and filtered age data are easily accessible in an online database (https://shorturl. at/kIQT5) that will be regularly maintained by the authors. Using a filtered dataset of reliable and precise ages, which accounts for similar to 30% of all the originally published ages, we discuss the duration of large igneous provinces and compare their relative timing with mass extinctions and global environmental crises. We find that the filtered datasets indeed provide robust evidence for a short duration of a few million years for some LIPs (i.e., Emeishan LIP, Siberian Traps, Central Atlantic magmatic province, Karoo LIP, Ferrar LIP, Parana-Etendeka LIP, Deccan Traps, and Columbia River basalt group). However, evidence for the claimed short-lived, or long-lived and pulsed magmatism for some LIPs is insufficient (e.g., Yakutsk-Vilyui LIP, Kerguelen LIP, Caribbean LIP, High Arctic LIP, North Atlantic igneous province) and more robust geochronology data are needed to constrain their duration and tempo. The filtered data also strengthen the synchronicity between the peak magmatic phase of most LIPs and their associated environmental crises. Clear correlations are identified between the severity of environmental perturbations and LIPs' magma flux rates and likely their accompanied volatile degassing rates, indicating that LIP-induced rapid and intense volatile degassing may have been an important mechanism for a LIP to trigger the deterioration of the environment and even mass extinction.</t>
  </si>
  <si>
    <t>[Jiang, Qiang] China Univ Petr, Coll Geosci, State Key Lab Petr Resources &amp; Prospecting, Beijing 102249, Peoples R China; [Jiang, Qiang; Jourdan, Fred] Curtin Univ, John Laeter Ctr &amp; Inst Geosci Res, Sch Earth &amp; Planetary Sci, Western Australian Argon Isotope Facil, Bentley, Australia; [Olierook, Hugo K. H.] Curtin Univ, John Laeter Ctr, Sch Earth &amp; Planetary Sci, Timescales Mineral Syst Grp, Bentley, Australia; [Merle, Renaud E.] Uppsala Univ, Dept Earth Sci, Nat Resources &amp; Sustainable Dev, Uppsala, Sweden; [Jiang, Qiang] China Univ Petr, Coll Geosci, Beijing, Peoples R China</t>
  </si>
  <si>
    <t>China University of Petroleum; Curtin University; Curtin University; Uppsala University; China University of Petroleum</t>
  </si>
  <si>
    <t>Jiang, Q (corresponding author), China Univ Petr, Coll Geosci, Beijing, Peoples R China.</t>
  </si>
  <si>
    <t>q.jiang@cup.edu.cn</t>
  </si>
  <si>
    <t>Olierook, Hugo/AAQ-3657-2021; merle, renaud e./ABG-7421-2020; Jiang, Qiang/HMD-5605-2023</t>
  </si>
  <si>
    <t>Olierook, Hugo/0000-0001-5961-4304; merle, renaud e./0000-0001-9018-6862; Jiang, Qiang/0000-0003-3381-9592; Jourdan, Fred/0000-0001-5626-4521</t>
  </si>
  <si>
    <t>Curtin Publication Grant; Fundamental Research Funds for the Central Universities [2462022BJRC011]; Australian Antarctic Science Project [4446]; CSC-CIPRS scholarship</t>
  </si>
  <si>
    <t>Curtin Publication Grant; Fundamental Research Funds for the Central Universities(Fundamental Research Funds for the Central Universities); Australian Antarctic Science Project; CSC-CIPRS scholarship</t>
  </si>
  <si>
    <t>Jiang acknowledges support of the CSC-CIPRS scholarship, a Curtin Publication Grant, and the Fundamental Research Funds for the Central Universities (#2462022BJRC011) . This work was partly inspired by the Australian Antarctic Science Project (#4446) for which we are grateful. We thank the editor Y. Wang, and the reviewers R. Ernst and J. Green- ough for some helpful comments.</t>
  </si>
  <si>
    <t>10.1016/j.earscirev.2023.104314</t>
  </si>
  <si>
    <t>8L1UP</t>
  </si>
  <si>
    <t>WOS:000923574300001</t>
  </si>
  <si>
    <t>Smellie, JL; Rocchi, S; Di Vincenzo, G</t>
  </si>
  <si>
    <t>Smellie, J. L.; Rocchi, S.; Di Vincenzo, G.</t>
  </si>
  <si>
    <t>Controlling influence of water and ice on eruptive style and edifice construction in the Mount Melbourne Volcanic Field (northern Victoria Land, Antarctica)</t>
  </si>
  <si>
    <t>glaciovolcanic; tuff cone; megapillow; A'a lava; lava-fed delta; tuya; Plio-Pleistocene environment; ice sheet</t>
  </si>
  <si>
    <t>HOLOCENE RAISED BEACHES; BASALTIC TUFF RINGS; ROSS SEA REGION; TERRA-NOVA BAY; DEPOSITIONAL PROCESSES; BRITISH-COLUMBIA; CHEJU ISLAND; EVOLUTION; LAVA; EMERGENT</t>
  </si>
  <si>
    <t>The Mount Melbourne Volcanic Field (MMVF) is part of the West Antarctic Rift System, one of Earth's largest intra-continental rift zones. It contains numerous small, compositionally diverse (alkali basalt-benmoreite) flank and satellite vents of Late Miocene-Pliocene age (&lt;= 12.50 Ma; mainly less than 2.5 Ma). They demonstrate a wide range of morphologies and eruptive mechanisms despite overlapping compositions and elevations, and they occur in a relatively small area surrounding the active Mount Melbourne stratovolcano. The volcanic outcrops fall into several main categories based on eruptive style: scoria cones, tuff cones, megapillow complexes, and shield volcanoes. Using the analysis of lithofacies and appraisal of the internal architectures of the outcrops, we have interpreted the likely eruptive setting for each center and examined the links between the environmental conditions and the resulting volcanic edifice types. Previous investigations assumed a glacial setting for most of the centers but without giving supporting evidence. We demonstrate that the local contemporary environmental conditions exerted a dominant control on the resulting volcanic edifices (i.e., the presence or absence of water, including ice or snow). The scoria cones erupted under dry subaerial conditions. Products of highly explosive hydrovolcanic eruptions are represented by tuff cones. The water involved was mainly glacial (meltwater) but may have been marine in a few examples, based on a comparison of the contrasting internal architectures of tuff cones erupted in confined (glacial) and unconfined (marine, lacustrine) settings. One of the glaciovolcanic tuff cones ceased activity shortly after it began transitioning to a tuya. The megapillow complexes are highly distinctive and have not been previously recognized in glaciovolcanic successions. They are subglacial effusive sequences emplaced as interconnected megapillows, lobes, and thick simple sheet lavas. They are believed to have erupted at moderately high discharge and reduced cooling rates in partially drained englacial vaults under ice, probably several hundred meters in thickness. Finally, several overlapping small shield volcanoes crop out mainly in the Cape Washington peninsula area. They are constructed of previously unrecognized multiple aa lava-fed deltas, erupted in association with a thin draping ice cover c. 50-145 m thick. Our study highlights how effectively water in all its forms (e.g., snow, ice, and any meltwater) or its absence exerts a fundamental control on eruption dynamics and volcano construction. When linked to published ages and 40Ar/39Ar dates produced by this study, the new environmental information indicates that the Late Pliocene-Pleistocene landscape was mainly an icefield rather than a persistent topography-drowning ice sheet. Ice thicknesses also generally increased toward the present.</t>
  </si>
  <si>
    <t>[Smellie, J. L.] Univ Leicester, Sch Geog Geol &amp; Environm, Leicester, England; [Rocchi, S.] Univ Pisa, Dipartimento Sci Terra, Pisa, Italy; [Di Vincenzo, G.] Ist Geosci &amp; Georisorse, Consiglio Nazl Ric, Pisa, Italy</t>
  </si>
  <si>
    <t>University of Leicester; University of Pisa; Consiglio Nazionale delle Ricerche (CNR); Istituto di Geoscienze e Georisorse (IGG-CNR)</t>
  </si>
  <si>
    <t>Smellie, JL (corresponding author), Univ Leicester, Sch Geog Geol &amp; Environm, Leicester, England.</t>
  </si>
  <si>
    <t>jls55@le.ac.uk</t>
  </si>
  <si>
    <t>; Rocchi, Sergio/A-7752-2018</t>
  </si>
  <si>
    <t>DI VINCENZO, GIANFRANCO/0000-0002-9669-9789; Rocchi, Sergio/0000-0001-6868-1939</t>
  </si>
  <si>
    <t>Programma Nazionale di Recherche in Antartide (Italy [PNRA 2018_00037]</t>
  </si>
  <si>
    <t>Programma Nazionale di Recherche in Antartide (Italy</t>
  </si>
  <si>
    <t>This study was funded by the Programma Nazionale di Recherche in Antartide (Italy; Grant PNRA 2018_00037 awarded to Sergio Rocchi, Pisa).</t>
  </si>
  <si>
    <t>10.3389/feart.2022.1061515</t>
  </si>
  <si>
    <t>8K3IM</t>
  </si>
  <si>
    <t>WOS:000922999600001</t>
  </si>
  <si>
    <t>Xiao, Y; Yan, FF; Cui, YK; Du, JT; Hu, GZ; Zhai, WY; Liu, RL; Zhang, ZZ; Fang, JS; Chen, LB; Yu, X</t>
  </si>
  <si>
    <t>Xiao, Yu; Yan, Fangfang; Cui, Yukun; Du, Jiangtao; Hu, Guangzhao; Zhai, Wanying; Liu, Rulong; Zhang, Zhizhen; Fang, Jiasong; Chen, Liangbiao; Yu, Xi</t>
  </si>
  <si>
    <t>A symbiotic bacterium of Antarctic fish reveals environmental adaptability mechanisms and biosynthetic potential towards antibacterial and cytotoxic activities</t>
  </si>
  <si>
    <t>Antarctic fish; symbiotic bacteria; Serratia; genome; bioactive metabolites</t>
  </si>
  <si>
    <t>IV SECRETION SYSTEM; SERRATIA; DNA; SEQUENCES; GENES</t>
  </si>
  <si>
    <t>Antarctic microbes are important agents for evolutionary adaptation and natural resource of bioactive compounds, harboring the particular metabolic pathways to biosynthesize natural products. However, not much is known on symbiotic microbiomes of fish in the Antarctic zone. In the present study, the culture method and whole-genome sequencing were performed. Natural product analyses were carried out to determine the biosynthetic potential. We report the isolation and identification of a symbiotic bacterium Serratia myotis L7-1, that is highly adaptive and resides within Antarctic fish, Trematomus bernacchii. As revealed by genomic analyses, Antarctic strain S. myotis L7-1 possesses carbohydrate-active enzymes (CAZymes), biosynthetic gene clusters (BGCs), stress response genes, antibiotic resistant genes (ARGs), and a complete type IV secretion system which could facilitate competition and colonization in the extreme Antarctic environment. The identification of microbiome gene clusters indicates the biosynthetic potential of bioactive compounds. Based on bioactivity-guided fractionation, serranticin was purified and identified as the bioactive compound, showing significant antibacterial and antitumor activity. The serranticin gene cluster was identified and located on the chrome. Furthermore, the multidrug resistance and strong bacterial antagonism contribute competitive advantages in ecological niches. Our results highlight the existence of a symbiotic bacterium in Antarctic fish largely represented by bioactive natural products and the adaptability to survive in the fish living in Antarctic oceans.</t>
  </si>
  <si>
    <t>[Xiao, Yu; Yan, Fangfang; Cui, Yukun; Du, Jiangtao; Hu, Guangzhao; Liu, Rulong; Fang, Jiasong; Yu, Xi] Shanghai Ocean Univ, Coll Marine Sci, Shanghai Engn Res Ctr Hadal Sci &amp; Technol, Shanghai, Peoples R China; [Zhai, Wanying; Chen, Liangbiao] Shanghai Ocean Univ, Int Res Ctr Marine Biosci, Minist Sci &amp; Technol, Shanghai, Peoples R China; [Zhang, Zhizhen] Zhejiang Univ, Ocean Coll, Zhoushan Campus, Zhoushan, Peoples R China</t>
  </si>
  <si>
    <t>Shanghai Ocean University; Shanghai Ocean University; Zhejiang University</t>
  </si>
  <si>
    <t>Yu, X (corresponding author), Shanghai Ocean Univ, Coll Marine Sci, Shanghai Engn Res Ctr Hadal Sci &amp; Technol, Shanghai, Peoples R China.;Chen, LB (corresponding author), Shanghai Ocean Univ, Int Res Ctr Marine Biosci, Minist Sci &amp; Technol, Shanghai, Peoples R China.</t>
  </si>
  <si>
    <t>lbchen@shou.edu.cn; xyu@shou.edu.cn</t>
  </si>
  <si>
    <t>10.3389/fmicb.2022.1085063</t>
  </si>
  <si>
    <t>8D8JZ</t>
  </si>
  <si>
    <t>WOS:000918534500001</t>
  </si>
  <si>
    <t>Sliwinska, KK; Coxall, HK; Hutchinson, DK; Liebrand, D; Schouten, S; de Boer, AM</t>
  </si>
  <si>
    <t>Sliwinska, Kasia K.; Coxall, Helen K.; Hutchinson, David K.; Liebrand, Diederik; Schouten, Stefan; de Boer, Agatha M.</t>
  </si>
  <si>
    <t>Sea surface temperature evolution of the North Atlantic Ocean across the Eocene-Oligocene transition</t>
  </si>
  <si>
    <t>MERIDIONAL OVERTURNING CIRCULATION; DEEP-WATER PRODUCTION; TETRAETHER LIPIDS; DRAKE PASSAGE; TEX86; ONSET; CLIMATE; GREENLAND; RECORD; MARINE</t>
  </si>
  <si>
    <t>A major step in the long-term Cenozoic evolution toward a glacially driven climate occurred at the Eocene-Oligocene transition (EOT), similar to 34:44 to 33.65 million years ago (Ma). Evidence for high-latitude cooling and increased latitudinal temperature gradients across the EOT has been found in a range of marine and terrestrial environments. However, the timing and magnitude of temperature change in the North Atlantic remains highly unconstrained. Here, we use two independent organic geochemical palaeothermometers to reconstruct sea surface temperatures (SSTs) from the southern Labrador Sea (Ocean Drilling Program - ODP Site 647) across the EOT. The new SST records, now the most detailed for the North Atlantic through the 1 Myr leading up to the EOT onset, reveal a distinctive cooling step of similar to 3 degrees C (from 27 to 24 degrees C), between 34.9 and 34.3 Ma, which is similar to 500 kyr prior to Antarctic glaciation. This cooling step, when compared visually to other SST records, is asynchronous across Atlantic sites, signifying considerable spatiotemporal variability in regional SST evolution. However, overall, it fits within a phase of general SST cooling recorded across sites in the North Atlantic in the 5 Myr bracketing the EOT. Such cooling might be unexpected in light of proxy and modelling studies suggesting the start-up of the Atlantic Meridional Overturning Circulation (AMOC) before the EOT, which should warm the North Atlantic. Results of an EOT modelling study (GFDL CM2.1) help reconcile this, finding that a reduction in atmospheric CO2 from 800 to 400 ppm may be enough to counter the warming from an AMOC start-up, here simulated through Arctic-Atlantic gateway closure. While the model simulations applied here are not yet in full equilibrium, and the experiments are idealised, the results, together with the proxy data, highlight the heterogeneity of basin-scale surface ocean responses to the EOT thermohaline changes, with sharp temperature contrasts expected across the northern North Atlantic as positions of the subtropical and subpolar gyre systems shift. Suggested future work includes increasing spatial coverage and resolution of regional SST proxy records across the North Atlantic to identify likely thermohaline fingerprints of the EOT AMOC start-up, as well as critical analysis of the causes of inter-model responses to help better understand the driving mechanisms.</t>
  </si>
  <si>
    <t>[Sliwinska, Kasia K.] Geol Survey Denmark &amp; Greenland GEUS, Dept Geoenergy &amp; Storage, Oster Voldgade 10, DK-1350 Copenhagen, Denmark; [Sliwinska, Kasia K.; Schouten, Stefan] NIOZ Royal Netherlands Inst Sea Res, Dept Marine Microbiol &amp; Biogeochem, Landsdiep 4, NL-1797 SZ Thorntje, Texel, Netherlands; [Coxall, Helen K.; Hutchinson, David K.; de Boer, Agatha M.] Stockholm Univ, Dept Geol Sci, Arrhenius Vag 8, S-11418 Stockholm, Sweden; [Coxall, Helen K.; de Boer, Agatha M.] Stockholm Univ, Bolin Ctr Climate Res, Stockholm, Sweden; [Hutchinson, David K.] Univ New South Wales, Climate Change Res Ctr, Sydney, NSW 2052, Australia; [Liebrand, Diederik] Natl Oceanog Ctr, European Way, Southampton SO14 3ZH, England; [Schouten, Stefan] Univ Utrecht, Fac Geosci, Dept Earth Sci, Vening Meinesz Bldg A,Princetonlaan 8a, NL-3584 CB Utrecht, Netherlands</t>
  </si>
  <si>
    <t>Geological Survey Of Denmark &amp; Greenland; Utrecht University; Royal Netherlands Institute for Sea Research (NIOZ); Stockholm University; University of New South Wales Sydney; NERC National Oceanography Centre; University of Southampton; Utrecht University</t>
  </si>
  <si>
    <t>Sliwinska, KK (corresponding author), Geol Survey Denmark &amp; Greenland GEUS, Dept Geoenergy &amp; Storage, Oster Voldgade 10, DK-1350 Copenhagen, Denmark.;Sliwinska, KK (corresponding author), NIOZ Royal Netherlands Inst Sea Res, Dept Marine Microbiol &amp; Biogeochem, Landsdiep 4, NL-1797 SZ Thorntje, Texel, Netherlands.;de Boer, AM (corresponding author), Stockholm Univ, Dept Geol Sci, Arrhenius Vag 8, S-11418 Stockholm, Sweden.;de Boer, AM (corresponding author), Stockholm Univ, Bolin Ctr Climate Res, Stockholm, Sweden.</t>
  </si>
  <si>
    <t>kksl@geus.dk; agatha.deboer@geo.su.se</t>
  </si>
  <si>
    <t>Śliwińska, Kasia Kamila/G-9097-2018; De Boer, Agatha M/H-4202-2012; Hutchinson, David/F-4564-2016</t>
  </si>
  <si>
    <t>Śliwińska, Kasia Kamila/0000-0001-5488-8832; Hutchinson, David/0000-0001-9385-4782</t>
  </si>
  <si>
    <t>Natur og Univers, Det Frie Forskningsrad [11-107497]; Svenska Vetenskapsradet [2016-03912, 2020-04791, 2018-05973, 2008-2859]; Svenska Forskningsradet Formas [2018-01621]; Australian Research Council grant [DE220100279]; Netherlands Earth System Science Centre [024.002.001]; Ministerie van Onderwijs, Cultuur en Wetenschap [024.002.001]; NERC [NE/S00954X/1] Funding Source: UKRI; Swedish Research Council [2016-03912, 2020-04791] Funding Source: Swedish Research Council; Formas [2018-01621] Funding Source: Formas; Australian Research Council [DE220100279] Funding Source: Australian Research Council</t>
  </si>
  <si>
    <t>Natur og Univers, Det Frie Forskningsrad(Det Frie Forskningsrad (DFF)); Svenska Vetenskapsradet(Swedish Research Council); Svenska Forskningsradet Formas(Swedish Research Council Formas); Australian Research Council grant(Australian Research Council); Netherlands Earth System Science Centre; Ministerie van Onderwijs, Cultuur en Wetenschap; NERC(UK Research &amp; Innovation (UKRI)Natural Environment Research Council (NERC)); Swedish Research Council(Swedish Research Council); Formas(Swedish Research Council Formas); Australian Research Council(Australian Research Council)</t>
  </si>
  <si>
    <t>This research has been supported by the Natur og Univers, Det Frie Forskningsrad (grant no. 11-107497); the Svenska Vetenskapsradet (grant nos. 2016-03912, 2020-04791, 2018-05973, and 2008-2859); the Svenska Forskningsradet Formas (grant no. 2018-01621); the Australian Research Council grant (DE220100279); the Netherlands Earth System Science Centre (grant no. 024.002.001); and the Ministerie van Onderwijs, Cultuur en Wetenschap (grant no. 024.002.001).</t>
  </si>
  <si>
    <t>10.5194/cp-19-123-2023</t>
  </si>
  <si>
    <t>7W3BF</t>
  </si>
  <si>
    <t>WOS:000913387300001</t>
  </si>
  <si>
    <t>Song, PY; Sidorenko, D; Scholz, P; Thomas, M; Lohmann, G</t>
  </si>
  <si>
    <t>Song, Pengyang; Sidorenko, Dmitry; Scholz, Patrick; Thomas, Maik; Lohmann, Gerrit</t>
  </si>
  <si>
    <t>The tidal effects in the Finite-volumE Sea ice-Ocean Model (FESOM2.1): a comparison between parameterised tidal mixing and explicit tidal forcing</t>
  </si>
  <si>
    <t>MERIDIONAL OVERTURNING CIRCULATION; NUMERICAL-MODEL; CLIMATE MODEL; TIDES; IMPACT; ENERGY; DISSIPATION; VARIABILITY; TOPOGRAPHY; GENERATION</t>
  </si>
  <si>
    <t>Tides are proved to have a significant effect on the ocean and climate. Previous modelling research either adds a tidal mixing parameterisation or an explicit tidal forcing to the ocean models. However, no research compares the two approaches in the same framework. Here we implement both schemes in a general ocean circulation model and assess both methods by comparing the results. The aspects for comparison involve hydrography, sea ice, meridional overturning circulation (MOC), vertical diffusivity, barotropic streamfunction and energy diagnostics. We conclude that although the mesh resolution is poor in resolving internal tides in most mid-latitude and shelf-break areas, explicit tidal forcing still shows stronger tidal mixing at the Kuril-Aleutian Ridge and the Indonesian Archipelago than the tidal mixing parameterisation. Beyond that, the explicit tidal forcing method leads to a stronger upper cell of the Atlantic MOC by enhancing the Pacific MOC and the Indonesian Throughflow. Meanwhile, the tidal mixing parameterisation leads to a stronger lower cell of the Atlantic MOC due to the tidal mixing in deep oceans. Both methods maintain the Antarctic Circumpolar Current at a higher level than the control run by increasing the meridional density gradient. We also show several phenomena that are not considered in the tidal mixing parameterisation, for example, the changing of energy budgets in the ocean system, the bottom drag induced mixing on the continental shelves and the sea ice transport by tidal motions. Due to the limit of computational capacity, an internal-tide-resolving simulation is not feasible for climate studies. However, a high-resolution short-term tidal simulation is still required to improve parameters and parameterisation schemes in climate studies.</t>
  </si>
  <si>
    <t>[Song, Pengyang; Sidorenko, Dmitry; Scholz, Patrick; Lohmann, Gerrit] Alfred Wegener Inst, Helmholtz Ctr Polar &amp; Marine Res AWI, Bremerhaven, Germany; [Thomas, Maik] Helmholtz Ctr Potsdam, GFZ German Res Ctr Geosci, Potsdam, Germany; [Thomas, Maik] Free Univ Berlin, Inst Meteorol, Berlin, Germany; [Lohmann, Gerrit] Univ Bremen, Ctr Marine Environm Sci, MARUM, Bremen, Germany</t>
  </si>
  <si>
    <t>Helmholtz Association; Alfred Wegener Institute, Helmholtz Centre for Polar &amp; Marine Research; Helmholtz Association; Helmholtz-Center Potsdam GFZ German Research Center for Geosciences; Free University of Berlin; University of Bremen</t>
  </si>
  <si>
    <t>Song, PY (corresponding author), Alfred Wegener Inst, Helmholtz Ctr Polar &amp; Marine Res AWI, Bremerhaven, Germany.</t>
  </si>
  <si>
    <t>pengyang.song@awi.de</t>
  </si>
  <si>
    <t>; Lohmann, Gerrit/M-7453-2016</t>
  </si>
  <si>
    <t>Scholz, Patrick/0000-0003-2692-7624; Song, Pengyang/0000-0003-1791-9454; Lohmann, Gerrit/0000-0003-2089-733X</t>
  </si>
  <si>
    <t>China Scholarship Council [201906330073]; Helmholtz programme Changing Earth - Sustaining our Future</t>
  </si>
  <si>
    <t>China Scholarship Council(China Scholarship Council); Helmholtz programme Changing Earth - Sustaining our Future</t>
  </si>
  <si>
    <t>This research has been supported by the China Scholarship Council (grant no. 201906330073). Gerrit Lohmann and Maik Thomas received funding through the Helmholtz programme Changing Earth - Sustaining our Future.</t>
  </si>
  <si>
    <t>10.5194/gmd-16-383-2023</t>
  </si>
  <si>
    <t>7V3FV</t>
  </si>
  <si>
    <t>WOS:000912703800001</t>
  </si>
  <si>
    <t>Douce, P; Saiz, H; Benot, ML; Mermillod-Blondin, F; Simon, L; Renault, D; Vallier, F; Oury, Y; Fontaine, M; Bittebiere, AK</t>
  </si>
  <si>
    <t>Douce, Pauline; Saiz, Hugo; Benot, Marie-Lise; Mermillod-Blondin, Florian; Simon, Laurent; Renault, David; Vallier, Felix; Oury, Yoann; Fontaine, Matthieu; Bittebiere, Anne-Kristel</t>
  </si>
  <si>
    <t>Functional characteristics rather than co-occurrences determine the outcome of interactions between neighbouring plants in sub-Antarctic ponds: Consequences for macrophyte community biomass</t>
  </si>
  <si>
    <t>FRESHWATER BIOLOGY</t>
  </si>
  <si>
    <t>abiotic filters; community performance; functional traits; local spatial arrangement; species coexistence</t>
  </si>
  <si>
    <t>SPATIAL-PATTERN ANALYSIS; SPECIES RICHNESS; INTERSPECIFIC COMPETITION; POSITIVE INTERACTIONS; ENVIRONMENTAL-FACTORS; AQUATIC MACROPHYTES; CLIMATE-CHANGE; ECOSYSTEM; DIVERSITY; TRAITS</t>
  </si>
  <si>
    <t>Understanding of the mechanisms underlying species coexistence within plant communities is crucial to predict their fate given the current context of biodiversity loss. Freshwater ecosystems are among the most abiotically constrained habitats because they harbour clonal macrophyte communities. Strong habitat filtering in these ecosystems influences the functional composition and diversity of macrophyte communities, determining the outcome of interactions between neighbours and ultimately affecting local spatial arrangement between neighbours (LSA). This influence may be modulated by environmental conditions in abiotically constrained habitats, such as freshwater ecosystems. We focused on macrophyte communities living in ponds in the Iles Kerguelen, in the sub-Antarctic. These freshwater ecosystems are especially abiotically constrained (cold climate), and their plant communities are remarkably species-poor, simplifying the study of interactions between neighbours. We measured several abiotic variables in the ponds, species LSA and interspecific interactions (using the log response ratio metric), and the functional composition of the community using aerial, root and clonal traits. We also determined the biomass of the whole macrophyte community. Our results showed that LSA does not effectively assess interactions between neighbours at very small scales, neither at the community (one species vs. all neighbouring species) nor the species level (between pairs of species). Secondly, aerial (leaf and stem) and root traits related to resource acquisition played a more important role in interactions between neighbours than clonal traits (i.e. internode length and specific internode mass related to space acquisition and resource storage, respectively). Depending on the target species, (1) interactions responded positively or negatively to mean trait and functional diversity of the community; and (2) different traits of neighbours (aerial or root traits) triggered an interaction response. Lastly, abiotic variables, in particular water temperature and light intensity, influenced macrophyte community biomass and plant community structure (i.e. species richness, functional diversity and LSA), either directly or through the modulation of other abiotic variables. Our results lead to the following conclusions: (1) interactions between neighbours do not reflect their local spatial arrangements but are strongly associated with abiotic variables and neighbourhood functional traits (depending on species); (2) joint integration of biotic and abiotic variables in multivariate analyses enables better inference of biodiversity responses to environment, and the subsequent consequences for ecosystem function, especially in the context of climate change.</t>
  </si>
  <si>
    <t>[Douce, Pauline; Mermillod-Blondin, Florian; Simon, Laurent; Vallier, Felix; Bittebiere, Anne-Kristel] Univ Lyon, Univ Claude Bernard Lyon 1, CNRS, ENTPE,UMR5023 LEHNA, Villeurbanne, France; [Saiz, Hugo] Univ Bern, Inst Plant Sci, Bern, Switzerland; [Saiz, Hugo] Univ Zaragoza, Inst Univ Invest Ciencias Ambientales Aragon IUCA, Escuela Politecn Super, Dept Ciencias Agr &amp; Medio Nat, Huesca, Spain; [Benot, Marie-Lise] Univ Bordeaux, INRAE, BIOGECO, Pessac, France; [Renault, David] Univ Rennes, CNRS, ECOBIO Ecosyst Biodivers Evolut, UMR 6553, Rennes, France; [Renault, David] Inst Univ France, Paris, France; [Oury, Yoann] Inst Polaire Francais Paul Emile Victor, Plouzane, France; [Douce, Pauline] Univ Lyon, Univ Claude Bernard Lyon 1, CNRS, ENTPE,UMR 5023 LEHNA, F-69622 Villeurbanne, France</t>
  </si>
  <si>
    <t>Centre National de la Recherche Scientifique (CNRS); Universite Claude Bernard Lyon 1; CNRS - Institute of Ecology &amp; Environment (INEE); University of Bern; University of Zaragoza; Universite de Bordeaux; INRAE; Universite de Rennes; Centre National de la Recherche Scientifique (CNRS); CNRS - Institute of Ecology &amp; Environment (INEE); Institut Universitaire de France; Centre National de la Recherche Scientifique (CNRS); CNRS - Institute of Ecology &amp; Environment (INEE); Universite Claude Bernard Lyon 1</t>
  </si>
  <si>
    <t>Douce, P (corresponding author), Univ Lyon, Univ Claude Bernard Lyon 1, CNRS, ENTPE,UMR 5023 LEHNA, F-69622 Villeurbanne, France.</t>
  </si>
  <si>
    <t>pauline.douce@univ-lyon1.fr</t>
  </si>
  <si>
    <t>Saiz, Hugo/K-8724-2014; Bittebiere, Anne-Kristel/HOH-9209-2023; Simon, Laurent/B-4641-2009</t>
  </si>
  <si>
    <t>Simon, Laurent/0000-0003-1389-9871</t>
  </si>
  <si>
    <t>Agence Nationale de la Recherche [ANR- 21-CE02- 0003-01]; Institut Polaire Francais Paul Emile Victor [136]; BiodivERsA ASICS project [ANR-20-EBI5-000 4]; Agence Nationale de la Recherche (ANR) [ANR-21-CE02-0003] Funding Source: Agence Nationale de la Recherche (ANR)</t>
  </si>
  <si>
    <t>Agence Nationale de la Recherche(Agence Nationale de la Recherche (ANR)); Institut Polaire Francais Paul Emile Victor; BiodivERsA ASICS project; Agence Nationale de la Recherche (ANR)(Agence Nationale de la Recherche (ANR))</t>
  </si>
  <si>
    <t>Agence Nationale de la Recherche, Grant/Award Number: ANR- 21-CE02- 0003-01; Institut Polaire Francais Paul Emile Victor, Grant/Award Number: 136; BiodivERsA ASICS project, Grant/Award Number: ANR-20-EBI5-000 4</t>
  </si>
  <si>
    <t>0046-5070</t>
  </si>
  <si>
    <t>1365-2427</t>
  </si>
  <si>
    <t>FRESHWATER BIOL</t>
  </si>
  <si>
    <t>Freshw. Biol.</t>
  </si>
  <si>
    <t>10.1111/fwb.14047</t>
  </si>
  <si>
    <t>Q5ST4</t>
  </si>
  <si>
    <t>WOS:000913607100001</t>
  </si>
  <si>
    <t>Flyen, AC; Thuestad, AE</t>
  </si>
  <si>
    <t>Flyen, Anne-Cathrine; Thuestad, Alma Elizabeth</t>
  </si>
  <si>
    <t>A Review of Fungal Decay in Historic Wooden Structures in Polar Regions</t>
  </si>
  <si>
    <t>CONSERVATION AND MANAGEMENT OF ARCHAEOLOGICAL SITES</t>
  </si>
  <si>
    <t>Antarctic; High Arctic; cultural heritage; biological degradation; fungal decay</t>
  </si>
  <si>
    <t>ROSS ISLAND; MICROBIAL DETERIORATION; ARCHAEOLOGICAL WOOD; CULTURAL-HERITAGE; EXPEDITION HUTS; CLIMATE-CHANGE; DIVERSITY; PERMAFROST; SOILS; ANTARCTICA</t>
  </si>
  <si>
    <t>Biological deterioration is a significant threat to wooden cultural heritage in polar regions. Based on a comprehensive review of previous and current research, we provide an overview of current knowledge of wood-decaying fungi and fungal decay in historic wooden structures in Antarctica and the High Arctic. Most available research focuses on degradation mechanisms, providing data on microbial biodiversity and factors influencing deterioration of the historic polar heritage. Less is reported on decay rates and consequences for cultural heritage, such as the type and severity of damage, causes, repair, and conservation methods. The effects of climate change improve conditions for fungal decay, and thus more severe damage must be expected. Consequently, further research and development should concentrate on these challenges to promote conservation of polar cultural heritage and sustainable heritage management. Greater cooperation between researchers across disciplines in polar regions may be of key importance to improve insights and treatments for polar wooden heritage.</t>
  </si>
  <si>
    <t>[Flyen, Anne-Cathrine] Norwegian Inst, Cultural Heritage Res, Bldg Dept, Oslo, Norway; [Thuestad, Alma Elizabeth] Norwegian Inst, Cultural Heritage Res, High North Dept, Tromso, Norway</t>
  </si>
  <si>
    <t>Flyen, AC (corresponding author), Norwegian Inst, Cultural Heritage Res, Bldg Dept, Oslo, Norway.</t>
  </si>
  <si>
    <t>anne.flyen@niku.no</t>
  </si>
  <si>
    <t>Flyen, Anne-Cathrine/AIB-4701-2022; Thuestad, Alma Elizabeth/I-1714-2018</t>
  </si>
  <si>
    <t>Flyen, Anne-Cathrine/0000-0001-8726-3687; Thuestad, Alma Elizabeth/0000-0003-4996-5658</t>
  </si>
  <si>
    <t>1350-5033</t>
  </si>
  <si>
    <t>1753-5522</t>
  </si>
  <si>
    <t>CONSERV MANAGE ARCHA</t>
  </si>
  <si>
    <t>Conserv. Manag. Archaeol. Sites</t>
  </si>
  <si>
    <t>1-3</t>
  </si>
  <si>
    <t>10.1080/13505033.2022.2156145</t>
  </si>
  <si>
    <t>Archaeology</t>
  </si>
  <si>
    <t>MA2R7</t>
  </si>
  <si>
    <t>WOS:000911546000001</t>
  </si>
  <si>
    <t>Sarris, TE; Tourgaidis, S; Pirnaris, P; Baloukidis, D; Papadakis, K; Psychalas, C; Buchert, SC; Doornbos, E; Clilverd, MA; Verronen, PT; Malaspina, D; Ahmadi, N; Dandouras, I; Kotova, A; Miloch, WJ; Knudsen, D; Olsen, N; Marghitu, O; Matsuo, T; Lu, G; Marchaudon, A; Hoffmann, A; Lajas, D; Stromme, A; Taylor, M; Aikio, A; Palmroth, M; Heelis, R; Ivchenko, N; Stolle, C; Kervalishvili, G; Moretto-Jorgensen, T; Pfaff, R; Siemes, C; Visser, P; van den Ijssel, J; Liu, HL; Sandberg, I; Papadimitriou, C; Vogt, J; Blagau, A; Stachlys, N</t>
  </si>
  <si>
    <t>Sarris, Theodore E.; Tourgaidis, Stelios; Pirnaris, Panagiotis; Baloukidis, Dimitris; Papadakis, Konstantinos; Psychalas, Christos; Buchert, Stephan Christoph; Doornbos, Eelco; Clilverd, Mark A.; Verronen, Pekka T.; Malaspina, David; Ahmadi, Narghes; Dandouras, Iannis; Kotova, Anna; Miloch, Wojciech J.; Knudsen, David; Olsen, Nils; Marghitu, Octav; Matsuo, Tomoko; Lu, Gang; Marchaudon, Aurelie; Hoffmann, Alex; Lajas, Dulce; Stromme, Anja; Taylor, Matthew; Aikio, Anita; Palmroth, Minna; Heelis, Roderick; Ivchenko, Nickolay; Stolle, Claudia; Kervalishvili, Guram; Moretto-Jorgensen, Therese; Pfaff, Robert; Siemes, Christian; Visser, Pieter; van den Ijssel, Jose; Liu, Han-Li; Sandberg, Ingmar; Papadimitriou, Constantinos; Vogt, Joachim; Blagau, Adrian; Stachlys, Nele</t>
  </si>
  <si>
    <t>Daedalus MASE (mission assessment through simulation exercise): A toolset for analysis of in situ missions and for processing global circulation model outputs in the lower thermosphere-ionosphere</t>
  </si>
  <si>
    <t>lower thermosphere ionosphere; in situ measurements; global circulation model; daedalus mission; daedalus MASE; GCM; LTI</t>
  </si>
  <si>
    <t>JOULE HEATING RATES; COLLISION FREQUENCIES; ENERGY-TRANSFER; F-REGION; ION; DENSITIES; ELECTRODYNAMICS; WIND</t>
  </si>
  <si>
    <t>Daedalus MASE (Mission Assessment through Simulation Exercise) is an open-source package of scientific analysis tools aimed at research in the Lower Thermosphere-Ionosphere (LTI). It was created with the purpose to assess the performance and demonstrate closure of the mission objectives of Daedalus, a mission concept targeting to perform in-situ measurements in the LTI. However, through its successful usage as a mission-simulator toolset, Daedalus MASE has evolved to encompass numerous capabilities related to LTI science and modeling. Inputs are geophysical observables in the LTI, which can be obtained either through in-situ measurements from spacecraft and rockets, or through Global Circulation Models (GCM). These include ion, neutral and electron densities, ion and neutral composition, ion, electron and neutral temperatures, ion drifts, neutral winds, electric field, and magnetic field. In the examples presented, these geophysical observables are obtained through NCAR's Thermosphere-Ionosphere-Electrodynamics General Circulation Model. Capabilities of Daedalus MASE include: 1) Calculations of products that are derived from the above geophysical observables, such as Joule heating, energy transfer rates between species, electrical currents, electrical conductivity, ion-neutral collision frequencies between all combinations of species, as well as height-integrations of derived products. 2) Calculation and cross-comparison of collision frequencies and estimates of the effect of using different models of collision frequencies into derived products. 3) Calculation of the uncertainties of derived products based on the uncertainties of the geophysical observables, due to instrument errors or to uncertainties in measurement techniques. 4) Routines for the along-orbit interpolation within gridded datasets of GCMs. 5) Routines for the calculation of the global coverage of an in situ mission in regions of interest and for various conditions of solar and geomagnetic activity. 6) Calculations of the statistical significance of obtaining the primary and derived products throughout an in situ mission's lifetime. 7) Routines for the visualization of 3D datasets of GCMs and of measurements along orbit. Daedalus MASE code is accompanied by a set of Jupyter Notebooks, incorporating all required theory, references, codes and plotting in a user-friendly environment. Daedalus MASE is developed and maintained at the Department for Electrical and Computer Engineering of the Democritus University of Thrace, with key contributions from several partner institutions.</t>
  </si>
  <si>
    <t>[Sarris, Theodore E.; Tourgaidis, Stelios; Pirnaris, Panagiotis; Baloukidis, Dimitris; Papadakis, Konstantinos; Psychalas, Christos] Democritus Univ Thrace, Dept Elect Comp Engn, Xanthi, Greece; [Papadakis, Konstantinos; Palmroth, Minna] Univ Helsinki, Dept Phys, Helsinki, Finland; [Buchert, Stephan Christoph] Swedish Inst Space Phys IRF, Uppsala, Sweden; [Doornbos, Eelco] Royal Netherlands Meteorol Inst KNMI, Utrecht, Netherlands; [Clilverd, Mark A.] British Antarctic Survey UKRI NERC, Cambridge, England; [Verronen, Pekka T.] Finnish Meteorol Inst, Space &amp; Earth Observat Ctr, Helsinki, Finland; [Malaspina, David; Ahmadi, Narghes] Univ Colorado, Lab Atmospher &amp; Space Phys, Boulder, CO USA; [Dandouras, Iannis; Kotova, Anna; Marchaudon, Aurelie] Univ Toulouse, IRAP, CNRS CNES, Toulouse, France; [Miloch, Wojciech J.] Univ Oslo, Dept Phys, Oslo, Norway; [Knudsen, David] Univ Calgary, Dept Phys &amp; Astron, Calgary, AB, Canada; [Olsen, Nils] Tech Univ Denmark, DTU Space, Copenhagen, Denmark; [Marghitu, Octav; Blagau, Adrian] Inst Space Sci, Bucharest, Romania; [Matsuo, Tomoko] Ann &amp; HJ Smead Dept Aerosp Engn Sci, Boulder, CO USA; [Lu, Gang; Liu, Han-Li] Natl Ctr Atmospher Res, High Altitude Observ, Boulder, CO USA; [Hoffmann, Alex; Lajas, Dulce; Stromme, Anja; Taylor, Matthew] European Space Agcy, European Space Res &amp; Technol Ctr, Noordwijk, Netherlands; [Aikio, Anita] Univ Oulu, Space Phys &amp; Astron Res Unit, Oulu, Finland; [Heelis, Roderick] Univ Texas Dallas, Ctr Space Sci, Dallas, TX USA; [Ivchenko, Nickolay] Royal Inst Technol KTH, Div Space &amp; Plasma Phys, Stockholm, Sweden; [Stolle, Claudia] Leibniz Inst Atmospher Phys, Rostock, Germany; [Kervalishvili, Guram] GFZ German Res Ctr Geosci, Potsdam, Germany; [Moretto-Jorgensen, Therese] NASA Ames Res Ctr, Moffett Field, CA USA; [Pfaff, Robert] NASA Goddard Space Flight Ctr, Heliophys Sci Div, Greenbelt, MD USA; [Siemes, Christian; Visser, Pieter; van den Ijssel, Jose] Delft Univ Technol, Fac Aerosp Engn, Delft, Netherlands; [Sandberg, Ingmar; Papadimitriou, Constantinos] Space Applicat Res Consultancy, Athens, Greece; [Vogt, Joachim; Stachlys, Nele] Jacobs Univ Bremen, Sch Sci, Bremen, Germany</t>
  </si>
  <si>
    <t>Democritus University of Thrace; University of Helsinki; Royal Netherlands Meteorological Institute; UK Research &amp; Innovation (UKRI); Natural Environment Research Council (NERC); NERC British Antarctic Survey; Finnish Meteorological Institute; University of Colorado System; University of Colorado Boulder; Universite de Toulouse; Universite Toulouse III - Paul Sabatier; Centre National de la Recherche Scientifique (CNRS); University of Oslo; University of Calgary; Technical University of Denmark; Institute of Space Science; National Center Atmospheric Research (NCAR) - USA; European Space Agency; University of Oulu; University of Texas System; University of Texas Dallas; Royal Institute of Technology; Leibniz Institut fur Atmospharenphysik e.V. an der Universitat Rostock (IAP); Helmholtz Association; Helmholtz-Center Potsdam GFZ German Research Center for Geosciences; National Aeronautics &amp; Space Administration (NASA); NASA Ames Research Center; National Aeronautics &amp; Space Administration (NASA); NASA Goddard Space Flight Center; Delft University of Technology; Jacobs University</t>
  </si>
  <si>
    <t>Sarris, TE (corresponding author), Democritus Univ Thrace, Dept Elect Comp Engn, Xanthi, Greece.</t>
  </si>
  <si>
    <t>tsarris@ee.duth.gr</t>
  </si>
  <si>
    <t>European Space Agency; DUTH project [4000127346, KE82372]; Hellenic Foundation for Research and Innovation (HFRI) under the HFRI PhD Fellowship [KE82875]; [400]</t>
  </si>
  <si>
    <t>European Space Agency(European Space Agency); DUTH project; Hellenic Foundation for Research and Innovation (HFRI) under the HFRI PhD Fellowship;</t>
  </si>
  <si>
    <t>Funding for the development of the modules in DaedalusMASE was provided by the European Space Agency under contract number 4000127346 to the Democritus University of Thrace (study title: Daedalus Phase-0 Science and Requirements Consolidation Study). The research work by TS was supported by DUTH project KE82875. The research work by ST was supported by the Hellenic Foundation for Research and Innovation (HFRI) under the HFRI PhD Fellowship grant (Fellowship Number: 400), and DUTH project KE82372.</t>
  </si>
  <si>
    <t>JAN 12</t>
  </si>
  <si>
    <t>10.3389/fspas.2022.1048318</t>
  </si>
  <si>
    <t>T3HI2</t>
  </si>
  <si>
    <t>WOS:001076923700001</t>
  </si>
  <si>
    <t>Jones, TR; Cuffey, KM; Roberts, WHG; Markle, BR; Steig, EJ; Stevens, CM; Valdes, PJ; Fudge, TJ; Sigl, M; Hughes, AG; Morris; Vaughn, BH; Garland, J; Vinther, BM; Rozmiarek, KS; Brashear, CA; White, JWC</t>
  </si>
  <si>
    <t>Jones, Tyler R.; Cuffey, Kurt M.; Roberts, William H. G.; Markle, Bradley R.; Steig, Eric J.; Stevens, C. Max; Valdes, Paul J.; Fudge, T. J.; Sigl, Michael; Hughes, Abigail G.; Morris, Valerie; Vaughn, Bruce H.; Garland, Joshua; Vinther, Bo M.; Rozmiarek, Kevin S.; Brashear, Chloe A.; White, James W. C.</t>
  </si>
  <si>
    <t>Seasonal temperatures in West Antarctica during the Holocene</t>
  </si>
  <si>
    <t>ICE-SHEET; CLIMATE VARIABILITY; GLACIAL CYCLES; ISOTOPIC DIFFUSION; LATE PLEISTOCENE; SEA-LEVEL; CORE; MODEL; INSOLATION; HISTORY</t>
  </si>
  <si>
    <t>The recovery of long-term climate proxy records with seasonal resolution is rare because of natural smoothing processes, discontinuities and limitations in measurement resolution. Yet insolation forcing, a primary driver of multimillennial-scale climate change, acts through seasonal variations with direct impacts on seasonal climate(1). Whether the sensitivity of seasonal climate to insolation matches theoretical predictions has not been assessed over long timescales. Here, we analyse a continuous record of water-isotope ratios from the West Antarctic Ice Sheet Divide ice core to reveal summer and winter temperature changes through the last 11,000 years. Summer temperatures in West Antarctica increased through the early-to-mid-Holocene, reached a peak 4,100 years ago and then decreased to the present. Climate model simulations show that these variations primarily reflect changes in maximum summer insolation, confirming the general connection between seasonal insolation and warming and demonstrating the importance of insolation intensity rather than seasonally integrated insolation or season duration(2,3). Winter temperatures varied less overall, consistent with predictions from insolation forcing, but also fluctuated in the early Holocene, probably owing to changes in meridional heat transport. The magnitudes of summer and winter temperature changes constrain the lowering of the West Antarctic Ice Sheet surface since the early Holocene to less than 162 m and probably less than 58 m, consistent with geological constraints elsewhere in West Antarctica(4-7).</t>
  </si>
  <si>
    <t>[Jones, Tyler R.; Markle, Bradley R.; Hughes, Abigail G.; Morris, Valerie; Vaughn, Bruce H.; Rozmiarek, Kevin S.; Brashear, Chloe A.] Univ Colorado, Inst Arctic &amp; Alpine Res, Boulder, CO 80309 USA; [Cuffey, Kurt M.] Univ Calif Berkeley, Dept Geog, Berkeley, CA USA; [Roberts, William H. G.] Northumbria Univ, Geog &amp; Environm Sci, Newcastle Upon Tyne, England; [Markle, Bradley R.; Hughes, Abigail G.; Rozmiarek, Kevin S.] Univ Colorado, Dept Geol Sci, Boulder, CO USA; [Steig, Eric J.] Univ Washington, Dept Earth &amp; Space Sci, Seattle, WA USA; [Stevens, C. Max] NASA, Goddard Space Flight Ctr, Cryospher Sci Lab, Greenbelt, MD USA; [Stevens, C. Max] Univ Maryland, Earth Syst Sci Interdisciplinary Ctr, College Pk, MD USA; [Valdes, Paul J.] Univ Bristol, Sch Geog Sci, Bristol, England; [Sigl, Michael] Univ Bern, Phys Inst, Climate &amp; Environm Phys, Bern, Switzerland; [Sigl, Michael] Univ Bern, Oeschger Ctr Climate Change Res, Bern, Switzerland; [Garland, Joshua] Arizona State Univ, Ctr Narrat Disinformat &amp; Strateg Influence, Tempe, AZ USA; Univ Copenhagen, Niels Bohr Inst, Ctr Ice &amp; Climate, Copenhagen, Denmark; Univ N Carolina, Coll Arts &amp; Sci, Chapel Hill, NC USA</t>
  </si>
  <si>
    <t>University of Colorado System; University of Colorado Boulder; University of California System; University of California Berkeley; Northumbria University; University of Colorado System; University of Colorado Boulder; University of Washington; University of Washington Seattle; National Aeronautics &amp; Space Administration (NASA); NASA Goddard Space Flight Center; University System of Maryland; University of Maryland College Park; University of Bristol; University of Bern; University of Bern; Arizona State University; Arizona State University-Tempe; University of Copenhagen; Niels Bohr Institute; University of North Carolina; University of North Carolina Chapel Hill</t>
  </si>
  <si>
    <t>Jones, TR (corresponding author), Univ Colorado, Inst Arctic &amp; Alpine Res, Boulder, CO 80309 USA.</t>
  </si>
  <si>
    <t>tyler.jones@colorado.edu</t>
  </si>
  <si>
    <t>Steig, Eric J/G-9088-2015; Rozmiarek, Kevin/IQT-9712-2023; White, James W.C./A-7845-2009</t>
  </si>
  <si>
    <t>Sigl, Michael/0000-0002-9028-9703; Stevens, Christopher Max/0000-0003-2005-0876; Valdes, Paul/0000-0002-1902-3283; Markle, Bradley/0000-0002-2282-6546; JONES, TYLER/0000-0003-1871-2105; Vinther, Bo/0000-0002-6078-771X; Fudge, Tyler/0000-0002-6818-7479; Hughes, Abigail/0000-0002-2776-7274</t>
  </si>
  <si>
    <t>US National Science Foundation (NSF) [0537593, 0537661, 0537930, 0539232, 1043092, 1043167, 1043518, 1142166, 1807478]; University of New Hampshire, USA (NSF) [0230396, 0440817, 0944266, 0944348]; Ice Drilling Program Office; Martin Family Foundation; Oswald, University of Northumbria; European Research Council Grant under the European Union [820047]; Ice Drilling Design and Operations group; National Ice Core Laboratory; Antarctic Support Contractor; 109th New York Air National Guard; Leverhulme Trust Research Project Grant; European Research Council (ERC) [820047] Funding Source: European Research Council (ERC)</t>
  </si>
  <si>
    <t>US National Science Foundation (NSF)(National Science Foundation (NSF)); University of New Hampshire, USA (NSF)(National Science Foundation (NSF)); Ice Drilling Program Office; Martin Family Foundation; Oswald, University of Northumbria; European Research Council Grant under the European Union(European Research Council (ERC)); Ice Drilling Design and Operations group; National Ice Core Laboratory; Antarctic Support Contractor; 109th New York Air National Guard; Leverhulme Trust Research Project Grant(Leverhulme Trust); European Research Council (ERC)(European Research Council (ERC)Spanish Government)</t>
  </si>
  <si>
    <t>This work was supported by US National Science Foundation (NSF) grant nos. 0537593, 0537661, 0537930, 0539232, 1043092, 1043167, 1043518, 1142166 and 1807478. Field and logistical activities were managed by the WAIS Divide Science Coordination Office at the Desert Research Institute, Reno, NV, USA, and the University of New Hampshire, USA (NSF grant nos. 0230396, 0440817, 0944266 and 0944348). The NSF Division of Polar Programs funded the Ice Drilling Program Office, the Ice Drilling Design and Operations group, the National Ice Core Laboratory, the Antarctic Support Contractor and the 109th New York Air National Guard. K.M.C. was supported by The Martin Family Foundation. W.H.G.R. was funded by a Leverhulme Trust Research Project Grant. HadCM3 simulations were carried out using the computational facilities of the Advanced Computing Research Centre, University of Bristol (http://www.bris.ac.uk/acrc/) and Oswald, University of Northumbria. M.S. was supported by the European Research Council Grant under the European Union's Horizon 2020 research and innovation program (820047). We thank C. Agosta for providing the MAR outputs. We thank the Stable Isotope Lab at INSTAAR for their collective expertise in helping to measure the water-isotope datasets used in this study.</t>
  </si>
  <si>
    <t>10.1038/s41586-022-05411-8</t>
  </si>
  <si>
    <t>A5YQ9</t>
  </si>
  <si>
    <t>Green Published, hybrid, Green Accepted, Green Submitted</t>
  </si>
  <si>
    <t>WOS:000955880900012</t>
  </si>
  <si>
    <t>Bastías, J; Chew, D; Villanueva, C; Riley, T; Manfroi, J; Trevisan, C; Leppe, M; Castillo, P; Poblete, F; Tetzner, D; Giuliani, G; López, B; Chen, H; Zheng, GG; Zhao, Y; Gao, L; Rauch, A; Jaña, R</t>
  </si>
  <si>
    <t>Bastias, Joaquin; Chew, David; Villanueva, Camila; Riley, Teal; Manfroi, Joseline; Trevisan, Cristine; Leppe, Marcelo; Castillo, Paula; Poblete, Fernando; Tetzner, Dieter; Giuliani, Gregory; Lopez, Bastian; Chen, Hong; Zheng, Guang-Gao; Zhao, Yue; Gao, Liang; Rauch, Anna; Jana, Ricardo</t>
  </si>
  <si>
    <t>The South Shetland Islands, Antarctica: Lithostratigraphy and geological map</t>
  </si>
  <si>
    <t>Antarctica; climate change; antarctic glaciation; geology; stratigraphy; paleobotany</t>
  </si>
  <si>
    <t>KING-GEORGE-ISLAND; CERRO-NEGRO FORMATION; POLONEZ COVE FORMATION; MIERS BLUFF FORMATION; CRETACEOUS BYERS GROUP; U-PB AGES; LIVINGSTON-ISLAND; DECEPTION ISLAND; BARTON PENINSULA; WEST ANTARCTICA</t>
  </si>
  <si>
    <t>Over the last few decades, numerous geological studies have been carried out in the South Shetland Islands, which have greatly contributed to a better understanding of its geological evolution. However, few attempts have been conducted to correlate the geological units throughout this archipelago. We present herein a review of the literature available in the South Shetland Islands, which we use to propose a lithostratigraphical correlation that constitutes a coherent stratigraphy for the main Mesozoic and Cenozoic rocks of the South Shetland Islands along with a new geological map. The lithostratigraphical correlation shows that the geological and environmental evolution comprises three main stages: 1) deep marine sedimentation from similar to 164 to 140 Ma, 2) subaerial volcanism and sedimentation with a proliferation of plants and fauna from similar to 140 to 35 Ma and 3) glacial and interglacial deposits from similar to 35 Ma. The lithostratigraphical correlation also shows a broad geographical trend of decreasing age of volcanism from southwest to northeast, which has been previously suggested. However, this spatial age trend is disrupted by the presence of Eocene magmatism in Livingston Island, located in the centre of the archipelago. We suggest that the migration of volcanism occurred from the Late Cretaceous until the early Eocene. Subsequently, enhanced magmatic activity took place from the mid-Eocene until the Miocene, which we associate with processes related with the waning of subduction. Constraining the protolith age of the metamorphic complex of Smith Island remains challenging, yet holds key implications for the tectonic and accretionary evolution of the Antarctic Peninsula. The rocks recording the glaciation of this sector of Antarctica are well exposed in the northern South Shetland Islands and hold critical information for understanding the timings and processes that lead to the greenhouse to icehouse transition at the end of the Eocene. Finally, contemporaneous rocks to the breakup of Antarctic Peninsula from Patagonia that led to the opening of the Drake Passage and the development of the Scotia Sea are exposed in the centre and north of the South Shetland archipelago. Better constraints on the age and tectonic settings on these units may lead to further understanding the paleobiogeographical evolution of the region, which may have played an important role for speciation as a land bridge between South America and Antarctica. The dataset containing the geological map and associated information is shared as a shapefile or KML file.</t>
  </si>
  <si>
    <t>[Bastias, Joaquin; Chew, David] Trinity Coll Dublin, Dept Geol, Coll Green, Dublin, Ireland; [Bastias, Joaquin; Villanueva, Camila; Lopez, Bastian] Univ Santo Tomas, Carrera Geol, Santiago, Chile; [Bastias, Joaquin] Univ Geneva, Dept Earth Sci, Geneva, Switzerland; [Riley, Teal; Tetzner, Dieter] British Antarctic Survey, Cambridge, England; [Manfroi, Joseline; Trevisan, Cristine; Leppe, Marcelo] Chilean Antarctic Inst INACH, Antarctic &amp; Patagonia Paleobiol Lab, Punta Arenas, Chile; [Castillo, Paula] Westfalische Wilhelms Univ, Inst Geol &amp; Palaontol, Munster, Germany; [Poblete, Fernando] Univ Chile, Dept Geol, Santiago, Chile; [Giuliani, Gregory] Univ Geneva, Inst Environm Sci, Geneva, Switzerland; [Chen, Hong; Zheng, Guang-Gao; Zhao, Yue] Chinese Acad Geol Sci, Inst Geomech, Beijing, Peoples R China; [Gao, Liang] China Univ Geosci, Sch Ocean Sci, Beijing, Peoples R China; [Rauch, Anna] Cartogrip ScRL, Sent, Switzerland; [Jana, Ricardo] Chilean Antarctic Inst INACH, Punta Arenas, Chile</t>
  </si>
  <si>
    <t>Trinity College Dublin; Universidad Santo Tomas; University of Geneva; UK Research &amp; Innovation (UKRI); Natural Environment Research Council (NERC); NERC British Antarctic Survey; University of Munster; Universidad de Chile; University of Geneva; China Geological Survey; Chinese Academy of Geological Sciences; Institute of Geomechanics, Chinese Academy of Geological Sciences; China University of Geosciences</t>
  </si>
  <si>
    <t>Bastías, J (corresponding author), Trinity Coll Dublin, Dept Geol, Coll Green, Dublin, Ireland.;Bastías, J (corresponding author), Univ Santo Tomas, Carrera Geol, Santiago, Chile.;Bastías, J (corresponding author), Univ Geneva, Dept Earth Sci, Geneva, Switzerland.</t>
  </si>
  <si>
    <t>j.bastias.silva@gmail.com</t>
  </si>
  <si>
    <t>Jaña, Ricardo A/D-7543-2013; Leppe, Marcelo/L-5447-2014; Bastias, Joaquin/A-6995-2016; Jaña, Ricardo/AAR-1225-2020; Chew, David M/B-7828-2008</t>
  </si>
  <si>
    <t>Leppe, Marcelo/0000-0002-1545-8167; Bastias, Joaquin/0000-0001-6678-3173; Jaña, Ricardo/0000-0003-3319-1168; Chew, David M/0000-0002-6940-1035; Gao, Liang/0000-0003-3741-9377; Riley, Teal/0000-0002-3333-5021; Trevisan, Cristine/0000-0001-5550-2380</t>
  </si>
  <si>
    <t>University of Geneva; Swiss National Science Foundation [13/RC/2092]; Science Foundation Ireland [13/RC/2092_P2, 41930218]; National Natural Science Foundation of China [42076223, RT-06-14]; Instituto Antartico Chileno (INACH); ANID-Chile; [P500PN_202847]</t>
  </si>
  <si>
    <t>University of Geneva; Swiss National Science Foundation(Swiss National Science Foundation (SNSF)); Science Foundation Ireland(Science Foundation Ireland); National Natural Science Foundation of China(National Natural Science Foundation of China (NSFC)); Instituto Antartico Chileno (INACH); ANID-Chile;</t>
  </si>
  <si>
    <t>This research was funded by the Instituto Antartico Chileno (INACH, project RT-06-14) and the University of Geneva. JB. acknowledges support from a PhD-scholarship of ANID-Chile and the Swiss National Science Foundation (project P500PN_202847). DC acknowledges support from Science Foundation Ireland under Grant Number 13/RC/2092 and 13/RC/2092_P2. HC, GZ, YZ, and LG acknowledges support from the National Natural Science Foundation of China (Grant No.41930218 and No. 42076223).</t>
  </si>
  <si>
    <t>10.3389/feart.2022.1002760</t>
  </si>
  <si>
    <t>9J7OB</t>
  </si>
  <si>
    <t>WOS:000940370200001</t>
  </si>
  <si>
    <t>Gallagher, JB</t>
  </si>
  <si>
    <t>Gallagher, John Barry</t>
  </si>
  <si>
    <t>An opinion on BlueCAM an Australian blue carbon method to estimate climate change mitigation benefits of coastal wetland restoration by Lovelock et al. (2022)</t>
  </si>
  <si>
    <t>RESTORATION ECOLOGY</t>
  </si>
  <si>
    <t>abatement; blue carbon; mangrove; restoration; salt marsh; wetland methodology</t>
  </si>
  <si>
    <t>ACCUMULATION; VARIABILITY; SEDIMENTS; CO2</t>
  </si>
  <si>
    <t>BlueCAM is an Australian coastal wetland restoration methodology for estimating atmospheric warming abatement. However, BlueCAM is incomplete and contains conceptual and formulation errors. Conceptually, sequestration may be understated by not accounting for an increase in animal biomass and baseline ecosystems as heterotrophic carbon sources. Or, more likely, sequestration services are significantly overestimated by not considering: (1) remineralization of allochthonous carbon, supplied from surrounding ecosystems; (2) the subtraction of a notable intrinsically recalcitrant allochthonous carbon fraction; (3) whether baseline ecosystems are autotrophic carbon sinks; and (4) the reduction in air-sea flux during periods of submersion. Erroneously, BlueCAM: (1) implies that any remains of labile allochthonous carbon should be subtracted from stocks, not just the recalcitrant fraction; and (2) does not embed additional warming from CH4 emissions within components of net ecosystem production. Taken together, these errors are likely to greatly overestimate both wetland sequestration and warming abatement services.</t>
  </si>
  <si>
    <t>[Gallagher, John Barry] Univ Tasmania, Inst Marine &amp; Antarctic Studies, 20 Castray Esplanade, Hobart 7004, Australia</t>
  </si>
  <si>
    <t>Gallagher, JB (corresponding author), Univ Tasmania, Inst Marine &amp; Antarctic Studies, 20 Castray Esplanade, Hobart 7004, Australia.</t>
  </si>
  <si>
    <t>johnbarry.gallagher@utas.edu.au</t>
  </si>
  <si>
    <t>Gallagher, John/JVP-1711-2024</t>
  </si>
  <si>
    <t>1061-2971</t>
  </si>
  <si>
    <t>1526-100X</t>
  </si>
  <si>
    <t>RESTOR ECOL</t>
  </si>
  <si>
    <t>Restor. Ecol.</t>
  </si>
  <si>
    <t>10.1111/rec.13859</t>
  </si>
  <si>
    <t>FP6R9</t>
  </si>
  <si>
    <t>WOS:000921309100001</t>
  </si>
  <si>
    <t>Eskuche-Keith, P; Hill, SL; Hollyman, P; Taylor, ML; O'Gorman, EJ</t>
  </si>
  <si>
    <t>Eskuche-Keith, Patrick; Hill, Simeon L.; Hollyman, Philip; Taylor, Michelle L.; O'Gorman, Eoin J.</t>
  </si>
  <si>
    <t>Trophic structuring of modularity alters energy flow through marine food webs</t>
  </si>
  <si>
    <t>energy channels; functional traits; stability; modules; network structure; trophic interactions; predator-prey mass ratio</t>
  </si>
  <si>
    <t>PREY BODY-SIZE; VARIABLE IMPORTANCE; SCOTIA SEA; PREDATOR; DIVERSITY; COMPARTMENTS; STABILITY; COMMUNITY; ECOSYSTEM; MASS</t>
  </si>
  <si>
    <t>Food web interactions govern how ecosystems respond to climate change and biodiversity loss. Modularity, where subgroups of species interact more often with each other than with species outside their subgroup, is a key structural feature which has been linked to food web stability. We sought to address the lack of understanding of how modularity varies among ecosystems by comparing the structure of four highly resolved marine food webs, using a simulated annealing algorithm to identify network modules and Random Forest models to predict the distribution of species across modules based on a set of eight functional traits. Modules in two offshore networks were partitioned largely by trophic level, creating an interdependence among them, whereas modules in two semi-enclosed bays were generally separated into energy channels with less trophic separation and containing distinct basal resources, providing greater redundancy in the flow of energy through the network. Foraging habitat and mobility predicted module membership in all networks, whilst body mass and foraging strategy also differentiated modules in the offshore and bay ecosystems, respectively. Environmental heterogeneity may be a key factor driving the differences in modularity and the relative importance of functional traits for predicting module membership. Our results indicate that, in addition to overall network modularity, the trophic structure of modules within food webs should be considered when making inferences about ecosystem stability.</t>
  </si>
  <si>
    <t>[Eskuche-Keith, Patrick; Taylor, Michelle L.; O'Gorman, Eoin J.] Univ Essex, Sch Life Sci, Colchester, England; [Eskuche-Keith, Patrick; Hill, Simeon L.; Hollyman, Philip] British Antarctic Survey, Cambridge, England</t>
  </si>
  <si>
    <t>University of Essex; UK Research &amp; Innovation (UKRI); Natural Environment Research Council (NERC); NERC British Antarctic Survey</t>
  </si>
  <si>
    <t>Eskuche-Keith, P (corresponding author), Univ Essex, Sch Life Sci, Colchester, England.;Eskuche-Keith, P (corresponding author), British Antarctic Survey, Cambridge, England.</t>
  </si>
  <si>
    <t>p.keith@essex.ac.uk</t>
  </si>
  <si>
    <t>Simeon, Hill L/B-2307-2008</t>
  </si>
  <si>
    <t>Eskuche-Keith, Patrick/0000-0001-8855-9455</t>
  </si>
  <si>
    <t>Natural Environment Research Council; ARIES Doctoral Training Partnership [NE/S007334/1]; UKRI Natural Environment Research Council (NERC)</t>
  </si>
  <si>
    <t>Natural Environment Research Council(UK Research &amp; Innovation (UKRI)Natural Environment Research Council (NERC)); ARIES Doctoral Training Partnership; UKRI Natural Environment Research Council (NERC)(UK Research &amp; Innovation (UKRI)Natural Environment Research Council (NERC))</t>
  </si>
  <si>
    <t>This work was supported by the Natural Environment Research Council and the ARIES Doctoral Training Partnership [grant number NE/S007334/1]. SH was supported by the UKRI Natural Environment Research Council (NERC) through the British Antarctic Survey (BAS) ALI-Science Southern Ocean ecosystems project.</t>
  </si>
  <si>
    <t>10.3389/fmars.2022.1046150</t>
  </si>
  <si>
    <t>8G9VV</t>
  </si>
  <si>
    <t>WOS:000920689400001</t>
  </si>
  <si>
    <t>Melsheimer, C; Spreen, G; Ye, YF; Shokr, M</t>
  </si>
  <si>
    <t>Melsheimer, Christian; Spreen, Gunnar; Ye, Yufang; Shokr, Mohammed</t>
  </si>
  <si>
    <t>First results of Antarctic sea ice type retrieval from active and passive microwave remote sensing data</t>
  </si>
  <si>
    <t>ROSS SEA; AMSR-E; TRENDS; VARIABILITY; RADIOMETER; SNOWMELT; IDENTIFICATION; ALGORITHM; EXTENT; OCEAN</t>
  </si>
  <si>
    <t>Polar sea ice is one of the Earth's climate components that has been significantly affected by the recent trend of global warming. While the sea ice area in the Arctic has been decreasing at a rate of about 4 % per decade, the multi-year ice (MYI), also called perennial ice, is decreasing at a faster rate of 10 %-15 % per decade. On the other hand, the sea ice area in the Antarctic region was slowly increasing at a rate of about 1.5 % per decade until 2014, and since then it has fluctuated without a clear trend. However, no data about ice type areas are available from that region, particularly for MYI. Due to differences in the physical and crystalline structural properties of sea ice and snow between the two polar regions, it has become difficult to identify ice types in the Antarctic. Until recently,no satellite retrieval scheme was ready to monitor the distribution and temporal development of Antarctic ice types, particularly MYI, throughout the freezing season and on timescales of several years. In this study, we have adapted a method for retrieving Arctic sea ice types and partial concentrations using microwave satellite observations to fit the Antarctic sea ice conditions. The core of the retrieval method is a mathematical scheme that needs empirical distributions of the microwave brightness temperature and backscatter input parameters for the different ice types. The first circumpolar, long-term time series of Antarctic sea ice types (MYI, first-year ice, and young ice) is being established, and so far covers the years 2013-2021. Qualitative comparison with (a) synthetic aperture radar data, (b) charts of the development stage of the sea ice, and (c) the Antarctic polynya distribution data show that the retrieved ice types, in particular the MYI, are reasonable. Although there are still some shortcomings, the new retrieval allows insight into the interannual evolution and dynamics of Antarctic sea ice types for the first time. The current time series can in principle be extended backwards to start in the year 2002 and can be continued with current and future sensors.</t>
  </si>
  <si>
    <t>[Melsheimer, Christian; Spreen, Gunnar] Univ Bremen, Inst Environm Phys IUP, Bremen, Germany; [Ye, Yufang] Sun Yat Sen Univ, Sch Geospatial Engn &amp; Sci, Zhuhai, Peoples R China; [Shokr, Mohammed] Environm &amp; Climate Change Canada, Toronto, ON, Canada</t>
  </si>
  <si>
    <t>University of Bremen; Sun Yat Sen University; Environment &amp; Climate Change Canada</t>
  </si>
  <si>
    <t>Melsheimer, C (corresponding author), Univ Bremen, Inst Environm Phys IUP, Bremen, Germany.</t>
  </si>
  <si>
    <t>melsheimer@uni-bremen.de</t>
  </si>
  <si>
    <t>Ye, Yufang/AAN-9304-2021; Spreen, Gunnar/A-4533-2010</t>
  </si>
  <si>
    <t>Ye, Yufang/0000-0001-6520-3851; Spreen, Gunnar/0000-0003-0165-8448; Melsheimer, Christian/0000-0001-7578-6536</t>
  </si>
  <si>
    <t>Deutsche Forschungsgemeinschaft [365778379]; European Union [101003826]</t>
  </si>
  <si>
    <t>Deutsche Forschungsgemeinschaft(German Research Foundation (DFG)); European Union(European Union (EU))</t>
  </si>
  <si>
    <t>This research has been supported by the Deutsche Forschungsgemeinschaft (grant no. 365778379) and by the European Union (Horizon 2020, grant no. 101003826).</t>
  </si>
  <si>
    <t>10.5194/tc-17-105-2023</t>
  </si>
  <si>
    <t>7U9RA</t>
  </si>
  <si>
    <t>WOS:000912460500001</t>
  </si>
  <si>
    <t>Reid, K; Baker, GB; Woehler, EJ</t>
  </si>
  <si>
    <t>Reid, Keith; Baker, G. Barry; Woehler, Eric J.</t>
  </si>
  <si>
    <t>An ecological risk assessment for the impacts of offshore wind farms on birds in Australia</t>
  </si>
  <si>
    <t>birds; ecological risk assessment; mitigation; monitoring; offshore wind farms</t>
  </si>
  <si>
    <t>FLIGHT HEIGHTS; MIGRATION; VULNERABILITY; MORTALITY; SEABIRDS; SEA</t>
  </si>
  <si>
    <t>An ecological risk assessment, based on life-history and behavioural attributes of 273 bird taxa, was used to identify which of those taxa are at high risk from negative interactions with offshore wind farms in Australia. The marine area of Australia was divided by state/territory boundaries perpendicular to the coast into eight regions, with Western Australia further divided into north and south, and a Bass Strait region bounded by the Victoria coast and the north coast of Tasmania. These regions were subdivided into coastal, inshore and offshore sub-regions and a risk summary for all bird taxa occurring in each of these subregions produced. In coastal and inshore sub-regions of Bass Strait, South Australia and Tasmania, the species with the highest risk scores were Orange-bellied Parrot Neophema chrysogaster, Furneaux White-fronted Tern Sterna striata incerta, Swift Parrot Lathamus discolor, Shy Albatross Thalassarche cauta, Far Eastern Curlew Numenius madagascariensis and Anadyr Bar-tailed Godwit Limosa lapponica anadyrensis. In offshore sub-regions in southern Australia, the highest risk species were all albatrosses, comprising Northern Royal Diomedea sanfordi, Eastern Antipodean D. antipodensis antipodensis, Gibson's D. antipodensis gibsoni, Wandering D. exulans, Amsterdam D. amsterdamensis and Grey-headed AlbatrossT. chrysostoma. Compared to onshore installations, there are logistical challenges to quantifying the potential and realized impacts of offshore wind farms that require different approaches to data collection and analyses. The extensive development of offshore wind farms in the Northern Hemisphere provides examples of best and emerging approaches to quantify and mitigate negative impacts of offshore wind farms that can be applied in an Australian context. Despite differences in the species involved, the same approaches to identifying high-risk species and to the monitoring and mitigation of negative impacts, should be applied in a coordinated, regional-scale approach to the development of offshore wind farms in Australia.</t>
  </si>
  <si>
    <t>[Reid, Keith] Ross Analyt Pty Ltd, 1 Lynden Rd, Bonnet Hill, Tas 7053, Australia; [Reid, Keith; Baker, G. Barry] Univ Tasmania, Inst Marine &amp; Antarctic Studies, Hobart, Tas, Australia; [Baker, G. Barry] Latitude 42 Environm Consultants Pty Ltd, Kettering, Tas, Australia; [Woehler, Eric J.] BirdLife Tasmania, Hobart, Tas, Australia</t>
  </si>
  <si>
    <t>Reid, K (corresponding author), Ross Analyt Pty Ltd, 1 Lynden Rd, Bonnet Hill, Tas 7053, Australia.</t>
  </si>
  <si>
    <t>keith.reid@rossanalytics.com.au</t>
  </si>
  <si>
    <t>Baker, G. Barry/0000-0003-4766-8182; Woehler, Eric/0000-0002-1125-0748</t>
  </si>
  <si>
    <t>Department of Climate Change, Energy, the Environment and Water</t>
  </si>
  <si>
    <t>Australian Government, Department of Agriculture, Water and the Environment (now the Department of Climate Change, Energy, the Environment and Water)</t>
  </si>
  <si>
    <t>10.1111/aec.13278</t>
  </si>
  <si>
    <t>9S3VV</t>
  </si>
  <si>
    <t>WOS:000912656900001</t>
  </si>
  <si>
    <t>Heiser, S; Amsler, CD; Krueger-Hadfield, SA</t>
  </si>
  <si>
    <t>Heiser, Sabrina; Amsler, Charles D. . D.; Krueger-Hadfield, Stacy A. A.</t>
  </si>
  <si>
    <t>Microsatellite locus development in the seaweed Plocamium sp.</t>
  </si>
  <si>
    <t>INBREEDING DEPRESSION; MATING SYSTEM; CLONALITY; CONSEQUENCES</t>
  </si>
  <si>
    <t>[Heiser, Sabrina; Amsler, Charles D. . D.; Krueger-Hadfield, Stacy A. A.] Univ Alabama Birmingham, Dept Biol, 1300 Univ Blvd, Birmingham, AL 35233 USA; [Heiser, Sabrina] Univ Texas Austin, Marine Sci Inst, 750 Channel View Dr, Port Aransas, TX 78373 USA</t>
  </si>
  <si>
    <t>University of Alabama System; University of Alabama Birmingham; University of Texas System; University of Texas Austin</t>
  </si>
  <si>
    <t>Krueger-Hadfield, SA (corresponding author), Univ Alabama Birmingham, Dept Biol, 1300 Univ Blvd, Birmingham, AL 35233 USA.</t>
  </si>
  <si>
    <t>Krueger-Hadfield, Stacy/AAT-4112-2021; Heiser, Sabrina/HJH-9098-2023</t>
  </si>
  <si>
    <t>Krueger-Hadfield, Stacy/0000-0002-7324-7448; Heiser, Sabrina/0000-0003-3307-3233</t>
  </si>
  <si>
    <t>PII S0954102022000475</t>
  </si>
  <si>
    <t>10.1017/S0954102022000475</t>
  </si>
  <si>
    <t>WOS:000911302900001</t>
  </si>
  <si>
    <t>Tence, F; Jumelet, J; Bouillon, M; Cugnet, D; Bekki, S; Safieddine, S; Keckhut, P; Sarkissian, A</t>
  </si>
  <si>
    <t>Tence, Florent; Jumelet, Julien; Bouillon, Marie; Cugnet, David; Bekki, Slimane; Safieddine, Sarah; Keckhut, Philippe; Sarkissian, Alain</t>
  </si>
  <si>
    <t>14 years of lidar measurements of polar stratospheric clouds at the French Antarctic station Dumont d'Urville</t>
  </si>
  <si>
    <t>NITRIC-ACID TRIHYDRATE; OZONE DEPLETION; SULFURIC-ACID; PART 2; ICE; TEMPERATURE; NUCLEATION; CLASSIFICATION; PARTICLES; CHEMISTRY</t>
  </si>
  <si>
    <t>Polar stratospheric clouds (PSCs) play a critical role in the stratospheric ozone depletion processes. The last 30 years have seen significant improvements in our understanding of the PSC processes but PSC parametrization in global models still remains a challenge due to the necessary trade-off between the complexity of PSC microphysics and model parametrization constraints. The French Antarctic station Dumont d'Urville (DDU, 66.6 &amp; LCIRC; S, 140.0 &amp; LCIRC; E) has one of the few high latitude ground-based lidars in the Southern Hemisphere that has been monitoring PSCs for decades. This study focuses on the PSC data record during the 2007-2020 period. First, the DDU lidar record is analysed through three established classification schemes that prove to be mutually consistent: the PSC population observed above DDU is estimated to be of 30 % supercooled ternary solutions, more than 60 % nitric acid trihydrate mixtures and less than 10 % of water-ice dominated PSC. The Cloud-Aerosol Lidar with Orthogonal Polarization PSC detection around the station are compared to DDU PSC datasets and show a good agreement despite more water-ice PSC detection. Detailed 2015 lidar measurements are presented to highlight interesting features of PSC fields above DDU. Then, combining a temperature proxy to lidar measurements, we build a trend of PSC days per year at DDU from ERA5 (the fifth generation of European ReAnalysis) and NCEP (National Centers for Environment Protection reanalysis) reanalyses fitted on lidar measurements operated at the station. This significant 14-year trend of -4.6 PSC days per decade is consistent with recent temperature satellite measurements at high latitudes. Specific DDU lidar measurements are presented to highlight fine PSC features that are often sub-scale to global models and spaceborne measurements.</t>
  </si>
  <si>
    <t>[Tence, Florent; Jumelet, Julien; Bouillon, Marie; Cugnet, David; Bekki, Slimane; Safieddine, Sarah; Keckhut, Philippe; Sarkissian, Alain] Sorbonne Univ, LATMOS Lab Atmospheres Milieux Observat Spatiales, UMR,IPSL, CNRS, Paris, France</t>
  </si>
  <si>
    <t>Sorbonne Universite; Universite Paris Cite; Universite Paris Saclay; Centre National de la Recherche Scientifique (CNRS)</t>
  </si>
  <si>
    <t>Tence, F (corresponding author), Sorbonne Univ, LATMOS Lab Atmospheres Milieux Observat Spatiales, UMR,IPSL, CNRS, Paris, France.</t>
  </si>
  <si>
    <t>florent.tence@latmos.ipsl.fr</t>
  </si>
  <si>
    <t>bekki, slimane/J-7221-2015</t>
  </si>
  <si>
    <t>bekki, slimane/0000-0002-5538-0800; /0000-0002-8947-7950; Bouillon, Marie/0000-0003-1675-0933; Tence, Florent/0000-0002-4921-3918</t>
  </si>
  <si>
    <t>French Polar Institute IPEV (Institut polaire francais Paul-Emile Victor) science programme [209]; EECLAT project (CNES-INSU); NDACC international network (lidar instrument)</t>
  </si>
  <si>
    <t>French Polar Institute IPEV (Institut polaire francais Paul-Emile Victor) science programme; EECLAT project (CNES-INSU); NDACC international network (lidar instrument)</t>
  </si>
  <si>
    <t>This research has been supported by the French Polar Institute IPEV (Institut polaire francais Paul-Emile Victor) science programme 209, the EECLAT project (CNES-INSU), and the NDACC international network (lidar instrument).</t>
  </si>
  <si>
    <t>10.5194/acp-23-431-2023</t>
  </si>
  <si>
    <t>7U9VP</t>
  </si>
  <si>
    <t>WOS:000912472400001</t>
  </si>
  <si>
    <t>Whitehouse, MJ; Hendry, KR; Tarling, GA; Thorpe, SE; Hoopen, PT</t>
  </si>
  <si>
    <t>Whitehouse, Michael J.; Hendry, Katharine R.; Tarling, Geraint A.; Thorpe, Sally E.; Hoopen, Petra Ten</t>
  </si>
  <si>
    <t>A database of marine macronutrient, temperature and salinitymeasurements made around the highly productive island of South Georgia, theScotia Sea and the Antarctic Peninsula between 1980 and 2009</t>
  </si>
  <si>
    <t>PHYTOPLANKTON BLOOMS; SCOTIA SEA; NITROGEN ASSIMILATION; INORGANIC NUTRIENTS; BELLINGSHAUSEN SEA; CHLOROPHYLL-A; WATER MASSES; POLAR FRONT; OCEAN; IRON</t>
  </si>
  <si>
    <t>We present a database from substantial collections of macronutrient data made on 20 oceanographic cruises, primarily from around the island of South Georgia and the Scotia Sea. This sector of the Southern Ocean was studied comprehensively during the Discovery Investigations between &amp; SIM;1920 and 1950 and resulted in the hugely influential Discovery Reports. Following this pioneering research period, there was a lull of several decades prior to the British Antarctic Survey (BAS) initiation of an offshore biological programme to study the ecology of the South Atlantic sector of the Southern Ocean. These studies began in the late 1970s and have continued until the present day. Between 1980 and 2009, the programme included macronutrient measurements as part of an integrated ecosystem analysis. In addition to South Georgia and the Scotia Sea, measurements were also made in the Bellingshausen Sea and the waters to the west of the Antarctic Peninsula. Data were collected during all months of the year with the exceptions of May and June and compiled into a database. Vertical profile samples were taken from water bottles, while data along transects were collected by monitoring the ship's non-toxic seawater supply. Nutrients measured were silicate (Si(OH)(4)-Si), phosphate (PO4-P), nitrate (NO3-N), ammonium (NH4-N), and nitrite (NO2-N). Our database includes nutrient data along with contemporaneous temperature and salinity data where available. Further background and supporting information is included for context. The profile and underway sample data have been deposited at the UK Polar Data Centre and are publicly available in NetCDF and CSV formats from (Whitehouse et al., 2022).</t>
  </si>
  <si>
    <t>[Whitehouse, Michael J.; Hendry, Katharine R.; Tarling, Geraint A.; Thorpe, Sally E.; Hoopen, Petra Ten] NERC, British Antarctic Survey, Madingley Rd,High Cross, Cambridge CB3 0ET, England</t>
  </si>
  <si>
    <t>Hoopen, PT (corresponding author), NERC, British Antarctic Survey, Madingley Rd,High Cross, Cambridge CB3 0ET, England.</t>
  </si>
  <si>
    <t>peopen@bas.ac.uk</t>
  </si>
  <si>
    <t>; Hendry, Katharine/E-4793-2011</t>
  </si>
  <si>
    <t>Thorpe, Sally/0000-0002-5193-6955; Hendry, Katharine/0000-0002-0790-5895; ten Hoopen, Petra/0000-0003-4242-4015</t>
  </si>
  <si>
    <t>Natural Environment Research Council [NE/W004933/1]; NC-ALI funding; NERC [NE/W004933/1] Funding Source: UKRI</t>
  </si>
  <si>
    <t>Natural Environment Research Council(UK Research &amp; Innovation (UKRI)Natural Environment Research Council (NERC)); NC-ALI funding; NERC(UK Research &amp; Innovation (UKRI)Natural Environment Research Council (NERC))</t>
  </si>
  <si>
    <t>The contributions of Katharine R. Hendry, Geraint A. Tarling, Sally E. Thorpe, and Petra ten Hoopen were sup-ported by the BIOPOLE National Capability Multicentre Round 2funding from the Natural Environment Research Council (grant no. NE/W004933/1). Geraint A. Tarling and Sally E. Thorpe were also supported by NC-ALI funding to the Ecosystems team at the British Antarctic Survey.</t>
  </si>
  <si>
    <t>10.5194/essd-15-211-2023</t>
  </si>
  <si>
    <t>7U9VQ</t>
  </si>
  <si>
    <t>gold, Green Accepted, Green Submitted</t>
  </si>
  <si>
    <t>WOS:000912472500001</t>
  </si>
  <si>
    <t>Chen, AF; Yang, LJ; Sun, LG; Gao, YS; Xie, ZQ</t>
  </si>
  <si>
    <t>Chen, Afeng; Yang, Lianjiao; Sun, Liguang; Gao, Yuesong; Xie, Zhouqing</t>
  </si>
  <si>
    <t>Holocene changes in biomass burning in the boreal Northern Hemisphere, reconstructed from anhydrosugar fluxes in an Arctic sediment profile</t>
  </si>
  <si>
    <t>Levoglucosan; Fire history; Climate change; Ny-angstrom lesund; Northern Hemisphere; Holocene; Arctic; Anhydrosugar</t>
  </si>
  <si>
    <t>SEA-SURFACE CONDITIONS; OXYGEN-ISOTOPE RECORD; FRANZ JOSEF LAND; ICE-CORE; FIRE HISTORY; CLIMATE VARIABILITY; CHARCOAL RECORDS; ORGANIC AEROSOLS; LAKE ELGYGYTGYN; AROMATIC-ACIDS</t>
  </si>
  <si>
    <t>The rapid warming of Arctic is causing increased fire activities in the boreal Northern Hemisphere (NH), leading to unprecedent changes in the global carbon cycling, human health and ecosystems. Understanding the interaction between fire and climate in this far north region is crucial for predicting future changes of wildfires. However, fire records over geological time scales are still scarce in the high latitudes of NH to provide comprehensive pictures of the fire history in this region. Here, we used the flux of levoglucosan (Lev) and its isomers in a sediment profile YN from Svalbard, high Arctic, as proxies for the changes in biomass burning from -9-2 kyr BP (thousand years before present). Backward trajectories and comparison with charcoal syntheses from various regions confirmed that the Lev transport to the profile site is sourced from the fire activities in the boreal NH, especially in northern Europe and northern Siberia. The Lev flux exhibited a slight overall decreasing trend at -3 %/kyr (p = 0.09) over the study period, as well as centennial maxima at -9, 8-7, 6, 5, and 4-3 kyr BP (p = 0.06). On sub-orbital scales, the long-term decrease in fire activities corresponded to trends of summer temperature in the extratropics of the NH (p = 0.01, r = 0.42), reflecting their regulation of fuel availability and flammability. On centennial to sub-millennial time scales, high levels of biomass burning were associated with periods of increased North Atlantic ice-rafted debris (p = 0.02, r = 0.38), which were indicative of cold and dry conditions over most of the source regions, reflecting the impacts of dryness on fuel flammability. The results suggested that enhanced Arctic amplification on centennial time scales may reduce biomass burning in most of the boreal NH, although fires in some mid-latitude regions may be facilitated.</t>
  </si>
  <si>
    <t>[Gao, Yuesong; Xie, Zhouqing] Univ Sci &amp; Technol China, Inst Polar Environm, Hefei 230026, Anhui, Peoples R China; Univ Sci &amp; Technol China, Dept Environm Sci &amp; Engn, Anhui Key Lab Polar Environm &amp; Global Change, Hefei 230026, Anhui, Peoples R China</t>
  </si>
  <si>
    <t>Gao, YS; Xie, ZQ (corresponding author), Univ Sci &amp; Technol China, Inst Polar Environm, Hefei 230026, Anhui, Peoples R China.</t>
  </si>
  <si>
    <t>yuesgao@ustc.edu.cn; zqxie@ustc.edu.cn</t>
  </si>
  <si>
    <t>National Natural Science Foundation of China (NSFC) [41930532, 41941014]; Chinese National Arctic &amp; Antarctic Data Center (CN-NADC)</t>
  </si>
  <si>
    <t>National Natural Science Foundation of China (NSFC)(National Natural Science Foundation of China (NSFC)); Chinese National Arctic &amp; Antarctic Data Center (CN-NADC)</t>
  </si>
  <si>
    <t>This study was funded by the National Natural Science Foundation of China (NSFC) (No. 41930532, 41941014) . We thank the Chinese Arctic and Antarctic Administration for supporting the field campaign. We also thank the Governor of Svalbard for permission to carry out fieldwork. Sample information and data were provided by the Resource Sharing Platform of Polar Samples (http://birds.chinare.org.cn) and were maintained by the Polar Research Institute of China (PRIC) and Chinese National Arctic &amp; Antarctic Data Center (CN-NADC) .</t>
  </si>
  <si>
    <t>10.1016/j.scitotenv.2023.161460</t>
  </si>
  <si>
    <t>H9LO4</t>
  </si>
  <si>
    <t>WOS:000999093900001</t>
  </si>
  <si>
    <t>Sanders, MM; Rimmer, SM; Rowe, HD</t>
  </si>
  <si>
    <t>Sanders, Margaret M.; Rimmer, Susan M.; Rowe, Harold D.</t>
  </si>
  <si>
    <t>Carbon isotopic composition and organic petrography of thermally metamorphosed Antarctic coal: Implications for evaluation of δ13Corg excursions in paleo-atmospheric reconstruction</t>
  </si>
  <si>
    <t>INTERNATIONAL JOURNAL OF COAL GEOLOGY</t>
  </si>
  <si>
    <t>Stable carbon isotopes; Organic maturation; Natural cokes; Pyrolytic carbon; Contact metamorphism</t>
  </si>
  <si>
    <t>PERMIAN-TRIASSIC BOUNDARY; CENTRAL TRANSANTARCTIC MOUNTAINS; OCEANIC ANOXIC EVENT; NO. 5 COAL; MASS EXTINCTION; IGNEOUS INTRUSIONS; MEISHAN SECTION; FOSSIL-WOOD; VITRINITE REFLECTANCE; CONTACT-METAMORPHISM</t>
  </si>
  <si>
    <t>Large, globally documented negative delta C-13 excursions that occur across the Permian-Triassic transition are thought to represent the isotopic fingerprint of considerable releases of isotopically light carbon into the atmosphere, with the largest of these excursions (as much as -22.2%o) measured in bulk organic matter in coals and carbonaceous shales from Antarctica. Previous studies have attributed the carbon isotopic excursion (CIE) at the Permian-Triassic boundary to the release of CH4 from organic-rich rocks intruded by dikes and sills associated with the Siberian Traps flood basalts (Russia) and Longwood-Bluff (New Zealand) intrusions. However, any assessment of paleoatmospheric conditions based on this or other delta C-13(org) excursions must consider the multiple controls on isotopic composition, including maceral content and post-depositional diagenetic and maturation processes. Permian-age coal seams and associated sediments in Antarctica were extensively altered after burial by localized high heat flow and, in some cases, by contact metamorphism associated with Jurassic dikes and sills. Levels of organic maturation reach anthracite, meta-anthracite, and even graphite; such intense thermal alteration had the potential to change the carbon isotopic composition of the bulk organic matter (delta C-13(org)). To evaluate the Permian-Triassic isotopic excursion in Antarctica, it is important to understand the inherent variability in 813Corg in Permian-age coal and organic-rich sedimentary rocks prior to the CIE; thus, 128 samples representing pre-boundary coals and shales were selected from the United States Polar Rock Repository for analysis. Petrographic (maceral analysis and vitrinite reflectance), geochemical (C, H, N), and carbon isotopic analyses were performed. Based on the presence of coarse-grained circular and fine-grained lenticular mosaic in the anisotropic cokes found in samples in close proximity to intrusions, the rank of the samples prior to intrusion is estimated to have been medium volatile bituminous (similar to 1.2% Rmax). These highly altered coals and cokes can have random vitrinite reflectances (Rr) exceeding 6%. Subsequent to intrusion, alteration beyond the contact aureoles continued due to high heat flow, producing high rank coals with Rr &gt; 2%. Values of 813Corg range between -26.5 and -21.1%o (5.4%o difference). Significant relationships (at the 1 and 5% levels) exist between delta C-13(org) and the level of organic maturity, organic carbon (Corg) content (i.e., size of the carbon reservoir), and total inertinite content, suggesting variability due to these factors should be considered when assessing isotopic excursions and interpretation of Permian-Triassic atmospheric conditions. These findings highlight the importance of incorporating organic petrography into delta C-13(org) studies.</t>
  </si>
  <si>
    <t>[Sanders, Margaret M.; Rimmer, Susan M.] Southern Illinois Univ Carbondale, Sch Earth Syst &amp; Sustainabil, Carbondale, IL 62901 USA; [Rowe, Harold D.] Premier Oilfield Labs, 11335 Clay Rd, Houston, TX 77041 USA</t>
  </si>
  <si>
    <t>Southern Illinois University System; Southern Illinois University</t>
  </si>
  <si>
    <t>Rimmer, SM (corresponding author), Southern Illinois Univ Carbondale, Sch Earth Syst &amp; Sustainabil, Carbondale, IL 62901 USA.</t>
  </si>
  <si>
    <t>srimmer@siu.edu</t>
  </si>
  <si>
    <t>NSF [ANT-0636771, ANT-1039365]; Antoinette Lierman Medlin Scholarship (Geological Society of America); Spackman Student Research Award (The Society for Organic Petrology); U.S. National Science Foundation Office of Polar Programs</t>
  </si>
  <si>
    <t>NSF(National Science Foundation (NSF)); Antoinette Lierman Medlin Scholarship (Geological Society of America); Spackman Student Research Award (The Society for Organic Petrology); U.S. National Science Foundation Office of Polar Programs(National Science Foundation (NSF))</t>
  </si>
  <si>
    <t>This research used samples and data provided by the Polar Rock Repository (PRR) , which is sponsored by the U.S. National Science Foundation Office of Polar Programs. We are also indebted to Gregory Retallack (University of Oregon) for providing coal samples from Graphite Peak and Allan Hills (samples subsequently incorporated into the PRR collection) . This research was funded by NSF grants ANT-0636771 and ANT-1039365 (to SMR) , the Antoinette Lierman Medlin Scholarship (Geological Society of America) (to MMS) , and the Spackman Student Research Award (The Society for Organic Petrology) (to MMS) . We acknowledge the Norwegian Polar Institute's Quantarctica package (base map for Fig. 1) . Finally, we thank Stephen Hesselbo and an anonymous reviewer for their very helpful comments that improved the manuscript.</t>
  </si>
  <si>
    <t>0166-5162</t>
  </si>
  <si>
    <t>1872-7840</t>
  </si>
  <si>
    <t>INT J COAL GEOL</t>
  </si>
  <si>
    <t>Int. J. Coal Geol.</t>
  </si>
  <si>
    <t>10.1016/j.coal.2022.104182</t>
  </si>
  <si>
    <t>Energy &amp; Fuels; Geosciences, Multidisciplinary</t>
  </si>
  <si>
    <t>Energy &amp; Fuels; Geology</t>
  </si>
  <si>
    <t>E3BJ9</t>
  </si>
  <si>
    <t>WOS:000974328800001</t>
  </si>
  <si>
    <t>Wu, SZ; Kuhn, G; Arz, HW; Lembke-Jene, L; Tiedemann, R; Lamy, F; Diekmann, B</t>
  </si>
  <si>
    <t>Wu, Shuzhuang; Kuhn, Gerhard; Arz, Helge W.; Lembke-Jene, Lester; Tiedemann, Ralf; Lamy, Frank; Diekmann, Bernhard</t>
  </si>
  <si>
    <t>Late Quaternary terrigenous sediment supply in the Drake Passage in response to Patagonian and Antarctic ice dynamics</t>
  </si>
  <si>
    <t>Drake Passage; Provenance; Ice sheet dynamics; Sea level changes; Antarctic Circumpolar Current</t>
  </si>
  <si>
    <t>LAST GLACIAL MAXIMUM; SOUTHERN-OCEAN; SURFACE SEDIMENTS; DUST DEPOSITION; ATLANTIC-OCEAN; CLAY-MINERALS; BUENOS-AIRES; SCOTIA SEA; PROVENANCE; TRANSPORT</t>
  </si>
  <si>
    <t>The Drake Passage, as the narrowest passage around Antarctica, exerts significant influences on the physical, chemical, and biological interactions between the Pacific and Atlantic Ocean. Here, we identify terrigenous sediment sources and transport pathways in the Drake Passage region over the past 140 ka BP (thousand years before present), based on grain size, clay mineral assemblages, geochemistry and mass-specific magnetic susceptibility records. Terrigenous sediment supply in the Drake Passage is mainly derived from the southeast Pacific, southern South America and the Antarctic Peninsula. Our results provide robust evidence that the Antarctic Circumpolar Current (ACC) has served as the key driver for sediment dispersal in the Drake Passage. High glacial mass accumulation rates indicate enhanced detrital input, which was closely linked to a large expansion of ice sheets in southern South America and on the Antarctic Peninsula during the glacial maximum, as significantly advanced glaciers eroded more glaciogenic sediments from the continental hinterlands into the Drake Passage. Moreover, lower glacial sea levels exposed large continental shelves, which together with weakened ACC strength likely amplified the efficiency of sediment supply and deposition in the deep ocean. In contrast, significant glaciers' shrinkage during interglacials, together with higher sea-level conditions and storage of sediment in nearby fjords reduced terrigenous sediment inputs. Furthermore, a stronger ACC may have induced winnowing effects and further lowered the mass accumulation rates. Evolution of ice sheets, sea level changes and climate related ACC dynamic have thus exerted critical influences on the terrigenous sediment supply and deposition in the Drake Passage region over the last glacial-interglacial cycle.</t>
  </si>
  <si>
    <t>[Wu, Shuzhuang; Kuhn, Gerhard; Lembke-Jene, Lester; Tiedemann, Ralf; Lamy, Frank] Alfred Wegener Inst, Helmholtz Zentrum Meeres &amp; Polarforsch, D-27568 Bremerhaven, Germany; [Wu, Shuzhuang] Univ Lausanne, Inst Earth Sci, CH-1015 Lausanne, Switzerland; [Arz, Helge W.] Leibniz Inst Balt Sea Res Warnemunde, D-18119 Rostock, Germany; [Diekmann, Bernhard] Alfred Wegener Inst, Helmholtz Zentrum Meeres &amp; Polarforsch, D-14473 Potsdam, Germany</t>
  </si>
  <si>
    <t>Helmholtz Association; Alfred Wegener Institute, Helmholtz Centre for Polar &amp; Marine Research; University of Lausanne; Leibniz Institut fur Ostseeforschung Warnemunde; Helmholtz Association; Alfred Wegener Institute, Helmholtz Centre for Polar &amp; Marine Research</t>
  </si>
  <si>
    <t>Wu, SZ (corresponding author), Alfred Wegener Inst, Helmholtz Zentrum Meeres &amp; Polarforsch, D-27568 Bremerhaven, Germany.</t>
  </si>
  <si>
    <t>shuzhuangwu@gmail.com</t>
  </si>
  <si>
    <t>Xi, Yang/KEH-5204-2024; ying, liu/KEI-0478-2024; Lembke-Jene, Lester/ABC-6275-2020</t>
  </si>
  <si>
    <t>AWI research programmes (Changing Earth-Sustaining our Future); China Scholarship Council; Deutsche Forschungsgemeinschaft [WU 1062 1-1]; AWI research programmes (PACES-II grants)</t>
  </si>
  <si>
    <t>AWI research programmes (Changing Earth-Sustaining our Future); China Scholarship Council(China Scholarship Council); Deutsche Forschungsgemeinschaft(German Research Foundation (DFG)); AWI research programmes (PACES-II grants)</t>
  </si>
  <si>
    <t>We acknowledge Rita Frohlking-Teichert, Susanne Wiebe and Valea Schumacher at AWI for technical assistance in sample preparation and analytical measurements. We thank Y. K. Park for the clay mineral dataset from core GC05-DP02. We thank N. Nowaczyk, X. Zhang, X. Zheng and S. Jaccard for helpful discussions. This work has been supported by the AWI research programmes (Changing Earth-Sustaining our Future and PACES-II grants) and China Scholarship Council and Deutsche Forschungsgemeinschaft (WU 1062 1-1) .</t>
  </si>
  <si>
    <t>10.1016/j.gloplacha.2022.104024</t>
  </si>
  <si>
    <t>E4NE9</t>
  </si>
  <si>
    <t>WOS:000975318200001</t>
  </si>
  <si>
    <t>Hoffecker, JF; Elias, SA; Scott, GR; O'Rourke, DH; Hlusko, LJ; Potapova, O; Pitulko, V; Pavlova, E; Bourgeon, L; Vachula, RS</t>
  </si>
  <si>
    <t>Hoffecker, John F.; Elias, Scott A.; Scott, G. Richard; O'Rourke, Dennis H.; Hlusko, Leslea J.; Potapova, Olga; Pitulko, Vladimir; Pavlova, Elena; Bourgeon, Lauriane; Vachula, Richard S.</t>
  </si>
  <si>
    <t>Beringia and the peopling of the Western Hemisphere</t>
  </si>
  <si>
    <t>PROCEEDINGS OF THE ROYAL SOCIETY B-BIOLOGICAL SCIENCES</t>
  </si>
  <si>
    <t>Beringia; Quaternary; palaeogenomics; archaeology; migration</t>
  </si>
  <si>
    <t>POPULATION HISTORY; LATE PLEISTOCENE; LAND-BRIDGE; DISPERSAL; AMERICA; REFUGIUM; SEQUENCE; CLIMATE; SIBERIA; EUROPE</t>
  </si>
  <si>
    <t>Did Beringian environments represent an ecological barrier to humans until less than 15 000 years ago or was access to the Americas controlled by the spatial-temporal distribution of North American ice sheets? Beringian environments varied with respect to climate and biota, especially in the two major areas of exposed continental shelf. The East Siberian Arctic Shelf ('Great Arctic Plain' (GAP)) supported a dry steppe-tundra biome inhabited by a diverse large-mammal community, while the southern Bering-Chukchi Platform ('Bering Land Bridge' (BLB)) supported mesic tundra and probably a lower large-mammal biomass. A human population with west Eurasian roots occupied the GAP before the Last Glacial Maximum (LGM) and may have accessed mid-latitude North America via an interior ice-free corridor. Re-opening of the corridor less than 14 000 years ago indicates that the primary ancestors of living First Peoples, who already had spread widely in the Americas at this time, probably dispersed from the NW Pacific coast. A genetic 'arctic signal' in non-arctic First Peoples suggests that their parent population inhabited the GAP during the LGM, before their split from the former. We infer a shift from GAP terrestrial to a subarctic maritime economy on the southern BLB coast before dispersal in the Americas from the NW Pacific coast.</t>
  </si>
  <si>
    <t>[Hoffecker, John F.; Elias, Scott A.] Univ Colorado, Inst Arctic &amp; Alpine Res, Boulder, CO 80309 USA; [Hoffecker, John F.; O'Rourke, Dennis H.] Univ Kansas, Dept Anthropol, 622 Fraser Hall,1415 Jayhawk Blvd, Lawrence, KS 66045 USA; [Scott, G. Richard] Univ Nevada Reno, Dept Anthropol, 1664 N Virginia St, Reno, NV 89557 USA; [Hlusko, Leslea J.] Univ Calif Berkeley, Human Evolut Res Ctr, 3101 Valley Life Sci Bldg, Berkeley, CA 94720 USA; [Hlusko, Leslea J.] Ctr Nacl Invest Evoluc Humana CENIEH, Burgos, Spain; [Potapova, Olga] Pleistocene Pk Fdn, Philadelphia, PA 19006 USA; [Potapova, Olga] Acad Sci Sakha, Dept Mammoth Fauna Studies, Yakutsk, Russia; [Potapova, Olga] Mammoth Site Hot Springs, Hot Springs, SD 57747 USA; [Pitulko, Vladimir] Russian Acad Sci, Inst Hist Mat Culture, Dvortsovaya nab 18, St Petersburg 191186, Russia; [Pitulko, Vladimir] Russian Acad Sci, Peter Great Museum Anthropol &amp; Ethnog Kunstkamera, 3,Univ nab, St Petersburg 199034, Russia; [Pavlova, Elena] Russian Fed Serv Hydrometeorol &amp; Environm Monitori, Arctic &amp; Antarctic Res Inst, 38 Bering St, St Petersburg 199397, Russia; [Bourgeon, Lauriane] Univ Kansas, Kansas Geol Survey, 1930 Constant Ave, Lawrence, KS 66047 USA; [Vachula, Richard S.] Auburn Univ, Dept Geosci, 2050 Beard Eaves Coliseum, Auburn, AL 36849 USA</t>
  </si>
  <si>
    <t>University of Colorado System; University of Colorado Boulder; University of Kansas; Nevada System of Higher Education (NSHE); University of Nevada Reno; University of California System; University of California Berkeley; Centro Nacional de Investigacion de La Evolucion Humana (CENIEH); Russian Academy of Sciences; St. Petersburg Scientific Centre of the Russian Academy of Sciences; Institute for the History of Material Culture, Russian Academy of Sciences; Russian Academy of Sciences; The Kunstkamera; Arctic &amp; Antarctic Research Institute; University of Kansas; Auburn University System; Auburn University</t>
  </si>
  <si>
    <t>Hoffecker, JF (corresponding author), Univ Colorado, Inst Arctic &amp; Alpine Res, Boulder, CO 80309 USA.;Hoffecker, JF (corresponding author), Univ Kansas, Dept Anthropol, 622 Fraser Hall,1415 Jayhawk Blvd, Lawrence, KS 66045 USA.</t>
  </si>
  <si>
    <t>john.hoffecker@colorado.edu</t>
  </si>
  <si>
    <t>Pitulko, Vladimir/N-4009-2019; Hlusko, Leslea/IQW-5635-2023; Pavlova, Elena/AAA-3291-2019; Potapova, Olga/HNC-4473-2023; Elias, Scott/ISB-2829-2023</t>
  </si>
  <si>
    <t>Potapova, Olga/0000-0002-3589-2489; Hlusko, Leslea/0000-0003-0189-6390; Hoffecker, John/0000-0001-6132-3012; Bourgeon, Lauriane/0000-0001-7695-8061; Scott, George/0000-0003-2328-8003; Vachula, Richard/0000-0001-5559-6540</t>
  </si>
  <si>
    <t>0962-8452</t>
  </si>
  <si>
    <t>1471-2954</t>
  </si>
  <si>
    <t>P ROY SOC B-BIOL SCI</t>
  </si>
  <si>
    <t>Proc. R. Soc. B-Biol. Sci.</t>
  </si>
  <si>
    <t>JAN 11</t>
  </si>
  <si>
    <t>10.1098/rspb.2022.2246</t>
  </si>
  <si>
    <t>8K4KR</t>
  </si>
  <si>
    <t>WOS:000923073300021</t>
  </si>
  <si>
    <t>Santana-Garcon, J; Bennett, S; Marbà, N; Vergés, A; Arthur, R; Alcoverro, T</t>
  </si>
  <si>
    <t>Santana-Garcon, Julia; Bennett, Scott; Marba, Nuria; Verges, Adriana; Arthur, Rohan; Alcoverro, Teresa</t>
  </si>
  <si>
    <t>Tropicalization shifts herbivore pressure from seagrass to rocky reef communities</t>
  </si>
  <si>
    <t>global change; temperature; nutrients; exotic species; dietary preference; native and introduced species</t>
  </si>
  <si>
    <t>SIGANUS-LURIDUS; FEEDING-HABITS; CLIMATE-CHANGE; MARINE; FISH; SEA; CORAL; BIODIVERSITY; PATTERNS; VIDEO</t>
  </si>
  <si>
    <t>Climate-driven species redistributions are reshuffling the composition of marine ecosystems. How these changes alter ecosystem functions, however, remains poorly understood. Here we examine how impacts of herbivory change across a gradient of tropicalization in the Mediterranean Sea, which includes a steep climatic gradient and marked changes in plant nutritional quality and fish herbivore composition. We quantified individual feeding rates and behaviour of 755 fishes of the native Sarpa salpa, and non-native Siganus rivulatus and Siganus luridus. We measured herbivore and benthic assemblage composition across 20 sites along the gradient, spanning 30 degrees of longitude and 8 degrees of latitude. We coupled patterns in behaviour and composition with temperature measurements and nutrient concentrations to assess changes in herbivory under tropicalization. We found a transition in ecological impacts by fish herbivory across the Mediterranean from a predominance of seagrass herbivory in the west to a dominance of macroalgal herbivory in the east. Underlying this shift were changes in both individual feeding behaviour (i.e. food choice) and fish assemblage composition. The shift in feeding selectivity was consistent among temperate and warm-affiliated herbivores. Our findings suggest herbivory can contribute to the increased vulnerability of seaweed communities and reduced vulnerability of seagrass meadows in tropicalized ecosystems.</t>
  </si>
  <si>
    <t>[Santana-Garcon, Julia; Bennett, Scott; Marba, Nuria] CSIC UIB, Inst Mediterrani Estudis Avancats IMEDEA, Global Change Res Grp, Esporles, Spain; [Santana-Garcon, Julia] Minderoo Fdn, Flourishing Oceans Initiat, Perth, WA, Australia; [Bennett, Scott] Univ Tasmania, Inst Marine &amp; Antarctic Studies, Hobart, Tas 7001, Australia; [Verges, Adriana] Univ New South Wales, Evolut &amp; Ecol Res Ctr, Ctr Marine Sci &amp; Innovat, Sch Biol Earth &amp; Environm Sci, Sydney, NSW, Australia; [Arthur, Rohan; Alcoverro, Teresa] Nat Conservat Fdn, 3076-5,4th Cross,Gokulam Pk, Mysore 570002, Karnataka, India; [Arthur, Rohan; Alcoverro, Teresa] Ctr Estudis Avancats Blanes CEAB CSIC, Acces Cala St Francesc 14, Blanes 17300, Spain</t>
  </si>
  <si>
    <t>Consejo Superior de Investigaciones Cientificas (CSIC); ATTITUS Educacao; Universitat de les Illes Balears; University of Barcelona; Minderoo Foundation; University of Tasmania; University of New South Wales Sydney; Consejo Superior de Investigaciones Cientificas (CSIC); CSIC - Centre d'Estudis Avancats de Blanes (CEAB)</t>
  </si>
  <si>
    <t>Santana-Garcon, J (corresponding author), CSIC UIB, Inst Mediterrani Estudis Avancats IMEDEA, Global Change Res Grp, Esporles, Spain.;Santana-Garcon, J (corresponding author), Minderoo Fdn, Flourishing Oceans Initiat, Perth, WA, Australia.</t>
  </si>
  <si>
    <t>julia.santanagarcon@gmail.com</t>
  </si>
  <si>
    <t>Bennett, Scott/A-8747-2016; Alcoverro, Teresa/J-9258-2012; Marba, Nuria/H-8136-2015; Verges, Adriana/B-8288-2013; Santana-Garcon, Julia/M-1410-2013</t>
  </si>
  <si>
    <t>Bennett, Scott/0000-0003-2969-7430; Alcoverro, Teresa/0000-0002-3910-9594; Marba, Nuria/0000-0002-8048-6789; Santana-Garcon, Julia/0000-0001-7961-3552</t>
  </si>
  <si>
    <t>10.1098/rspb.2022.1744</t>
  </si>
  <si>
    <t>WOS:000923073300015</t>
  </si>
  <si>
    <t>Tielidze, LG; Eaves, SR; Norton, KP; Mackintosh, AN; Pedro, JB; Hidy, AJ</t>
  </si>
  <si>
    <t>Tielidze, Levan G.; Eaves, Shaun R.; Norton, Kevin P.; Mackintosh, Andrew N.; Pedro, Joel B.; Hidy, Alan J.</t>
  </si>
  <si>
    <t>Early glacier advance in New Zealand during the Antarctic Cold Reversal</t>
  </si>
  <si>
    <t>Antarctic Cold Reversal; equilibrium line altitude; Lateglacial; New Zealand; past climate; Southern Alps</t>
  </si>
  <si>
    <t>EQUILIBRIUM-LINE ALTITUDES; SOUTHERN ALPS; ATMOSPHERIC CIRCULATION; CLIMATE SENSITIVITY; LAST DEGLACIATION; BIPOLAR SEESAW; EXPOSURE AGES; TEMPERATURE; BE-10; FLUCTUATIONS</t>
  </si>
  <si>
    <t>Glacial landscapes preserve records of past climate change. Investigating the glacier-climate system over the Late Quaternary provides information about past climate change and context for present-day glacier response to climate warming. Using 28 beryllium-10 (Be-10) surface exposure dates and snowline reconstructions, we present glacier fluctuations and climate changes for the Antarctic Cold Reversal in the Ahuriri River catchment, Southern Alps of New Zealand (44 degrees 7 ' 50 '' S, 169 degrees 38 ' 29 '' E). Prominent terminal and lateral moraine features from the upper right tributary of the Ahuriri River valley have exposure ages of 14.5 +/- 0.3, 13.6 +/- 0.3 and 12.6 +/- 0.2 ka, suggesting retreat of the glacier during the Antarctic Cold Reversal. Maximum elevation of lateral moraines (MELM) and accumulation area ratio (AAR) suggest snowline elevations at these ages were &lt;= 700, &lt;= 630 and similar to 360 m lower than today, respectively. This equates to air temperatures &lt;= 3.9, &lt;= 3.5 and 2.3 +/- 0.7 degrees C lower than today (1981-2010), assuming no changes in past precipitation. Ice-sculpted bedrock surfaces bound by a lateral moraine at nearby Canyon Creek have an age of 13.1 +/- 0.3 ka, indicating the moraine correlates with those in the Ahuriri upper right tributary. MELM and AAR reconstructions from the Canyon Creek suggest that snowline elevations at 14.5-13.6 ka were &lt;= 500 or similar to 380 m lower than today, corresponding to air temperatures &lt;= 2.8 or 2.4 +/- 0.7 degrees C lower than the present-day (1981-2010). Our results provide insight into the structure of the Antarctic Cold Reversal in the Southern Alps, showing that the largest glacier advance occurred at the start of this interval at c. 14.5 +/- 0.3 ka and was followed by gradual retreat. We hypothesize that the early cooling and glacier readvance in New Zealand at the onset of the Antarctic Cold Reversal were triggered by a latitudinal shift of the Southern Hemisphere westerly wind belt.</t>
  </si>
  <si>
    <t>[Tielidze, Levan G.; Eaves, Shaun R.] Victoria Univ Wellington, Antarctic Res Ctr, Wellington, New Zealand; [Tielidze, Levan G.; Eaves, Shaun R.; Norton, Kevin P.] Victoria Univ Wellington, Sch Geog Environm &amp; Earth Sci, Wellington, New Zealand; [Tielidze, Levan G.] Ilia State Univ, Sch Nat Sci &amp; Med, Tbilisi, Georgia; [Mackintosh, Andrew N.] Monash Univ, Sch Earth Atmosphere &amp; Environm, Melbourne, Australia; [Pedro, Joel B.] Australian Antarctic Div, Dept Agr Water &amp; Environm, Kingston, Tas, Australia; [Pedro, Joel B.] Univ Tasmania, Inst Marine &amp; Antarctic Studies, Australian Antarctic Program Partnership, Hobart, Tas, Australia; [Hidy, Alan J.] Lawrence Livermore Natl Lab, Ctr Accelerator Mass Spectrometry, Livermore, CA USA</t>
  </si>
  <si>
    <t>Victoria University Wellington; Victoria University Wellington; Ilia State University; Monash University; Australian Antarctic Division; University of Tasmania; United States Department of Energy (DOE); Lawrence Livermore National Laboratory</t>
  </si>
  <si>
    <t>Tielidze, LG (corresponding author), Victoria Univ Wellington, Antarctic Res Ctr, Wellington, New Zealand.;Tielidze, LG (corresponding author), Victoria Univ Wellington, Sch Geog Environm &amp; Earth Sci, Wellington, New Zealand.;Tielidze, LG (corresponding author), Ilia State Univ, Sch Nat Sci &amp; Med, Tbilisi, Georgia.</t>
  </si>
  <si>
    <t>Tielidze, Levan G/E-2690-2018; Norton, Kevin/F-1606-2011</t>
  </si>
  <si>
    <t>Tielidze, Levan G/0000-0002-4646-5458; Norton, Kevin/0000-0002-7995-6464; Mackintosh, Andrew/0000-0002-6430-4711</t>
  </si>
  <si>
    <t>10.1002/jqs.3495</t>
  </si>
  <si>
    <t>E7PR6</t>
  </si>
  <si>
    <t>WOS:000910116600001</t>
  </si>
  <si>
    <t>van der Linden, EC; Le Bars, D; Lambert, E; Drijfhout, S</t>
  </si>
  <si>
    <t>van der Linden, Eveline C.; Le Bars, Dewi; Lambert, Erwin; Drijfhout, Sybren</t>
  </si>
  <si>
    <t>Antarctic contribution to future sea level from ice shelf basal melt as constrained by ice discharge observations</t>
  </si>
  <si>
    <t>RESPONSE FUNCTIONS; DRIVEN; RISE; CONSEQUENCES; RETREAT; CLIMATE</t>
  </si>
  <si>
    <t>Antarctic mass loss is the largest contributor to uncertainties in sea level projections on centennial time scales. In this study we aim to constrain future projections of the contribution of Antarctic dynamics by using ice discharge observations. The contribution of Antarctica's ice discharge is computed with ocean thermal forcing from 14 Earth system models (ESMs) and linear response functions (RFs) from 16 ice sheet models for 3 shared socioeconomic pathway (SSP) scenarios. New compared to previous studies, basal melt sensitivities to ocean temperature changes were calibrated on four decades of observed ice discharge changes rather than using observation-based basal melt sensitivities. Calibration improved historical performance but did not reduce the uncertainty in the projections. The results show that even with calibration the acceleration during the observational period is underestimated for the Amundsen Region, indicating that ice and/or ocean processes are not well represented. Also the relative contribution of the Amundsen Region is underestimated. The Amundsen Region contribution and sea level acceleration are improved by choosing an Amundsen Region-specific calibration (rather than Antarctic-wide), quadratic basal melt parameterisation (rather than linear) and thermal forcing near the ice shelf base (rather than the deepest layer above the continental shelf). With these methodological choices we arrive at a median dynamic sea level contribution of 0.12 m for SSP1-2.6, 0.14 m for SSP2-4.5 and 0.17 m for SSP5-8.5 in 2100 relative to 1995-2014, sitting in between projections of previous multimodel studies (ISMIP6 emulator and LARMIP-2). Our results show that constraining the basal melt parameterisation on Amundsen Region ice discharge rather than applying the median basal melt sensitivities used in LARMIP-2 and the mean Antarctic distribution of ISMIP6 leads to higher sea level contributions. However, differences in basal melt sensitivities alone cannot explain the differences in our projections compared to the emulated ISMIP6 and LARMIP-2. We conclude that uncertainties associated with ESMs and ice sheet models affect the projected sea level contribution more than our methodological choices in the calibration and basal melt computation.</t>
  </si>
  <si>
    <t>[van der Linden, Eveline C.; Le Bars, Dewi; Lambert, Erwin; Drijfhout, Sybren] Royal Netherlands Meteorol Inst, Utrechtseweg 297, NL-3731 GA De Bilt, Netherlands; [Drijfhout, Sybren] Univ Utrecht, Inst Marine &amp; Atmospher Res Utrecht, Dept Phys, Princetonpl 5, NL-3584 CC Utrecht, Netherlands</t>
  </si>
  <si>
    <t>Royal Netherlands Meteorological Institute; Utrecht University</t>
  </si>
  <si>
    <t>van der Linden, EC (corresponding author), Royal Netherlands Meteorol Inst, Utrechtseweg 297, NL-3731 GA De Bilt, Netherlands.</t>
  </si>
  <si>
    <t>linden@knmi.nl</t>
  </si>
  <si>
    <t>Le Bars, Dewi/AAK-8631-2020; Lambert, Erwin/AAJ-6730-2020</t>
  </si>
  <si>
    <t>Le Bars, Dewi/0000-0002-1175-4225; Lambert, Erwin/0000-0001-7537-6385; van der Linden, Eveline/0000-0001-5052-7095</t>
  </si>
  <si>
    <t>Knowledge Programme Sea Level Rise from the Dutch Ministry of Infrastructure and Water Management; Project RECEIPT (REmote Climate Effects and their Impact on European sustainability, Policy and Trade) from the European Union's Horizon 2020 Research and Innovation Programme; PROTECT from the European Union's Horizon 2020 research and innovation program [820712]; [869304]; H2020 Societal Challenges Programme [820712] Funding Source: H2020 Societal Challenges Programme</t>
  </si>
  <si>
    <t>Knowledge Programme Sea Level Rise from the Dutch Ministry of Infrastructure and Water Management; Project RECEIPT (REmote Climate Effects and their Impact on European sustainability, Policy and Trade) from the European Union's Horizon 2020 Research and Innovation Programme; PROTECT from the European Union's Horizon 2020 research and innovation program; ; H2020 Societal Challenges Programme(Horizon 2020European Union (EU)H2020 Societal Challenges Programme)</t>
  </si>
  <si>
    <t>This publication was supported by the Knowledge Programme Sea Level Rise which received funding from the Dutch Ministry of Infrastructure and Water Management, the project RECEIPT (REmote Climate Effects and their Impact on European sustainability, Policy and Trade), which received funding from the European Union's Horizon 2020 Research and Innovation Programme (grant no. 820712), and PROTECT, which received funding from the European Union's Horizon 2020 research and innovation program (grant no. 869304), PROTECT contribution number 30.</t>
  </si>
  <si>
    <t>10.5194/tc-17-79-2023</t>
  </si>
  <si>
    <t>7U3VE</t>
  </si>
  <si>
    <t>WOS:000912061400001</t>
  </si>
  <si>
    <t>Inan, B; Akin, B; Ünlue, ID; Koçer, AT; Çelik, A; Vehapi, M; Kaya, Y; Özçimen, D</t>
  </si>
  <si>
    <t>Inan, Benan; Akin, Basak; Unlue, Ilayda Dilara; Kocer, Anil Tevfik; celik, Arzu; Vehapi, Meyrem; Kaya, Yilmaz; Ozcimen, Didem</t>
  </si>
  <si>
    <t>Interactive effects of cold and temperate conditions on growth and biochemical content of Antarctic microalga Chlorella variabilis YTU.ANTARCTIC.001</t>
  </si>
  <si>
    <t>Antarctic microalgae; Chlorophyta; Psychotrophic microorganism; Stress cultivation; Physiological changes</t>
  </si>
  <si>
    <t>FATTY-ACID-COMPOSITION; FRESH-WATER MICROALGA; LIGHT; PHOTOSYNTHESIS; EXTREME; ENVIRONMENTS; INFLAMMATION; EXTRACTION; VULGARIS; BIOMASS</t>
  </si>
  <si>
    <t>The aim of this study was to isolate and identify Antarctica microalgae collected through the National Antarctic Science Expedition and to examine the growth responses and biochemical contents of Chlorella variabilis under cold and temperate cultivation conditions in growth medium consisting of various nitrogen concentrations under different lighting cycle parameters. In this study, the Antarctic microalgae Chlorella variabilis YTU.ANTARCTIC.001, was cultivated at different temperatures of 4, 13, 20 and 27 degrees C in modified BG-11 medium with various concentrations of NaNO3 (0, 0.75, 1.5, 2.5 and 3 g L-1) under three photoperiods (8:16, 16:8 and 24:0) to investigate the growth and biochemical compositions. The specific growth rate changed from 0.012 to 0.23 day(-1) with an increase in nitrate concentration, temperature and light cycle. The highest specific growth rate was 0.23 day(-1) using the growth medium that consisted of 3 g L-1 nitrate at 27 degrees C under 16:8 h light-dark cycle, while there was no algal growth at 4 degrees C. Carbohydrate, protein, chlorophyll-a and beta-carotene contents of microalgae increased with the increasing concentrations of nitrogen at 20 degrees C and 27 degrees C. The highest lipid content was achieved as 66% DW, using the growth medium consisting of 0.75 g L-1 nitrate at 13 degrees C. This study highlighted that the production of the Antarctic microalgae C. variabilis can be carried out efficiently in temperate conditions by manipulating the growth parameters.</t>
  </si>
  <si>
    <t>[Inan, Benan; Akin, Basak; Unlue, Ilayda Dilara; Kocer, Anil Tevfik; celik, Arzu; Vehapi, Meyrem; Ozcimen, Didem] Yildiz Tech Univ, Bioengn Dept, Istanbul, Turkiye; [Kaya, Yilmaz] Ondokuz Mayis Univ, Agr Biotechnol Dept, Samsun, Turkiye; [Kaya, Yilmaz] Kyrgyz Turkish Manas Univ, Dept Biol, Manas, Kyrgyzstan</t>
  </si>
  <si>
    <t>Yildiz Technical University; Ondokuz Mayis University; Kyrgyz Turkish Manas University</t>
  </si>
  <si>
    <t>Özçimen, D (corresponding author), Yildiz Tech Univ, Bioengn Dept, Istanbul, Turkiye.</t>
  </si>
  <si>
    <t>Özçimen, Didem/IWU-4522-2023; Koçer, Anıl Tevfik/ABI-3837-2020; Kaya, Yilmaz/Q-9474-2019; İnan, Benan/AAK-2064-2021</t>
  </si>
  <si>
    <t>Koçer, Anıl Tevfik/0000-0003-1519-1711; Kaya, Yilmaz/0000-0003-1506-7913; İnan, Benan/0000-0002-2315-3099; Balkanli, Didem/0000-0003-2483-7617</t>
  </si>
  <si>
    <t>Scientific and Technological Research Council of Turkey (TUBITAK) ARDEB 1001 Grant [120Z292]; Turkish Academy of Sciences (TUEBA)</t>
  </si>
  <si>
    <t>Scientific and Technological Research Council of Turkey (TUBITAK) ARDEB 1001 Grant(Turkiye Bilimsel ve Teknolojik Arastirma Kurumu (TUBITAK)); Turkish Academy of Sciences (TUEBA)(Turkish Academy of Sciences)</t>
  </si>
  <si>
    <t>This study was supported by the Scientific and Technological Research Council of Turkey (TUBITAK) ARDEB 1001 Grant No: 120Z292 and Turkish Academy of Sciences (TUEBA) as a part of Prof. Dr. Didem OEzcimen's The Outstanding Young Scientist Award (TUEBA-GEBIP) of the year 2020.</t>
  </si>
  <si>
    <t>10.1007/s10811-023-02903-6</t>
  </si>
  <si>
    <t>Y7PY7</t>
  </si>
  <si>
    <t>WOS:000920113900001</t>
  </si>
  <si>
    <t>Lee, S; Lee, JH; Youn, UJ</t>
  </si>
  <si>
    <t>Lee, Seulah; Lee, Jun Hyuck; Youn, Ui Joung</t>
  </si>
  <si>
    <t>Steroids from the Antarctic lichen Ramalina terebrata and their chemotaxonomical significance</t>
  </si>
  <si>
    <t>BIOCHEMICAL SYSTEMATICS AND ECOLOGY</t>
  </si>
  <si>
    <t>Ramalina terebrata; Antarctic lichen; Steroid; Terpenoid; Anthraquinone</t>
  </si>
  <si>
    <t>CYCLIC DEPSIPEPTIDE; UV-B; PARIETIN; IDENTIFICATION; DERIVATIVES; COMPOUND</t>
  </si>
  <si>
    <t>Four steroids (1-4) were isolated from the Antarctic lichen, Ramalina terebrata (Ramalinaceae), along with a lupane type triterpenoid (5) and an anthraquinone derivative (6). The structures of the isolated compounds were characterized by comprehensive spectroscopic analyses and LC-MS analysis. The isolated compounds were identified as brassicasterol (1), (22E,24R)-24-methylcholesta-5,22-diene-3 beta,7 alpha-diol (2), ergosterol peroxide (3), 9,11-dehydroergosterol peroxide (4), lupeol (5) and parietin (6). It is the first report of the identification of steroids and a triterpenoid from R. terebrata. The chemotaxonomical significance of the isolated compounds is also discussed.</t>
  </si>
  <si>
    <t>[Lee, Seulah] Kyung Hee Univ, Coll Life Sci, Dept Oriental Med Biotechnol, Yongin 17104, South Korea; [Lee, Jun Hyuck; Youn, Ui Joung] Univ Sci &amp; Technol, Dept Polar Sci, Incheon 21990, South Korea; [Lee, Jun Hyuck] Korea Polar Res Inst, Res Unit Cryogen Novel Mat, Incheon 21990, South Korea; [Youn, Ui Joung] Korea Polar Res Inst, Div Life Sci, Incheon 21990, South Korea</t>
  </si>
  <si>
    <t>Kyung Hee University; Korea Polar Research Institute (KOPRI); Korea Polar Research Institute (KOPRI)</t>
  </si>
  <si>
    <t>Lee, S (corresponding author), Kyung Hee Univ, Coll Life Sci, Dept Oriental Med Biotechnol, Yongin 17104, South Korea.;Youn, UJ (corresponding author), Univ Sci &amp; Technol, Dept Polar Sci, Incheon 21990, South Korea.</t>
  </si>
  <si>
    <t>lee.seulah@khu.ac.kr; ujyoun@kopri.re.kr</t>
  </si>
  <si>
    <t>Ministry of Oceans and Fisheries, Korea [20200610, PM22030]</t>
  </si>
  <si>
    <t>Ministry of Oceans and Fisheries, Korea</t>
  </si>
  <si>
    <t>This research was a part of the project titled Development of potential antibiotic compounds using polar organism resources (20200610, KOPRI Grant PM22030), funded by the Ministry of Oceans and Fisheries, Korea.</t>
  </si>
  <si>
    <t>0305-1978</t>
  </si>
  <si>
    <t>1873-2925</t>
  </si>
  <si>
    <t>BIOCHEM SYST ECOL</t>
  </si>
  <si>
    <t>Biochem. Syst. Ecol.</t>
  </si>
  <si>
    <t>10.1016/j.bse.2023.104583</t>
  </si>
  <si>
    <t>9E1KQ</t>
  </si>
  <si>
    <t>WOS:000936552500001</t>
  </si>
  <si>
    <t>Kiel, S; Jakubowicz, M; Altamirano, A; Belka, Z; Dopieralska, J; Urbina, M; Salas-Gismondi, R</t>
  </si>
  <si>
    <t>Kiel, Steffen; Jakubowicz, Michal; Altamirano, Ali; Belka, Zdzislaw; Dopieralska, Jolanta; Urbina, Mario; Salas-Gismondi, Rodolfo</t>
  </si>
  <si>
    <t>The late Cenozoic evolution of the Humboldt Current System in coastal Peru: Insights from neodymium isotopes</t>
  </si>
  <si>
    <t>Paleoceanography; Miocene; Biogenic bloom; permanent El Ni?o; South America</t>
  </si>
  <si>
    <t>FOSSIL FISH TEETH; SOUTH-PACIFIC; EQUATORIAL PACIFIC; OCEAN CIRCULATION; DRAKE PASSAGE; CENTRAL ANDES; ND; SEAWATER; NORTHERN; WATER</t>
  </si>
  <si>
    <t>The Humboldt Current System along the Pacific coast of South America creates one of the most productive ecosystems on Earth. To trace the origin of the water masses in this area, we measured neodymium isotope compositions (ENd) in tooth enameloid of two genera of coastal sharks from latest Oligocene to early Pleistocene strata in the Pisco and Sacaco basins in southern Peru. Most ENd values range from -4 to -1, with a strong negative excursion in the late Miocene (-8-7 million years ago [Ma]) with values as low as -9.2. The overall trend of the ENd values resembles that of equatorial Pacific deep waters, though with an offset of about +2 ENd units until about 6 Ma. With a major input of hinterland weathering considered unlikely, we interpret this pattern as reflecting a modern-type upwelling regime, though with a lower contribution of Antarctic waters than today. Starting about 6 Ma, the contribution of Antarctic waters to the upwelling waters increased approximately to present-day levels, coincident with, and possibly driven by, increased Antarctic glaciation and the Andes reaching their present-day elevation, both of which likely enhanced the counter-clockwise circulation in the South Pacific Ocean. The negative excursion of ENd values in the Pisco/Sacaco basins -8-7 Ma coincides with a late Miocene biogenic bloom in the Pacific Ocean and elsewhere, and with a strongly increased northward bottom current observed on the Nazca Drift System just offshore our sampling area. Thus, the negative excursion of ENd values in the Pisco/Sacaco basins likely resulted from a southern sourced input of nutrient-rich, unradiogenic water, which could have been an important contributor to the biogenic bloom. (c) 2023 The Author(s). Published by Elsevier B.V. on behalf of International Association for Gondwana Research. This is an open access article under the CC BY license (http://creativecommons.org/licenses/by/ 4.0/).</t>
  </si>
  <si>
    <t>[Kiel, Steffen] Swedish Museum Nat Hist, Dept Palaeobiol, Box 50007, S-10405 Stockholm, Sweden; [Jakubowicz, Michal; Belka, Zdzislaw] Adam Mickiewicz Univ, Isotope Res Unit, PL-61680 Poznan, Poland; [Altamirano, Ali; Urbina, Mario; Salas-Gismondi, Rodolfo] Univ Nacl Mayor San Marcos MUSM, Dept Paleontol Vertebrados, Museo Hist Nat, Av Arenales 1256, Lima, Peru; [Dopieralska, Jolanta] Adam Mickiewicz Univ Fdn, Poznan Sci &amp; Technol Pk, PL-61612 Poznan, Poland; [Salas-Gismondi, Rodolfo] Univ Peruana Cayetano Heredia, Fac Ciencias &amp; Filosofia, Lima, Peru; [Salas-Gismondi, Rodolfo] Ctr Invest Desarrollo Integral &amp; Sostenible CIDIS, Paleontol &amp; Evolucionde Vertebrados Lab, Lima, Peru</t>
  </si>
  <si>
    <t>Swedish Museum of Natural History; Adam Mickiewicz University; Universidad Nacional Mayor de San Marcos; Adam Mickiewicz University; Universidad Peruana Cayetano Heredia</t>
  </si>
  <si>
    <t>Kiel, S (corresponding author), Swedish Museum Nat Hist, Dept Palaeobiol, Box 50007, S-10405 Stockholm, Sweden.</t>
  </si>
  <si>
    <t>steffen.kiel@nrm.se</t>
  </si>
  <si>
    <t>Jakubowicz, Michal/Q-6329-2016; Kiel, Steffen/C-3150-2009; Belka, Zdzislaw/A-5177-2008</t>
  </si>
  <si>
    <t>Jakubowicz, Michal/0000-0001-7995-0532; Kiel, Steffen/0000-0001-6281-100X; Dopieralska, Jolanta/0000-0001-9281-4244; Belka, Zdzislaw/0000-0001-9634-610X</t>
  </si>
  <si>
    <t>Bolin Centre for Climate Research (Stockholm, Sweden); Prociencia/Concytec research [E38-2019-02-Fondecyt-BM, 104-2018-Fondecyt, 149-2018-Fondecyt-BM-IADT-AV]</t>
  </si>
  <si>
    <t>Bolin Centre for Climate Research (Stockholm, Sweden); Prociencia/Concytec research</t>
  </si>
  <si>
    <t>We thank Helen Coxall and Agatha de Boer (University of Stock-holm, Sweden), and Matt Huber (Purdue University, West Lafay ette, USA) for discussions on paleoceanography. Alberto Collareta (Pisa), Gerpme Calves (Toulouse), and three anonymous reviewers are thanked for their constructive criticism that helped improving the manuscript. Financial support was provided by the Bolin Centre for Climate Research (Stockholm, Sweden) to SK, and by Prociencia/Concytec research grants (E38-2019-02-Fondecyt-BM, 104-2018-Fondecyt, and 149-2018-Fondecyt-BM-IADT-AV) to RS-G.</t>
  </si>
  <si>
    <t>10.1016/j.gr.2022.12.008</t>
  </si>
  <si>
    <t>8O6EQ</t>
  </si>
  <si>
    <t>WOS:000925928200001</t>
  </si>
  <si>
    <t>Saraswat, R; Suokhrie, T; Naik, DK; Singh, DP; Saalim, SM; Salman, M; Kumar, G; Bhadra, SR; Mohtadi, M; Kurtarkar, SR; Maurya, AS</t>
  </si>
  <si>
    <t>Saraswat, Rajeev; Suokhrie, Thejasino; Naik, Dinesh K.; Singh, Dharmendra P.; Saalim, Syed M.; Salman, Mohd; Kumar, Gavendra; Bhadra, Sudhira R.; Mohtadi, Mahyar; Kurtarkar, Sujata R.; Maurya, Abhayanand S.</t>
  </si>
  <si>
    <t>Large freshwater-influx-induced salinity gradient and diagenetic changes in the northern Indian Ocean dominate the stable oxygen isotopic variation in Globigerinoides ruber</t>
  </si>
  <si>
    <t>LAST GLACIAL MAXIMUM; PLANKTONIC-FORAMINIFERA; WESTERN BAY; ARABIAN SEA; DIFFERENTIAL DISSOLUTION; SURFACE SEDIMENTS; CHLOROPHYLL-A; WARM POOL; TEMPERATURE; BENGAL</t>
  </si>
  <si>
    <t>The application of stable oxygen isotopic ratio of surface-dwelling planktic foraminifera Globigerinoides ruber (white variety; delta(18)Oruber) to reconstruct past hydrological changes requires a precise understanding of the effect of ambient parameters on delta(18)Oruber. The northern Indian Ocean, with its huge freshwater influx and being a part of the Indo-Pacific Warm Pool, provides a unique setting to understand the effect of both the freshwater-influx-induced salinity and temperature on delta(18)Oruber. Here, we use a total of 400 surface samples (252 from this work and 148 from previous studies), covering the entire salinity end-member region, to assess the effect of freshwater-influx-induced seawater salinity and temperature on delta(18)Oruber in the northern Indian Ocean. The analysed surface delta(18)O(rube)r mimics the expected delta O-18 calcite estimated from the modern seawater parameters (temperature, salinity, and seawater delta 18O) very well. We report a large diagenetic overprinting of delta(18)Oruber in the surface sediments, with an increase of 0.18 ?(SIC) per kilometre increase in water depth. The freshwater-influx-induced salinity exerts the major control on delta(18)Oruber (R2=0.63) in the northern Indian Ocean, with an increase of 0.29 (SIC) per unit increase in salinity. The relationship between temperature- and salinity-corrected delta(18)Oruber (delta O-18(ruber)-delta O-18(sw)) in the northern Indian Ocean [T=-0.59.(delta(18)Oruber-delta(18)Osw)+26.40] is different than reported previously, based on the global compilation of plankton tow delta(18)O(rube)r data. The revised equations will help create a better palaeoclimatic reconstruction from the northern Indian Ocean by using the stable oxygen isotopic ratio. The entire data set (newly generated and previously published) used in this work is available both as a Supplement to this article and at PANGAEA (; Saraswat et al., 2022).</t>
  </si>
  <si>
    <t>[Saraswat, Rajeev; Suokhrie, Thejasino; Salman, Mohd; Kumar, Gavendra; Bhadra, Sudhira R.; Kurtarkar, Sujata R.] Natl Inst Oceanog, Geol Oceanog Div, Micropaleontol Lab, Panaji, Goa, India; [Naik, Dinesh K.] Banaras Hindu Univ, Dept Geol, Varanasi, Uttar Pradesh, India; [Singh, Dharmendra P.; Maurya, Abhayanand S.] Indian Inst Technol Roorkee IIT Roorkee, Dept Earth Sci, Roorkee, Uttarakhand, India; [Saalim, Syed M.] Natl Ctr Polar &amp; Ocean Res, Antarctic Sci Div, Vasco da Gama, Goa, India; [Salman, Mohd; Kumar, Gavendra] Goa Univ, Sch Earth Ocean &amp; Atmospher Sci, Taleigao, Goa, India; [Mohtadi, Mahyar] Univ Bremen, Ctr Marine Environm Sci MARUM, Bremen, Germany</t>
  </si>
  <si>
    <t>Council of Scientific &amp; Industrial Research (CSIR) - India; CSIR - National Institute of Oceanography (NIO); Banaras Hindu University (BHU); Indian Institute of Technology System (IIT System); Indian Institute of Technology (IIT) - Roorkee; Ministry of Earth Sciences (MoES) - India; National Centre for Polar and Ocean Research (NCPOR); Goa University; University of Bremen</t>
  </si>
  <si>
    <t>Saraswat, R (corresponding author), Natl Inst Oceanog, Geol Oceanog Div, Micropaleontol Lab, Panaji, Goa, India.</t>
  </si>
  <si>
    <t>rsaraswat@nio.org</t>
  </si>
  <si>
    <t>Mohtadi, Mahyar/N-2106-2014</t>
  </si>
  <si>
    <t>Mohtadi, Mahyar/0000-0003-3306-0969; Maurya, Abhayanad Singh/0000-0001-7489-8026; Bhadra, Sudhira Ranjan/0000-0003-2698-4047; Saalim, Syed Mohammad/0000-0002-0046-576X</t>
  </si>
  <si>
    <t>Council of Scientific and Industrial Research, India (LEMAP)</t>
  </si>
  <si>
    <t>This research has been supported by the Council of Scientific and Industrial Research, India (LEMAP).</t>
  </si>
  <si>
    <t>JAN 10</t>
  </si>
  <si>
    <t>10.5194/essd-15-171-2023</t>
  </si>
  <si>
    <t>7T4OQ</t>
  </si>
  <si>
    <t>WOS:000911424500001</t>
  </si>
  <si>
    <t>Paine, ER; Britton, D; Schmid, M; Brewer, EA; Diaz-Pulido, G; Boyd, PW; Hurd, CL</t>
  </si>
  <si>
    <t>Paine, Ellie R.; Britton, Damon; Schmid, Matthias; Brewer, Elizabeth A.; Diaz-Pulido, Guillermo; Boyd, Philip W.; Hurd, Catriona L.</t>
  </si>
  <si>
    <t>No effect of ocean acidification on growth, photosynthesis, or dissolved organic carbon release by three temperate seaweeds with different dissolved inorganic carbon uptake strategies</t>
  </si>
  <si>
    <t>dissolved inorganic carbon; dissolved organic carbon; macroalgae; ocean acidification; seaweeds; uptake strategies</t>
  </si>
  <si>
    <t>KELP MACROCYSTIS-PYRIFERA; ARCTIC KELPS; ELEVATED CO2; LAMINARIALES; MACROALGAE; RESPONSES; PH; ASSIMILATION; ENHANCEMENT; ACQUISITION</t>
  </si>
  <si>
    <t>In a future ocean, dissolved organic carbon (DOC) release by seaweed has been considered a pathway for organic carbon that is not incorporated into growth under carbon dioxide (CO2) enrichment/ocean acidification (OA). To understand the influence of OA on seaweed DOC release, a 21-day experiment compared the physiological responses of three seaweed species, two which operate CO2 concentrating mechanisms (CCMs), Ecklonia radiata (C. Agardh) J. Agardh and Lenormandia marginata (Hooker F. and Harvey) and one that only uses CO2 (non-CCM), Plocamium cirrhosum (Turner) M.J. Wynne. These two groups (CCM and non-CCM) are predicted to respond differently to OA dependent on their affinities for C-i (defined as CO2 + bicarbonate, HCO3-). Future ocean CO2 treatment did not drive changes to seaweed physiology-growth, C-i uptake, DOC production, photosynthesis, respiration, pigments, % tissue carbon, nitrogen, and C:N ratios-for any species, regardless of C-i uptake method. Our results further showed that C-i uptake method did not influence DOC release rates under OA. Our results show no benefit of elevated CO2 concentrations on the physiologies of the three species under OA and suggest that in a future ocean, photosynthetic CO2 fixation rates of these seaweeds will not increase with C-i concentration.</t>
  </si>
  <si>
    <t>[Paine, Ellie R.; Britton, Damon; Schmid, Matthias; Boyd, Philip W.; Hurd, Catriona L.] Univ Tasmania, Inst Marine &amp; Antarctic Studies, 20 Castray Esplanade, Hobart, Tas 7004, Australia; [Schmid, Matthias] Univ Galway, Univ Rd, Galway, Ireland; [Brewer, Elizabeth A.] CSIRO Oceans &amp; Atmosphere, Castray Esplanade, Hobart, Tas 7001, Australia; [Diaz-Pulido, Guillermo] Griffith Univ, Coastal &amp; Marine Res Ctr, Sch Environm &amp; Sci, Brisbane, Qld 4111, Australia; [Diaz-Pulido, Guillermo] Griffith Univ, Australian Rivers Inst, Brisbane, Qld 4111, Australia</t>
  </si>
  <si>
    <t>University of Tasmania; Ollscoil na Gaillimhe-University of Galway; Commonwealth Scientific &amp; Industrial Research Organisation (CSIRO); Griffith University; Griffith University</t>
  </si>
  <si>
    <t>Paine, ER (corresponding author), Univ Tasmania, Inst Marine &amp; Antarctic Studies, 20 Castray Esplanade, Hobart, Tas 7004, Australia.</t>
  </si>
  <si>
    <t>ellie.paine@utas.edu.au</t>
  </si>
  <si>
    <t>Boyd, Philip W/J-7624-2014; Brewer, Elizabeth A./HGE-6812-2022; Hurd, Catriona L/J-2411-2013</t>
  </si>
  <si>
    <t>Britton, Damon/0000-0002-9029-7527; Paine, Ellie/0000-0003-2816-9521; Diaz-Pulido, Guillermo/0000-0002-0901-3727</t>
  </si>
  <si>
    <t>10.1093/icesjms/fsac221</t>
  </si>
  <si>
    <t>WOS:000909835300001</t>
  </si>
  <si>
    <t>Surawy-Stepney, T; Hogg, AE; Cornford, SL; Davison, BJ</t>
  </si>
  <si>
    <t>Surawy-Stepney, Trystan; Hogg, Anna E.; Cornford, Stephen L.; Davison, Benjamin J.</t>
  </si>
  <si>
    <t>Episodic dynamic change linked to damage on the thwaites glacier ice tongue</t>
  </si>
  <si>
    <t>PINE ISLAND; WEST ANTARCTICA; BREAK-UP; SHELF; SHEET; MODEL; VELOCITY</t>
  </si>
  <si>
    <t>The stability and dynamics of Thwaites Glacier depend on the structural properties of its marine terminus; however, the relationship between these variables on the floating ice tongue is poorly understood. Here we present a six-year record of ice speed, derived from satellite observations starting in 2015, showing two large-magnitude (approximately 30-45%) and prolonged (approximately one to two years) cycles of speed variation across the ice tongue. Using an automated, deep learning-based method of extracting high-resolution fracture maps from satellite imagery, we detail periods of increasing fracture development and subsequent reconsolidation in the ice tongue shear margin that coincide with the observed speed changes. Inverse modelling using the BISICLES ice-sheet model indicates that the variation in ice speed can be accounted for by these observed changes to the spatial pattern of fracturing. This study provides further evidence of direct coupling between fracturing and dynamic variability in West Antarctica but indicates that increased fracturing and associated speed changes are reversible on one- to two-year timescales. We suggest that fracturing does not necessarily lead to positive feedback with glacier acceleration on these timescales and that damage process modelling is important for accurately predicting the evolution of the Antarctic Ice Sheet.</t>
  </si>
  <si>
    <t>[Surawy-Stepney, Trystan; Hogg, Anna E.; Davison, Benjamin J.] Univ Leeds, Sch Earth &amp; Environm, Leeds, England; [Cornford, Stephen L.] Univ Bristol, Sch Geog Sci, Bristol, England</t>
  </si>
  <si>
    <t>University of Leeds; University of Bristol</t>
  </si>
  <si>
    <t>Surawy-Stepney, T (corresponding author), Univ Leeds, Sch Earth &amp; Environm, Leeds, England.</t>
  </si>
  <si>
    <t>eetss@leeds.ac.uk</t>
  </si>
  <si>
    <t>Surawy-Stepney, Trystan/0000-0003-0319-1861; Davison, Ben/0000-0001-9483-2956</t>
  </si>
  <si>
    <t>Natural Environment Research Council (NERC) [NE/T012757/1]; ESA Polar+ Ice Shelves project [ESA-IPLPOE-EF-cb-LE-2019-834]; European Union [869304]; NERC [NE/T012757/1] Funding Source: UKRI</t>
  </si>
  <si>
    <t>Natural Environment Research Council (NERC)(UK Research &amp; Innovation (UKRI)Natural Environment Research Council (NERC)); ESA Polar+ Ice Shelves project; European Union(European Union (EU)); NERC(UK Research &amp; Innovation (UKRI)Natural Environment Research Council (NERC))</t>
  </si>
  <si>
    <t>This work was led by the School of Earth and Environment at the University of Leeds. We thank D. Hogg for valuable advice regarding the deep learning methods employed in this study and R. Rigby for advice on high-performance computing. Much of this work was undertaken on ARC4, part of the High-Performance Computing facilities at the University of Leeds. We gratefully acknowledge the European Space Agency and the European Commission for the acquisition of Sentinel-1 data. A.E.H. and B.J.D. were supported by the Natural Environment Research Council (NERC) DeCAdeS project (NE/T012757/1) and ESA Polar+ Ice Shelves project (ESA-IPLPOE-EF-cb-LE-2019-834). S.L.C. was supported by the European Union's Horizon 2020 research and innovation programme, grant agreement number 869304, PROTECT.</t>
  </si>
  <si>
    <t>10.1038/s41561-022-01097-9</t>
  </si>
  <si>
    <t>7Y4IR</t>
  </si>
  <si>
    <t>WOS:000913823600003</t>
  </si>
  <si>
    <t>Mylius, KA; Lavers, JL; Woehler, EJ; Rodemann, T; Keys, BC; Rivers-Auty, J</t>
  </si>
  <si>
    <t>Mylius, Karli A.; Lavers, Jennifer L.; Woehler, Eric J.; Rodemann, Thomas; Keys, Bianca C.; Rivers-Auty, Jack</t>
  </si>
  <si>
    <t>Foraging strategy influences the quantity of ingested micro- and nanoplastics in shorebirds?</t>
  </si>
  <si>
    <t>Coastal birds; Coastal sediments; Flow cytometry; FT -IR; Plastic pollution; Tasmania</t>
  </si>
  <si>
    <t>PLASTIC DEBRIS; MICROPLASTICS; MARINE; ACCUMULATION; SEDIMENTS; IDENTIFICATION; OYSTERCATCHERS; SELECTION; BEHAVIOR; BEACHES</t>
  </si>
  <si>
    <t>Coastlines, including estuaries, mudflats, and beaches, are particularly susceptible to plastic pollution, which can accumulate from both marine and terrestrial sources. While numerous studies have confirmed the presence of microplastics (1-5 mm) along coastlines, few have focused on very small particles (&lt;1 mu m) or quantified exposure within the organisms that inhabit these areas, such as shorebirds. Here, we quantified small plastics (200 nm-70 mu m) in two resident shorebird species in Tasmania, and compared this to quantities found in the surrounding sediments in order to investigate the potential exposure and transfer of particles within these ecosystems. Analysis was performed using a combination of flow cytometry for quantification of micro- and nanoplastics (200 nm-70 mu m), and mu m-FT-IR for validation and polymer identification of particles &gt;5.5 x 5.5 mu m. Micro- and nano-plastics were detected in 100% of guano samples from surface-feeding Eastern Hooded Plovers (Thinornis cucullatus) and 90% of Australian Pied Oystercatcher (Haematopus longirostris) guano, a species that forages for coastal invertebrates at 60-90 mm depth, and 100% of beach sediments. Hooded Plover guano contained 32 x more plastics, on average, than Pied Oystercatcher guano. Interestingly, the abundance of plastic particles within sediments collected from shorebird foraging sites did not appear to have a significant effect on the number of plastics the birds had ingested, suggesting the difference between species is likely a result of other variables, such as prey selection. The results of this study highlight the importance of including techniques that provide quantitative data on the abundance and size of the smallest possible particle sizes, and demonstrate the significant proportion of small plastics that are 'missed' using standard analysis tools.</t>
  </si>
  <si>
    <t>[Mylius, Karli A.; Lavers, Jennifer L.; Keys, Bianca C.] Inst Marine &amp; Antarctic Studies, 20 Castray Esplanade, Battery Point, Tas 7004, Australia; [Lavers, Jennifer L.] Esperance Tjaltjraak Native Title Aboriginal Corp, 11A Shelden Rd, Esperance, WA 6450, Australia; [Woehler, Eric J.] BirdLife Tasmania, Hobart, Tas 7001, Australia; [Rodemann, Thomas] Univ Tasmania, Cent Sci Lab, Dynnyrne, Tas 7005, Australia; [Rivers-Auty, Jack] Univ Tasmania, Tasmanian Sch Med, Hobart, Tas 7000, Australia</t>
  </si>
  <si>
    <t>Lavers, JL (corresponding author), Inst Marine &amp; Antarctic Studies, 20 Castray Esplanade, Battery Point, Tas 7004, Australia.</t>
  </si>
  <si>
    <t>Jennifer.Lavers1@nhm.ac.uk</t>
  </si>
  <si>
    <t>Lavers, Jennifer/O-4831-2017; Lavers, Jennifer/IWM-5417-2023</t>
  </si>
  <si>
    <t>Lavers, Jennifer/0000-0001-7596-6588; Keys, Bianca/0000-0002-9082-8420; Woehler, Eric/0000-0002-1125-0748; Rodemann, Thomas/0000-0003-2356-1153</t>
  </si>
  <si>
    <t>Detached Cultural Organisation; Australian Wildlife Society; BirdLife Tasmania</t>
  </si>
  <si>
    <t>The authors acknowledge the traditional owners and original scientists of lutruwita/Tasmania where this research was completed. We honour their spirit and knowledge as we strive to uphold their custodial obligation to care for land and sea Country. We thank David Charlton, and Laura Vermeersch for assisting with field sample collection, Lillian Stewart for creating the graphical abstract, Dr Terry Pinfold for assistance with flow cytometry, and the rest of the Adrift Lab team for their advice, support, and enthusiasm throughout this project. Funding was provided by Detached Cultural Organisation, the Australian Wildlife Society, BirdLife Tasmania, and an anonymous donor who generously provided direct support to the student that greatly assisted with the cost-of-living crisis. Three anonymous reviewers provided valuable feedback on earlier versions of this manuscript.</t>
  </si>
  <si>
    <t>10.1016/j.envpol.2022.120844</t>
  </si>
  <si>
    <t>8K9VR</t>
  </si>
  <si>
    <t>WOS:000923440900001</t>
  </si>
  <si>
    <t>Guo, HL; Zhang, C; Duan, M; Li, JC; Zhang, WC; Tian, YJ</t>
  </si>
  <si>
    <t>Guo, Huilin; Zhang, Chi; Duan, Mi; Li, Jianchao; Zhang, Wenchao; Tian, Yongjun</t>
  </si>
  <si>
    <t>First record of gray rockcod Lepidonotothen squamifrons larvae in the Amundsen Sea, Antarctic: implication for a new spawning ground and early life characteristics</t>
  </si>
  <si>
    <t>Lepidonotothen squamifrons; Larvae; Otolith microstructure; Amundsen Sea; Early life characteristics</t>
  </si>
  <si>
    <t>FISHES; PERCIFORMES; ABUNDANCE; POLYNYA; HISTORY; GROWTH; AGE</t>
  </si>
  <si>
    <t>The gray rockcod Lepidonotothen squamifrons is widespread throughout the Antarctic region; however, little is known about its early life information. Highly abundant gray rockcod larvae were collected in the Amundsen Sea polynyas during a zooplankton survey conducted in March 2022. This is the first record of gray rockcod larvae in high abundance found at high latitudes in the Southern Ocean. The otolith microstructure analysis provided more insight into the early life characteristics of gray rockcod. A total of 41 individuals with a standard length of 9.6-15.3 mm were estimated to be 6-11 days. Multiple primordia were recorded in the otolith for the first time. The Gompertz model was well fitted to the age-length data, indicating a mean daily growth rate of 0.66 mm day(-1) (SE = 0.35). Larval hatching occurred at a size of 4.08 mm (SE = 3.85) and was concentrated over a short period in early March. Compared to the populations observed at lower latitudes, the gray rockcod in the Amundsen Sea polynyas showed later hatch times, smaller hatch sizes, and faster growth rates. Therefore, we speculate that Amundsen Sea polynyas are potential spawning grounds for gray rockcod. The spatial differences in early life characteristics revealed herein could contribute to our understanding of the life history strategy and adaptation of the gray rockcod.</t>
  </si>
  <si>
    <t>[Guo, Huilin; Zhang, Chi; Duan, Mi; Li, Jianchao; Zhang, Wenchao; Tian, Yongjun] Ocean Univ China, Frontiers Sci Ctr Deep Ocean Multispheres &amp; Earth, Minist Educ, Qingdao 266003, Peoples R China; [Guo, Huilin; Zhang, Chi; Duan, Mi; Li, Jianchao; Zhang, Wenchao; Tian, Yongjun] Ocean Univ China, Key Lab Mariculture, Minist Educ, Qingdao 266003, Peoples R China; [Tian, Yongjun] Qingdao Natl Lab Marine Sci &amp; Technol, Lab Marine Fisheries Sci &amp; Food Prod Proc, Qingdao 266071, Peoples R China</t>
  </si>
  <si>
    <t>Ocean University of China; Ocean University of China; Laoshan Laboratory</t>
  </si>
  <si>
    <t>Tian, YJ (corresponding author), Ocean Univ China, Frontiers Sci Ctr Deep Ocean Multispheres &amp; Earth, Minist Educ, Qingdao 266003, Peoples R China.;Tian, YJ (corresponding author), Ocean Univ China, Key Lab Mariculture, Minist Educ, Qingdao 266003, Peoples R China.;Tian, YJ (corresponding author), Qingdao Natl Lab Marine Sci &amp; Technol, Lab Marine Fisheries Sci &amp; Food Prod Proc, Qingdao 266071, Peoples R China.</t>
  </si>
  <si>
    <t>yjtian@ouc.edu.cn</t>
  </si>
  <si>
    <t>LI, Jianchao/J-2053-2017; （郭慧林）, Hui-Lin GUO/G-5096-2011</t>
  </si>
  <si>
    <t>research project Impact and Response of Antarctic Seas to Climate Change; Chinese Arctic and Antarctic Administration (CAA), Ministry of Natural Resources of the People's Republic of China [IRASCC 01-02-05C]</t>
  </si>
  <si>
    <t>research project Impact and Response of Antarctic Seas to Climate Change; Chinese Arctic and Antarctic Administration (CAA), Ministry of Natural Resources of the People's Republic of China</t>
  </si>
  <si>
    <t>We are grateful to the scientific staff and the crew aboard the 37th Chinese National Antarctica Research Expeditions for their support in sampling processing and data collection. This study was financially supported by the research project Impact and Response of Antarctic Seas to Climate Change, IRASCC2020-2022 (Grant No. IRASCC 01-02-05C) from the Chinese Arctic and Antarctic Administration (CAA), Ministry of Natural Resources of the People's Republic of China.</t>
  </si>
  <si>
    <t>10.1007/s00300-022-03111-7</t>
  </si>
  <si>
    <t>WOS:000910738300001</t>
  </si>
  <si>
    <t>Akiyoshi, H; Kadowaki, M; Yamashita, Y; Nagatomo, T</t>
  </si>
  <si>
    <t>Akiyoshi, Hideharu; Kadowaki, Masanao; Yamashita, Yousuke; Nagatomo, Toshiharu</t>
  </si>
  <si>
    <t>Dependence of column ozone on future ODSs and GHGs in the variability of 500-ensemble members</t>
  </si>
  <si>
    <t>QUASI-BIENNIAL OSCILLATION; POLAR STRATOSPHERIC CLOUD; NORTHERN-HEMISPHERE; INTERANNUAL VARIABILITY; RETURN DATES; CLIMATE; MODEL; CIRCULATION; CHEMISTRY; SOLAR</t>
  </si>
  <si>
    <t>State-of-the-art chemistry-climate models (CCMs) have indicated that a future decrease in ozone-depleting substances (ODSs) combined with an increase in greenhouse gases (GHGs) would increase the column ozone amount in most regions except the tropics and Antarctic. However, large Arctic ozone losses have occurred at a frequency of approximately once per decade since the 1990s (1997, 2011 and 2020), despite the ODS concentration peaking in the mid-1990s. To understand this, CCMs were used to conduct 24 experiments with ODS and GHG concentrations set based on predicted values for future years; each experiment consisted of 500-member ensembles. The 50 ensemble members with the lowest column ozone in the mid- and high latitudes of the Northern Hemisphere showed a clear ODS dependence associated with low temperatures and a strong westerly zonal mean zonal wind. Even with high GHG concentrations, several ensemble members showed extremely low spring column ozone in the Arctic when ODS concentration remained above the 1980-1985 level. Hence, ODS concentrations should be reduced to avoid large ozone losses in the presence of a stable Arctic polar vortex. The average of the lowest 50 members indicates that GHG increase towards the end of the twenty-first century will not cause worse Arctic ozone depletion.</t>
  </si>
  <si>
    <t>[Akiyoshi, Hideharu; Yamashita, Yousuke; Nagatomo, Toshiharu] Natl Inst Environm Studies, Earth Syst Div, 16-2 Onogawa, Tsukuba, Ibaraki 3058506, Japan; [Kadowaki, Masanao] Japan Atom Energy Agcy, Nucl Sci &amp; Engn Ctr, 765-1 Funaishikawa,Tokai Mura, Naka, Ibaraki 3191184, Japan; [Yamashita, Yousuke] Japan Agcy MarineEarth Sci &amp; Technol, 3173-25 Showa machi,Kanazawa Ku, Yokohama, Kanagawa 2360001, Japan</t>
  </si>
  <si>
    <t>National Institute for Environmental Studies - Japan; Japan Atomic Energy Agency</t>
  </si>
  <si>
    <t>Akiyoshi, H (corresponding author), Natl Inst Environm Studies, Earth Syst Div, 16-2 Onogawa, Tsukuba, Ibaraki 3058506, Japan.</t>
  </si>
  <si>
    <t>hakiyosi@nies.go.jp</t>
  </si>
  <si>
    <t>Yamashita, Yousuke/AAB-4754-2019</t>
  </si>
  <si>
    <t>Yamashita, Yousuke/0000-0002-6813-4668</t>
  </si>
  <si>
    <t>Environment Research and Technology Development Fund of the Environmental Restoration and Conservation Agency, Japan [2-1303, JPMEERF20172009]; KAKENHI of the Ministry of Education, Culture, Sports, Science, and Technology, Japan [JP18KK0289, JP19K03961, JP20H01977, JP20K12155]; Grants-in-Aid for Scientific Research [20H01977, 20K12155] Funding Source: KAKEN</t>
  </si>
  <si>
    <t>Environment Research and Technology Development Fund of the Environmental Restoration and Conservation Agency, Japan; KAKENHI of the Ministry of Education, Culture, Sports, Science, and Technology, Japan(Ministry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</si>
  <si>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thank T. Imamura and T. Ogura in NIES for their helpful discussions and E. Dupuy for his assistance with the statistical analysis of the 500-member ensembles. This study was supported by the Environment Research and Technology Development Fund (2-1303 and JPMEERF20172009) of the Environmental Restoration and Conservation Agency, Japan, and KAKENHI (JP18KK0289, JP19K03961, JP20H01977, and JP20K12155) of the Ministry of Education, Culture, Sports, Science, and Technology, Japan. NEC SX-ACE and SX-AURORA TSUBASA at NIES were used to perform model simulations. Gtool3.5 was used for data processing. GMT was used for making figures.</t>
  </si>
  <si>
    <t>JAN 6</t>
  </si>
  <si>
    <t>10.1038/s41598-023-27635-y</t>
  </si>
  <si>
    <t>M6QI7</t>
  </si>
  <si>
    <t>WOS:001031438900055</t>
  </si>
  <si>
    <t>Wolff, EW; Burke, A; Crick, L; Doyle, EA; Innes, HM; Mahony, SH; Rae, JWB; Severi, M; Sparks, RSJ</t>
  </si>
  <si>
    <t>Wolff, Eric W.; Burke, Andrea; Crick, Laura; Doyle, Emily A.; Innes, Helen M.; Mahony, Sue H.; Rae, James W. B.; Severi, Mirko; Sparks, R. Stephen J.</t>
  </si>
  <si>
    <t>Frequency of large volcanic eruptions over the past 200 000 years</t>
  </si>
  <si>
    <t>ANTARCTIC ICE-CORES; EPICA-DOME-C; STRATOSPHERIC SULFUR INJECTIONS; AEROSOL OPTICAL DEPTH; CLIMATE; VARIABILITY; SYNCHRONIZATION; DEGLACIATION; CHRONOLOGY; MAGNITUDE</t>
  </si>
  <si>
    <t>Volcanic eruptions are the dominant cause of natural variability in climate forcing on timescales up to multidecadal. Large volcanic eruptions lead to global-scale climate effects and influence the carbon cycle on long timescales. However, estimating the frequency of eruptions is challenging. Here we assess the frequency at which eruptions with particular deposition fluxes are observed in the EPICA Dome C ice core over the last 200 kyr. Using S isotope analysis we confirm that most of the largest peaks recorded at Dome C are from stratospheric eruptions. The cumulative frequency through 200 kyr is close to linear, suggesting an approximately constant rate of eruptions. There is no evidence for an increase in the rate of events recorded in Antarctica at either of the last two deglaciations. Millennial variability is at the level expected from recording small numbers of eruptions, while multimillennial variability may be partly due to changes in transport efficiency through the Brewer- Dobson circulation. Our record of events with sulfate deposition rates &gt; 20 and &gt; 50 mg m(-2) contains 678 and 75 eruptions, respectively, over the last 200 kyr. Calibration with data on historic eruptions and analysis of a global Quaternary dataset of terrestrial eruptions indicates that sulfate peaks with deposition rates &gt; 20 and &gt; 50 mg m(-2) correspond to explosive eruptions of magnitude &gt; 6.5 and &gt; 7, respectively. The largest recorded eruption deposited just over 300 mg m(-2).</t>
  </si>
  <si>
    <t>[Wolff, Eric W.; Doyle, Emily A.] Univ Cambridge, Dept Earth Sci, Cambridge CB2 3EQ, England; [Burke, Andrea; Crick, Laura; Innes, Helen M.; Rae, James W. B.] Univ St Andrews, Sch Earth &amp; Environm Sci, St Andrews KY16 9AL, Scotland; [Mahony, Sue H.; Sparks, R. Stephen J.] Univ Bristol, Sch Earth Sci, Bristol BS8 1RJ, England; [Severi, Mirko] Univ Florence, Chem Dept, I-50019 Sesto Fiorentino, Italy</t>
  </si>
  <si>
    <t>University of Cambridge; University of St Andrews; University of Bristol; University of Florence</t>
  </si>
  <si>
    <t>Wolff, EW (corresponding author), Univ Cambridge, Dept Earth Sci, Cambridge CB2 3EQ, England.</t>
  </si>
  <si>
    <t>Wolff, Eric W/D-7925-2014; Sparks, Stephen/F-4287-2016; Severi, Mirko/J-2508-2012; Rae, James/R-3812-2017</t>
  </si>
  <si>
    <t>Wolff, Eric W/0000-0002-5914-8531; Severi, Mirko/0000-0003-1511-6762; Rae, James/0000-0003-3904-2526; Crick, Laura/0000-0003-1843-4678; Burke, Andrea/0000-0002-3754-1498</t>
  </si>
  <si>
    <t>Leverhulme Trust [RPG-2015-246]; Royal Society Professorship [RP/R/180003]; Marie Curie Career Integration Grant [CIG14-631752]</t>
  </si>
  <si>
    <t>Leverhulme Trust(Leverhulme Trust); Royal Society Professorship(Royal Society); Marie Curie Career Integration Grant(Marie Curie Actions)</t>
  </si>
  <si>
    <t>This research has been supported by the Leverhulme Trust (grant RPG-2015-246), by a Royal Society Professorship (grant no. RP/R/180003), and by a Marie Curie Career Integration Grant (CIG14-631752).</t>
  </si>
  <si>
    <t>10.5194/cp-19-23-2023</t>
  </si>
  <si>
    <t>7Q2EK</t>
  </si>
  <si>
    <t>WOS:000909209500001</t>
  </si>
  <si>
    <t>Friedlander, AM; Ballesteros, E; Caselle, JE; Huene, M; Adler, AM; Sala, E</t>
  </si>
  <si>
    <t>Friedlander, Alan M.; Ballesteros, Enric; Caselle, Jennifer E.; Huene, Mathias; Adler, Alyssa M.; Sala, Enric</t>
  </si>
  <si>
    <t>Patterns and drivers of benthic macroinvertebrate assemblages in the kelp forests of southern Patagonia</t>
  </si>
  <si>
    <t>COMMUNITY STRUCTURE; TOP-DOWN; ECOSYSTEMS; MAGELLAN; BIODIVERSITY; BIOGEOGRAPHY; MACROCYSTIS; CALIFORNIA; IMPACTS; ECOLOGY</t>
  </si>
  <si>
    <t>The kelp forests of southern Patagonia have a large diversity of habitats, with remote islands, archipelagos, peninsulas, gulfs, channels, and fjords, which are comprised of a mixture of species with temperate and sub-Antarctic distributions, creating a unique ecosystem that is among the least impacted on Earth. We investigated the distribution, diversity, and abundance of marine macroinvertebrate assemblages from the kelp forests of southern Patagonia over a large spatial scale and examined the environmental drivers contributing to the observed patterns in assemblage composition. We analyzed data from 120 quantitative underwater transects (25 x 2 m) conducted within kelp forests in the southern Patagonian fjords in the Kawesqar National Reserve (KNR), the remote Cape Horn (CH) and Diego Ramirez (DR) archipelagos of southern Chile, and the Mitre Peninsula (MP) and Isla de los Estados (IE) in the southern tip of Argentina. We observed rich assemblages of macroinvertebrates among these kelp forests, with a total of 185 unique taxa from 10 phyla and 23 classes/infraorders across the five regions. The number of taxa per transect was highest at IE, followed by MP, CH, and KNR, with the lowest number recorded at DR. The trophic structure of the macroinvertebrate assemblages was explained mostly by wave exposure (28% of the variation), followed by salinity (12%) and the KNR region (11%). KNR was most distinct from the other regions with a greater abundance of deposit feeders, likely driven by low salinity along with high turbidity and nutrients from terrigenous sources and glacial melt. Our study provides the first broad-scale description of the benthic assemblages associated with kelp forests in this vast and little-studied region and helps to establish baselines for an area that is currently lightly influenced by local anthropogenic factors and less impacted by climate change compared with other kelp forests globally.</t>
  </si>
  <si>
    <t>[Friedlander, Alan M.; Sala, Enric] Natl Geog Soc, Pristine Seas, Washington, DC 20036 USA; [Friedlander, Alan M.] Univ Hawaii, Hawaii Inst Marine Biol, Kaneohe, HI 96744 USA; [Ballesteros, Enric] Ctr Estudis Avancats Blanes CSIC, Blanes, Girona, Spain; [Caselle, Jennifer E.] Univ Calif Santa Barbara, Marine Sci Inst, Santa Barbara, CA USA; [Huene, Mathias] Ctr Invest Conservac Ecosistemas Australes ICEA, Punta Arenas, Chile; [Adler, Alyssa M.] Duke Univ, Nicholas Sch Environm, Div Marine Sci &amp; Conservat, Beaufort, NC USA</t>
  </si>
  <si>
    <t>National Geographic Society; University of Hawaii System; Consejo Superior de Investigaciones Cientificas (CSIC); CSIC - Centre d'Estudis Avancats de Blanes (CEAB); University of California System; University of California Santa Barbara; Duke University</t>
  </si>
  <si>
    <t>Friedlander, AM (corresponding author), Natl Geog Soc, Pristine Seas, Washington, DC 20036 USA.;Friedlander, AM (corresponding author), Univ Hawaii, Hawaii Inst Marine Biol, Kaneohe, HI 96744 USA.</t>
  </si>
  <si>
    <t>alan.friedlander@hawaii.edu</t>
  </si>
  <si>
    <t>Ballesteros, Enric/K-6497-2012</t>
  </si>
  <si>
    <t>Adler, Alyssa/0000-0002-2657-8156</t>
  </si>
  <si>
    <t>e0279200</t>
  </si>
  <si>
    <t>10.1371/journal.pone.0279200</t>
  </si>
  <si>
    <t>9R1ZV</t>
  </si>
  <si>
    <t>WOS:000945454200001</t>
  </si>
  <si>
    <t>Troch, M; Bertrand, S; Wellner, JS; Lange, CB; Hughen, KA</t>
  </si>
  <si>
    <t>Troch, Matthias; Bertrand, Sebastien; Wellner, Julia S.; Lange, Carina B.; Hughen, Konrad A.</t>
  </si>
  <si>
    <t>Postglacial fluctuations of western outlet glaciers of the Southern Patagonian Icefield reconstructed from fjord sediments (Chile, 50°S)</t>
  </si>
  <si>
    <t>Patagonia; Late glacial; Holocene; Neoglaciation; Marine-terminating glaciers; Grain size; Inorganic geochemistry; Organic geochemistry</t>
  </si>
  <si>
    <t>SURFACE SEDIMENTS; SAN-RAFAEL; AGE; EVOLUTION; CLIMATE; BAY; PRECIPITATION; VARIABILITY; MORAINES; SYSTEMS</t>
  </si>
  <si>
    <t>Postglacial fluctuations of Southern Patagonian Icefield (SPI) glaciers are well constrained on the leeward side of the Andes, but they remain mostly unknown on the windward side of the icefield, where most glaciers are marine-terminating. Here, we reconstruct the postglacial fluctuations of the HPS19, Penguin, and Europa glaciers along the hyperhumid western side of the SPI using a multi-proxy sedimentological and geochemical analysis of a 12.2 m long sediment core from Wide Channel (50 degrees S). Results show that the glaciers retreated into Penguin and Europa fjords by 11.2 cal kyr BP and that they were relatively stable and marine-terminating between 11.2 and 5.8 cal kyr BP. Thereafter, they fluctuated rapidly, with four marked episodes of glacier shrinkage at 5.8-4.8, 3.9-2.4, 1.0-0.2 cal kyr BP, and during the 20th century. Although the HPS19, Penguin, and Europa glaciers were calving into Penguin and Europa fjords during most of the Holocene, our data suggest that they retreated to land-based positions between 5.8 and 4.8 cal kyr BP. The comparison of our sediment record with geological archives from both sides of the Patagonian icefields (46 degrees-56 degrees S) suggests synchronous glacier variability on multi-centennial timescales during the Neoglacial period, which is particularly clear after 2.5 cal kyr BP. We conclude that western SPI outlet glaciers remained relatively stable during the first half of the Holocene but fluctuated considerably during the Neoglacial period, and that they retreated to locations further inland than today during the first retreat of the Neoglacial period between 5.8 and 4.8 cal kyr BP.(c) 2022 Elsevier Ltd. All rights reserved.</t>
  </si>
  <si>
    <t>[Troch, Matthias; Bertrand, Sebastien] Univ Ghent, Renard Ctr Marine Geol, Dept Geol, Ghent, Belgium; [Bertrand, Sebastien] Paris Saclay Univ, GEOPS, Orsay, France; [Wellner, Julia S.] Univ Houston, Dept Earth &amp; Atmospher Sci, Houston, TX USA; [Lange, Carina B.] Univ Concepcion, Ctr Invest Oceanograf COPAS Coastal, Concepcion, Chile; [Lange, Carina B.] Univ Concepcion, Dept Oceanog, Concepcion, Chile; [Lange, Carina B.] Univ Austral Chile, Ctr Invest Dinam Ecosistemas Marinos Altas Latitud, Valdivia, Chile; [Lange, Carina B.] Univ Calif San Diego, Scripps Inst Oceanog, La Jolla, CA USA; [Hughen, Konrad A.] Woods Hole Oceanog Inst, Dept Marine Chem &amp; Geochem, Woods Hole, MA USA</t>
  </si>
  <si>
    <t>Ghent University; Universite Paris Saclay; University of Houston System; University of Houston; Universidad de Concepcion; Universidad de Concepcion; Universidad Austral de Chile; University of California System; University of California San Diego; Scripps Institution of Oceanography; Woods Hole Oceanographic Institution</t>
  </si>
  <si>
    <t>Troch, M (corresponding author), Univ Ghent, Renard Ctr Marine Geol, Dept Geol, Ghent, Belgium.</t>
  </si>
  <si>
    <t>matthias.troch@ugent.be</t>
  </si>
  <si>
    <t>Bertrand, Sebastien/G-9744-2011</t>
  </si>
  <si>
    <t>Bertrand, Sebastien/0000-0003-0374-4040</t>
  </si>
  <si>
    <t>Ghent University [040846]; European Commission (Marie Curie project ) [NSF/OPP 03-38137]; US National Science Foundation, Office of Polar Programs [150100007]; COPAS Center (FONDAP)</t>
  </si>
  <si>
    <t>Ghent University(Ghent University); European Commission (Marie Curie project ); US National Science Foundation, Office of Polar Programs(National Science Foundation (NSF)); COPAS Center (FONDAP)(Comision Nacional de Investigacion Cientifica y Tecnologica (CONICYT)CONICYT FONDAP)</t>
  </si>
  <si>
    <t>This research was funded by Ghent University (BOF project 01D30018) and the European Commission 6th framework program (Marie Curie project 040846). Matthias Troch was supported by a Ghent University BOF PhD fellowship (01D30018). Cruise NPB0505 was funded by the US National Science Foundation, Office of Polar Programs grant number NSF/OPP 03-38137 to John Anderson (Rice University) and Julia Smith Wellner (University of Houston). The captain and crew of the RV/IB Nathaniel B. Palmer are acknowledged for their support during the cruise. The participation of Carina Beatriz Lange and the Chilean team in cruise NPB0505 was financed by the COPAS Center (FONDAP grant #150100007). We thank the curators of the Antarctic Marine Geology Research Facility at Florida State University for their assistance with shipping the JPC42 core to the Woods Hole Oceanographic Institution. We are grateful to Valerie Stanley, curator at the Marine and Geology Repository at Oregon State University, for sub-sampling the JPC42 and KC41 cores. We acknowledge Liviu Giosan (Woods Hole Oceanographic Institution) for providing access to the ITRAX XRF core scanner and SHOA (Hydrographic and Oceanographic Service of the Chilean Navy) for providing bathymetric data. Special thanks go to Loic Piret for constructive discussions and for providing valuable suggestions on an earlier version of this manuscript. The authors also wish to thank the editor and the anonymous reviewer for their constructive comments and feedback.</t>
  </si>
  <si>
    <t>10.1016/j.quascirev.2022.107934</t>
  </si>
  <si>
    <t>8I1EX</t>
  </si>
  <si>
    <t>WOS:000921472400001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</si>
</sst>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election activeCell="E12" sqref="E12"/>
    </sheetView>
  </sheetViews>
  <sheetFormatPr baseColWidth="10" defaultColWidth="8.83203125" defaultRowHeight="13" x14ac:dyDescent="0.15"/>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89</v>
      </c>
      <c r="AE2" t="s">
        <v>90</v>
      </c>
      <c r="AF2" t="s">
        <v>74</v>
      </c>
      <c r="AG2">
        <v>83</v>
      </c>
      <c r="AH2">
        <v>0</v>
      </c>
      <c r="AI2">
        <v>0</v>
      </c>
      <c r="AJ2">
        <v>3</v>
      </c>
      <c r="AK2">
        <v>9</v>
      </c>
      <c r="AL2" t="s">
        <v>91</v>
      </c>
      <c r="AM2" t="s">
        <v>92</v>
      </c>
      <c r="AN2" t="s">
        <v>93</v>
      </c>
      <c r="AO2" t="s">
        <v>94</v>
      </c>
      <c r="AP2" t="s">
        <v>95</v>
      </c>
      <c r="AQ2" t="s">
        <v>74</v>
      </c>
      <c r="AR2" t="s">
        <v>96</v>
      </c>
      <c r="AS2" t="s">
        <v>97</v>
      </c>
      <c r="AT2" t="s">
        <v>98</v>
      </c>
      <c r="AU2">
        <v>2023</v>
      </c>
      <c r="AV2">
        <v>104</v>
      </c>
      <c r="AW2">
        <v>5</v>
      </c>
      <c r="AX2" t="s">
        <v>74</v>
      </c>
      <c r="AY2" t="s">
        <v>74</v>
      </c>
      <c r="AZ2" t="s">
        <v>74</v>
      </c>
      <c r="BA2" t="s">
        <v>74</v>
      </c>
      <c r="BB2" t="s">
        <v>99</v>
      </c>
      <c r="BC2" t="s">
        <v>100</v>
      </c>
      <c r="BD2" t="s">
        <v>74</v>
      </c>
      <c r="BE2" t="s">
        <v>101</v>
      </c>
      <c r="BF2" t="str">
        <f>HYPERLINK("http://dx.doi.org/10.1175/BAMS-D-23-0046.1","http://dx.doi.org/10.1175/BAMS-D-23-0046.1")</f>
        <v>http://dx.doi.org/10.1175/BAMS-D-23-0046.1</v>
      </c>
      <c r="BG2" t="s">
        <v>74</v>
      </c>
      <c r="BH2" t="s">
        <v>74</v>
      </c>
      <c r="BI2">
        <v>10</v>
      </c>
      <c r="BJ2" t="s">
        <v>102</v>
      </c>
      <c r="BK2" t="s">
        <v>103</v>
      </c>
      <c r="BL2" t="s">
        <v>102</v>
      </c>
      <c r="BM2" t="s">
        <v>104</v>
      </c>
      <c r="BN2" t="s">
        <v>74</v>
      </c>
      <c r="BO2" t="s">
        <v>105</v>
      </c>
      <c r="BP2" t="s">
        <v>74</v>
      </c>
      <c r="BQ2" t="s">
        <v>74</v>
      </c>
      <c r="BR2" t="s">
        <v>106</v>
      </c>
      <c r="BS2" t="s">
        <v>107</v>
      </c>
      <c r="BT2" t="str">
        <f>HYPERLINK("https%3A%2F%2Fwww.webofscience.com%2Fwos%2Fwoscc%2Ffull-record%2FWOS:000996234500003","View Full Record in Web of Science")</f>
        <v>View Full Record in Web of Science</v>
      </c>
    </row>
    <row r="3" spans="1:72" x14ac:dyDescent="0.15">
      <c r="A3" t="s">
        <v>72</v>
      </c>
      <c r="B3" t="s">
        <v>108</v>
      </c>
      <c r="C3" t="s">
        <v>74</v>
      </c>
      <c r="D3" t="s">
        <v>74</v>
      </c>
      <c r="E3" t="s">
        <v>74</v>
      </c>
      <c r="F3" t="s">
        <v>109</v>
      </c>
      <c r="G3" t="s">
        <v>74</v>
      </c>
      <c r="H3" t="s">
        <v>74</v>
      </c>
      <c r="I3" t="s">
        <v>110</v>
      </c>
      <c r="J3" t="s">
        <v>111</v>
      </c>
      <c r="K3" t="s">
        <v>74</v>
      </c>
      <c r="L3" t="s">
        <v>74</v>
      </c>
      <c r="M3" t="s">
        <v>78</v>
      </c>
      <c r="N3" t="s">
        <v>112</v>
      </c>
      <c r="O3" t="s">
        <v>74</v>
      </c>
      <c r="P3" t="s">
        <v>74</v>
      </c>
      <c r="Q3" t="s">
        <v>74</v>
      </c>
      <c r="R3" t="s">
        <v>74</v>
      </c>
      <c r="S3" t="s">
        <v>74</v>
      </c>
      <c r="T3" t="s">
        <v>113</v>
      </c>
      <c r="U3" t="s">
        <v>114</v>
      </c>
      <c r="V3" t="s">
        <v>115</v>
      </c>
      <c r="W3" t="s">
        <v>116</v>
      </c>
      <c r="X3" t="s">
        <v>117</v>
      </c>
      <c r="Y3" t="s">
        <v>118</v>
      </c>
      <c r="Z3" t="s">
        <v>119</v>
      </c>
      <c r="AA3" t="s">
        <v>120</v>
      </c>
      <c r="AB3" t="s">
        <v>121</v>
      </c>
      <c r="AC3" t="s">
        <v>122</v>
      </c>
      <c r="AD3" t="s">
        <v>123</v>
      </c>
      <c r="AE3" t="s">
        <v>124</v>
      </c>
      <c r="AF3" t="s">
        <v>74</v>
      </c>
      <c r="AG3">
        <v>119</v>
      </c>
      <c r="AH3">
        <v>2</v>
      </c>
      <c r="AI3">
        <v>2</v>
      </c>
      <c r="AJ3">
        <v>8</v>
      </c>
      <c r="AK3">
        <v>12</v>
      </c>
      <c r="AL3" t="s">
        <v>125</v>
      </c>
      <c r="AM3" t="s">
        <v>126</v>
      </c>
      <c r="AN3" t="s">
        <v>127</v>
      </c>
      <c r="AO3" t="s">
        <v>74</v>
      </c>
      <c r="AP3" t="s">
        <v>128</v>
      </c>
      <c r="AQ3" t="s">
        <v>74</v>
      </c>
      <c r="AR3" t="s">
        <v>129</v>
      </c>
      <c r="AS3" t="s">
        <v>130</v>
      </c>
      <c r="AT3" t="s">
        <v>131</v>
      </c>
      <c r="AU3">
        <v>2023</v>
      </c>
      <c r="AV3">
        <v>11</v>
      </c>
      <c r="AW3">
        <v>5</v>
      </c>
      <c r="AX3" t="s">
        <v>74</v>
      </c>
      <c r="AY3" t="s">
        <v>74</v>
      </c>
      <c r="AZ3" t="s">
        <v>74</v>
      </c>
      <c r="BA3" t="s">
        <v>74</v>
      </c>
      <c r="BB3" t="s">
        <v>74</v>
      </c>
      <c r="BC3" t="s">
        <v>74</v>
      </c>
      <c r="BD3">
        <v>968</v>
      </c>
      <c r="BE3" t="s">
        <v>132</v>
      </c>
      <c r="BF3" t="str">
        <f>HYPERLINK("http://dx.doi.org/10.3390/jmse11050968","http://dx.doi.org/10.3390/jmse11050968")</f>
        <v>http://dx.doi.org/10.3390/jmse11050968</v>
      </c>
      <c r="BG3" t="s">
        <v>74</v>
      </c>
      <c r="BH3" t="s">
        <v>74</v>
      </c>
      <c r="BI3">
        <v>24</v>
      </c>
      <c r="BJ3" t="s">
        <v>133</v>
      </c>
      <c r="BK3" t="s">
        <v>103</v>
      </c>
      <c r="BL3" t="s">
        <v>134</v>
      </c>
      <c r="BM3" t="s">
        <v>135</v>
      </c>
      <c r="BN3" t="s">
        <v>74</v>
      </c>
      <c r="BO3" t="s">
        <v>136</v>
      </c>
      <c r="BP3" t="s">
        <v>74</v>
      </c>
      <c r="BQ3" t="s">
        <v>74</v>
      </c>
      <c r="BR3" t="s">
        <v>106</v>
      </c>
      <c r="BS3" t="s">
        <v>137</v>
      </c>
      <c r="BT3" t="str">
        <f>HYPERLINK("https%3A%2F%2Fwww.webofscience.com%2Fwos%2Fwoscc%2Ffull-record%2FWOS:000997027000001","View Full Record in Web of Science")</f>
        <v>View Full Record in Web of Science</v>
      </c>
    </row>
    <row r="4" spans="1:72" x14ac:dyDescent="0.15">
      <c r="A4" t="s">
        <v>72</v>
      </c>
      <c r="B4" t="s">
        <v>138</v>
      </c>
      <c r="C4" t="s">
        <v>74</v>
      </c>
      <c r="D4" t="s">
        <v>74</v>
      </c>
      <c r="E4" t="s">
        <v>74</v>
      </c>
      <c r="F4" t="s">
        <v>139</v>
      </c>
      <c r="G4" t="s">
        <v>74</v>
      </c>
      <c r="H4" t="s">
        <v>74</v>
      </c>
      <c r="I4" t="s">
        <v>140</v>
      </c>
      <c r="J4" t="s">
        <v>141</v>
      </c>
      <c r="K4" t="s">
        <v>74</v>
      </c>
      <c r="L4" t="s">
        <v>74</v>
      </c>
      <c r="M4" t="s">
        <v>78</v>
      </c>
      <c r="N4" t="s">
        <v>112</v>
      </c>
      <c r="O4" t="s">
        <v>74</v>
      </c>
      <c r="P4" t="s">
        <v>74</v>
      </c>
      <c r="Q4" t="s">
        <v>74</v>
      </c>
      <c r="R4" t="s">
        <v>74</v>
      </c>
      <c r="S4" t="s">
        <v>74</v>
      </c>
      <c r="T4" t="s">
        <v>74</v>
      </c>
      <c r="U4" t="s">
        <v>142</v>
      </c>
      <c r="V4" t="s">
        <v>143</v>
      </c>
      <c r="W4" t="s">
        <v>144</v>
      </c>
      <c r="X4" t="s">
        <v>145</v>
      </c>
      <c r="Y4" t="s">
        <v>146</v>
      </c>
      <c r="Z4" t="s">
        <v>147</v>
      </c>
      <c r="AA4" t="s">
        <v>74</v>
      </c>
      <c r="AB4" t="s">
        <v>148</v>
      </c>
      <c r="AC4" t="s">
        <v>149</v>
      </c>
      <c r="AD4" t="s">
        <v>150</v>
      </c>
      <c r="AE4" t="s">
        <v>151</v>
      </c>
      <c r="AF4" t="s">
        <v>74</v>
      </c>
      <c r="AG4">
        <v>152</v>
      </c>
      <c r="AH4">
        <v>1</v>
      </c>
      <c r="AI4">
        <v>2</v>
      </c>
      <c r="AJ4">
        <v>3</v>
      </c>
      <c r="AK4">
        <v>3</v>
      </c>
      <c r="AL4" t="s">
        <v>152</v>
      </c>
      <c r="AM4" t="s">
        <v>153</v>
      </c>
      <c r="AN4" t="s">
        <v>154</v>
      </c>
      <c r="AO4" t="s">
        <v>74</v>
      </c>
      <c r="AP4" t="s">
        <v>155</v>
      </c>
      <c r="AQ4" t="s">
        <v>74</v>
      </c>
      <c r="AR4" t="s">
        <v>156</v>
      </c>
      <c r="AS4" t="s">
        <v>157</v>
      </c>
      <c r="AT4" t="s">
        <v>131</v>
      </c>
      <c r="AU4">
        <v>2023</v>
      </c>
      <c r="AV4">
        <v>4</v>
      </c>
      <c r="AW4">
        <v>5</v>
      </c>
      <c r="AX4" t="s">
        <v>74</v>
      </c>
      <c r="AY4" t="s">
        <v>74</v>
      </c>
      <c r="AZ4" t="s">
        <v>74</v>
      </c>
      <c r="BA4" t="s">
        <v>74</v>
      </c>
      <c r="BB4" t="s">
        <v>74</v>
      </c>
      <c r="BC4" t="s">
        <v>74</v>
      </c>
      <c r="BD4">
        <v>96</v>
      </c>
      <c r="BE4" t="s">
        <v>158</v>
      </c>
      <c r="BF4" t="str">
        <f>HYPERLINK("http://dx.doi.org/10.3847/PSJ/accb98","http://dx.doi.org/10.3847/PSJ/accb98")</f>
        <v>http://dx.doi.org/10.3847/PSJ/accb98</v>
      </c>
      <c r="BG4" t="s">
        <v>74</v>
      </c>
      <c r="BH4" t="s">
        <v>74</v>
      </c>
      <c r="BI4">
        <v>24</v>
      </c>
      <c r="BJ4" t="s">
        <v>159</v>
      </c>
      <c r="BK4" t="s">
        <v>160</v>
      </c>
      <c r="BL4" t="s">
        <v>159</v>
      </c>
      <c r="BM4" t="s">
        <v>161</v>
      </c>
      <c r="BN4" t="s">
        <v>74</v>
      </c>
      <c r="BO4" t="s">
        <v>162</v>
      </c>
      <c r="BP4" t="s">
        <v>74</v>
      </c>
      <c r="BQ4" t="s">
        <v>74</v>
      </c>
      <c r="BR4" t="s">
        <v>106</v>
      </c>
      <c r="BS4" t="s">
        <v>163</v>
      </c>
      <c r="BT4" t="str">
        <f>HYPERLINK("https%3A%2F%2Fwww.webofscience.com%2Fwos%2Fwoscc%2Ffull-record%2FWOS:000995211200001","View Full Record in Web of Science")</f>
        <v>View Full Record in Web of Science</v>
      </c>
    </row>
    <row r="5" spans="1:72" x14ac:dyDescent="0.15">
      <c r="A5" t="s">
        <v>72</v>
      </c>
      <c r="B5" t="s">
        <v>164</v>
      </c>
      <c r="C5" t="s">
        <v>74</v>
      </c>
      <c r="D5" t="s">
        <v>74</v>
      </c>
      <c r="E5" t="s">
        <v>74</v>
      </c>
      <c r="F5" t="s">
        <v>165</v>
      </c>
      <c r="G5" t="s">
        <v>74</v>
      </c>
      <c r="H5" t="s">
        <v>74</v>
      </c>
      <c r="I5" t="s">
        <v>166</v>
      </c>
      <c r="J5" t="s">
        <v>167</v>
      </c>
      <c r="K5" t="s">
        <v>74</v>
      </c>
      <c r="L5" t="s">
        <v>74</v>
      </c>
      <c r="M5" t="s">
        <v>78</v>
      </c>
      <c r="N5" t="s">
        <v>112</v>
      </c>
      <c r="O5" t="s">
        <v>74</v>
      </c>
      <c r="P5" t="s">
        <v>74</v>
      </c>
      <c r="Q5" t="s">
        <v>74</v>
      </c>
      <c r="R5" t="s">
        <v>74</v>
      </c>
      <c r="S5" t="s">
        <v>74</v>
      </c>
      <c r="T5" t="s">
        <v>168</v>
      </c>
      <c r="U5" t="s">
        <v>169</v>
      </c>
      <c r="V5" t="s">
        <v>170</v>
      </c>
      <c r="W5" t="s">
        <v>171</v>
      </c>
      <c r="X5" t="s">
        <v>172</v>
      </c>
      <c r="Y5" t="s">
        <v>173</v>
      </c>
      <c r="Z5" t="s">
        <v>174</v>
      </c>
      <c r="AA5" t="s">
        <v>74</v>
      </c>
      <c r="AB5" t="s">
        <v>74</v>
      </c>
      <c r="AC5" t="s">
        <v>175</v>
      </c>
      <c r="AD5" t="s">
        <v>176</v>
      </c>
      <c r="AE5" t="s">
        <v>177</v>
      </c>
      <c r="AF5" t="s">
        <v>74</v>
      </c>
      <c r="AG5">
        <v>41</v>
      </c>
      <c r="AH5">
        <v>2</v>
      </c>
      <c r="AI5">
        <v>2</v>
      </c>
      <c r="AJ5">
        <v>1</v>
      </c>
      <c r="AK5">
        <v>1</v>
      </c>
      <c r="AL5" t="s">
        <v>178</v>
      </c>
      <c r="AM5" t="s">
        <v>179</v>
      </c>
      <c r="AN5" t="s">
        <v>180</v>
      </c>
      <c r="AO5" t="s">
        <v>181</v>
      </c>
      <c r="AP5" t="s">
        <v>182</v>
      </c>
      <c r="AQ5" t="s">
        <v>74</v>
      </c>
      <c r="AR5" t="s">
        <v>183</v>
      </c>
      <c r="AS5" t="s">
        <v>184</v>
      </c>
      <c r="AT5" t="s">
        <v>98</v>
      </c>
      <c r="AU5">
        <v>2023</v>
      </c>
      <c r="AV5">
        <v>56</v>
      </c>
      <c r="AW5">
        <v>5</v>
      </c>
      <c r="AX5" t="s">
        <v>74</v>
      </c>
      <c r="AY5" t="s">
        <v>74</v>
      </c>
      <c r="AZ5" t="s">
        <v>185</v>
      </c>
      <c r="BA5" t="s">
        <v>74</v>
      </c>
      <c r="BB5">
        <v>558</v>
      </c>
      <c r="BC5">
        <v>572</v>
      </c>
      <c r="BD5" t="s">
        <v>74</v>
      </c>
      <c r="BE5" t="s">
        <v>186</v>
      </c>
      <c r="BF5" t="str">
        <f>HYPERLINK("http://dx.doi.org/10.1134/S1064229323600082","http://dx.doi.org/10.1134/S1064229323600082")</f>
        <v>http://dx.doi.org/10.1134/S1064229323600082</v>
      </c>
      <c r="BG5" t="s">
        <v>74</v>
      </c>
      <c r="BH5" t="s">
        <v>74</v>
      </c>
      <c r="BI5">
        <v>15</v>
      </c>
      <c r="BJ5" t="s">
        <v>187</v>
      </c>
      <c r="BK5" t="s">
        <v>103</v>
      </c>
      <c r="BL5" t="s">
        <v>188</v>
      </c>
      <c r="BM5" t="s">
        <v>189</v>
      </c>
      <c r="BN5" t="s">
        <v>74</v>
      </c>
      <c r="BO5" t="s">
        <v>74</v>
      </c>
      <c r="BP5" t="s">
        <v>74</v>
      </c>
      <c r="BQ5" t="s">
        <v>74</v>
      </c>
      <c r="BR5" t="s">
        <v>106</v>
      </c>
      <c r="BS5" t="s">
        <v>190</v>
      </c>
      <c r="BT5" t="str">
        <f>HYPERLINK("https%3A%2F%2Fwww.webofscience.com%2Fwos%2Fwoscc%2Ffull-record%2FWOS:000986149000003","View Full Record in Web of Science")</f>
        <v>View Full Record in Web of Science</v>
      </c>
    </row>
    <row r="6" spans="1:72" x14ac:dyDescent="0.15">
      <c r="A6" t="s">
        <v>72</v>
      </c>
      <c r="B6" t="s">
        <v>191</v>
      </c>
      <c r="C6" t="s">
        <v>74</v>
      </c>
      <c r="D6" t="s">
        <v>74</v>
      </c>
      <c r="E6" t="s">
        <v>74</v>
      </c>
      <c r="F6" t="s">
        <v>192</v>
      </c>
      <c r="G6" t="s">
        <v>74</v>
      </c>
      <c r="H6" t="s">
        <v>74</v>
      </c>
      <c r="I6" t="s">
        <v>193</v>
      </c>
      <c r="J6" t="s">
        <v>194</v>
      </c>
      <c r="K6" t="s">
        <v>74</v>
      </c>
      <c r="L6" t="s">
        <v>74</v>
      </c>
      <c r="M6" t="s">
        <v>78</v>
      </c>
      <c r="N6" t="s">
        <v>112</v>
      </c>
      <c r="O6" t="s">
        <v>74</v>
      </c>
      <c r="P6" t="s">
        <v>74</v>
      </c>
      <c r="Q6" t="s">
        <v>74</v>
      </c>
      <c r="R6" t="s">
        <v>74</v>
      </c>
      <c r="S6" t="s">
        <v>74</v>
      </c>
      <c r="T6" t="s">
        <v>74</v>
      </c>
      <c r="U6" t="s">
        <v>195</v>
      </c>
      <c r="V6" t="s">
        <v>196</v>
      </c>
      <c r="W6" t="s">
        <v>197</v>
      </c>
      <c r="X6" t="s">
        <v>198</v>
      </c>
      <c r="Y6" t="s">
        <v>199</v>
      </c>
      <c r="Z6" t="s">
        <v>200</v>
      </c>
      <c r="AA6" t="s">
        <v>201</v>
      </c>
      <c r="AB6" t="s">
        <v>202</v>
      </c>
      <c r="AC6" t="s">
        <v>74</v>
      </c>
      <c r="AD6" t="s">
        <v>74</v>
      </c>
      <c r="AE6" t="s">
        <v>74</v>
      </c>
      <c r="AF6" t="s">
        <v>74</v>
      </c>
      <c r="AG6">
        <v>41</v>
      </c>
      <c r="AH6">
        <v>1</v>
      </c>
      <c r="AI6">
        <v>1</v>
      </c>
      <c r="AJ6">
        <v>1</v>
      </c>
      <c r="AK6">
        <v>6</v>
      </c>
      <c r="AL6" t="s">
        <v>203</v>
      </c>
      <c r="AM6" t="s">
        <v>204</v>
      </c>
      <c r="AN6" t="s">
        <v>205</v>
      </c>
      <c r="AO6" t="s">
        <v>206</v>
      </c>
      <c r="AP6" t="s">
        <v>74</v>
      </c>
      <c r="AQ6" t="s">
        <v>74</v>
      </c>
      <c r="AR6" t="s">
        <v>207</v>
      </c>
      <c r="AS6" t="s">
        <v>208</v>
      </c>
      <c r="AT6" t="s">
        <v>131</v>
      </c>
      <c r="AU6">
        <v>2023</v>
      </c>
      <c r="AV6">
        <v>13</v>
      </c>
      <c r="AW6">
        <v>1</v>
      </c>
      <c r="AX6" t="s">
        <v>74</v>
      </c>
      <c r="AY6" t="s">
        <v>74</v>
      </c>
      <c r="AZ6" t="s">
        <v>74</v>
      </c>
      <c r="BA6" t="s">
        <v>74</v>
      </c>
      <c r="BB6" t="s">
        <v>74</v>
      </c>
      <c r="BC6" t="s">
        <v>74</v>
      </c>
      <c r="BD6">
        <v>7088</v>
      </c>
      <c r="BE6" t="s">
        <v>209</v>
      </c>
      <c r="BF6" t="str">
        <f>HYPERLINK("http://dx.doi.org/10.1038/s41598-023-34231-7","http://dx.doi.org/10.1038/s41598-023-34231-7")</f>
        <v>http://dx.doi.org/10.1038/s41598-023-34231-7</v>
      </c>
      <c r="BG6" t="s">
        <v>74</v>
      </c>
      <c r="BH6" t="s">
        <v>74</v>
      </c>
      <c r="BI6">
        <v>8</v>
      </c>
      <c r="BJ6" t="s">
        <v>210</v>
      </c>
      <c r="BK6" t="s">
        <v>103</v>
      </c>
      <c r="BL6" t="s">
        <v>211</v>
      </c>
      <c r="BM6" t="s">
        <v>212</v>
      </c>
      <c r="BN6">
        <v>37127731</v>
      </c>
      <c r="BO6" t="s">
        <v>136</v>
      </c>
      <c r="BP6" t="s">
        <v>74</v>
      </c>
      <c r="BQ6" t="s">
        <v>74</v>
      </c>
      <c r="BR6" t="s">
        <v>106</v>
      </c>
      <c r="BS6" t="s">
        <v>213</v>
      </c>
      <c r="BT6" t="str">
        <f>HYPERLINK("https%3A%2F%2Fwww.webofscience.com%2Fwos%2Fwoscc%2Ffull-record%2FWOS:000984749800027","View Full Record in Web of Science")</f>
        <v>View Full Record in Web of Science</v>
      </c>
    </row>
    <row r="7" spans="1:72" x14ac:dyDescent="0.15">
      <c r="A7" t="s">
        <v>72</v>
      </c>
      <c r="B7" t="s">
        <v>214</v>
      </c>
      <c r="C7" t="s">
        <v>74</v>
      </c>
      <c r="D7" t="s">
        <v>74</v>
      </c>
      <c r="E7" t="s">
        <v>74</v>
      </c>
      <c r="F7" t="s">
        <v>215</v>
      </c>
      <c r="G7" t="s">
        <v>74</v>
      </c>
      <c r="H7" t="s">
        <v>74</v>
      </c>
      <c r="I7" t="s">
        <v>216</v>
      </c>
      <c r="J7" t="s">
        <v>217</v>
      </c>
      <c r="K7" t="s">
        <v>74</v>
      </c>
      <c r="L7" t="s">
        <v>74</v>
      </c>
      <c r="M7" t="s">
        <v>78</v>
      </c>
      <c r="N7" t="s">
        <v>112</v>
      </c>
      <c r="O7" t="s">
        <v>74</v>
      </c>
      <c r="P7" t="s">
        <v>74</v>
      </c>
      <c r="Q7" t="s">
        <v>74</v>
      </c>
      <c r="R7" t="s">
        <v>74</v>
      </c>
      <c r="S7" t="s">
        <v>74</v>
      </c>
      <c r="T7" t="s">
        <v>218</v>
      </c>
      <c r="U7" t="s">
        <v>219</v>
      </c>
      <c r="V7" t="s">
        <v>220</v>
      </c>
      <c r="W7" t="s">
        <v>221</v>
      </c>
      <c r="X7" t="s">
        <v>222</v>
      </c>
      <c r="Y7" t="s">
        <v>223</v>
      </c>
      <c r="Z7" t="s">
        <v>224</v>
      </c>
      <c r="AA7" t="s">
        <v>74</v>
      </c>
      <c r="AB7" t="s">
        <v>74</v>
      </c>
      <c r="AC7" t="s">
        <v>74</v>
      </c>
      <c r="AD7" t="s">
        <v>74</v>
      </c>
      <c r="AE7" t="s">
        <v>74</v>
      </c>
      <c r="AF7" t="s">
        <v>74</v>
      </c>
      <c r="AG7">
        <v>74</v>
      </c>
      <c r="AH7">
        <v>0</v>
      </c>
      <c r="AI7">
        <v>0</v>
      </c>
      <c r="AJ7">
        <v>0</v>
      </c>
      <c r="AK7">
        <v>0</v>
      </c>
      <c r="AL7" t="s">
        <v>225</v>
      </c>
      <c r="AM7" t="s">
        <v>226</v>
      </c>
      <c r="AN7" t="s">
        <v>227</v>
      </c>
      <c r="AO7" t="s">
        <v>228</v>
      </c>
      <c r="AP7" t="s">
        <v>229</v>
      </c>
      <c r="AQ7" t="s">
        <v>74</v>
      </c>
      <c r="AR7" t="s">
        <v>230</v>
      </c>
      <c r="AS7" t="s">
        <v>231</v>
      </c>
      <c r="AT7" t="s">
        <v>232</v>
      </c>
      <c r="AU7">
        <v>2023</v>
      </c>
      <c r="AV7">
        <v>247</v>
      </c>
      <c r="AW7" t="s">
        <v>74</v>
      </c>
      <c r="AX7" t="s">
        <v>74</v>
      </c>
      <c r="AY7" t="s">
        <v>74</v>
      </c>
      <c r="AZ7" t="s">
        <v>74</v>
      </c>
      <c r="BA7" t="s">
        <v>74</v>
      </c>
      <c r="BB7" t="s">
        <v>74</v>
      </c>
      <c r="BC7" t="s">
        <v>74</v>
      </c>
      <c r="BD7">
        <v>106076</v>
      </c>
      <c r="BE7" t="s">
        <v>233</v>
      </c>
      <c r="BF7" t="str">
        <f>HYPERLINK("http://dx.doi.org/10.1016/j.jastp.2023.106076","http://dx.doi.org/10.1016/j.jastp.2023.106076")</f>
        <v>http://dx.doi.org/10.1016/j.jastp.2023.106076</v>
      </c>
      <c r="BG7" t="s">
        <v>74</v>
      </c>
      <c r="BH7" t="s">
        <v>234</v>
      </c>
      <c r="BI7">
        <v>17</v>
      </c>
      <c r="BJ7" t="s">
        <v>235</v>
      </c>
      <c r="BK7" t="s">
        <v>103</v>
      </c>
      <c r="BL7" t="s">
        <v>235</v>
      </c>
      <c r="BM7" t="s">
        <v>236</v>
      </c>
      <c r="BN7" t="s">
        <v>74</v>
      </c>
      <c r="BO7" t="s">
        <v>74</v>
      </c>
      <c r="BP7" t="s">
        <v>74</v>
      </c>
      <c r="BQ7" t="s">
        <v>74</v>
      </c>
      <c r="BR7" t="s">
        <v>106</v>
      </c>
      <c r="BS7" t="s">
        <v>237</v>
      </c>
      <c r="BT7" t="str">
        <f>HYPERLINK("https%3A%2F%2Fwww.webofscience.com%2Fwos%2Fwoscc%2Ffull-record%2FWOS:000991559700001","View Full Record in Web of Science")</f>
        <v>View Full Record in Web of Science</v>
      </c>
    </row>
    <row r="8" spans="1:72" x14ac:dyDescent="0.15">
      <c r="A8" t="s">
        <v>72</v>
      </c>
      <c r="B8" t="s">
        <v>238</v>
      </c>
      <c r="C8" t="s">
        <v>74</v>
      </c>
      <c r="D8" t="s">
        <v>74</v>
      </c>
      <c r="E8" t="s">
        <v>74</v>
      </c>
      <c r="F8" t="s">
        <v>239</v>
      </c>
      <c r="G8" t="s">
        <v>74</v>
      </c>
      <c r="H8" t="s">
        <v>74</v>
      </c>
      <c r="I8" t="s">
        <v>240</v>
      </c>
      <c r="J8" t="s">
        <v>241</v>
      </c>
      <c r="K8" t="s">
        <v>74</v>
      </c>
      <c r="L8" t="s">
        <v>74</v>
      </c>
      <c r="M8" t="s">
        <v>78</v>
      </c>
      <c r="N8" t="s">
        <v>112</v>
      </c>
      <c r="O8" t="s">
        <v>74</v>
      </c>
      <c r="P8" t="s">
        <v>74</v>
      </c>
      <c r="Q8" t="s">
        <v>74</v>
      </c>
      <c r="R8" t="s">
        <v>74</v>
      </c>
      <c r="S8" t="s">
        <v>74</v>
      </c>
      <c r="T8" t="s">
        <v>242</v>
      </c>
      <c r="U8" t="s">
        <v>243</v>
      </c>
      <c r="V8" t="s">
        <v>244</v>
      </c>
      <c r="W8" t="s">
        <v>245</v>
      </c>
      <c r="X8" t="s">
        <v>246</v>
      </c>
      <c r="Y8" t="s">
        <v>247</v>
      </c>
      <c r="Z8" t="s">
        <v>248</v>
      </c>
      <c r="AA8" t="s">
        <v>249</v>
      </c>
      <c r="AB8" t="s">
        <v>74</v>
      </c>
      <c r="AC8" t="s">
        <v>250</v>
      </c>
      <c r="AD8" t="s">
        <v>251</v>
      </c>
      <c r="AE8" t="s">
        <v>252</v>
      </c>
      <c r="AF8" t="s">
        <v>74</v>
      </c>
      <c r="AG8">
        <v>60</v>
      </c>
      <c r="AH8">
        <v>2</v>
      </c>
      <c r="AI8">
        <v>2</v>
      </c>
      <c r="AJ8">
        <v>0</v>
      </c>
      <c r="AK8">
        <v>0</v>
      </c>
      <c r="AL8" t="s">
        <v>253</v>
      </c>
      <c r="AM8" t="s">
        <v>254</v>
      </c>
      <c r="AN8" t="s">
        <v>255</v>
      </c>
      <c r="AO8" t="s">
        <v>256</v>
      </c>
      <c r="AP8" t="s">
        <v>257</v>
      </c>
      <c r="AQ8" t="s">
        <v>74</v>
      </c>
      <c r="AR8" t="s">
        <v>258</v>
      </c>
      <c r="AS8" t="s">
        <v>259</v>
      </c>
      <c r="AT8" t="s">
        <v>98</v>
      </c>
      <c r="AU8">
        <v>2023</v>
      </c>
      <c r="AV8">
        <v>64</v>
      </c>
      <c r="AW8">
        <v>5</v>
      </c>
      <c r="AX8" t="s">
        <v>74</v>
      </c>
      <c r="AY8" t="s">
        <v>74</v>
      </c>
      <c r="AZ8" t="s">
        <v>74</v>
      </c>
      <c r="BA8" t="s">
        <v>74</v>
      </c>
      <c r="BB8">
        <v>542</v>
      </c>
      <c r="BC8">
        <v>557</v>
      </c>
      <c r="BD8" t="s">
        <v>74</v>
      </c>
      <c r="BE8" t="s">
        <v>260</v>
      </c>
      <c r="BF8" t="str">
        <f>HYPERLINK("http://dx.doi.org/10.2113/RGG20224542","http://dx.doi.org/10.2113/RGG20224542")</f>
        <v>http://dx.doi.org/10.2113/RGG20224542</v>
      </c>
      <c r="BG8" t="s">
        <v>74</v>
      </c>
      <c r="BH8" t="s">
        <v>74</v>
      </c>
      <c r="BI8">
        <v>16</v>
      </c>
      <c r="BJ8" t="s">
        <v>261</v>
      </c>
      <c r="BK8" t="s">
        <v>103</v>
      </c>
      <c r="BL8" t="s">
        <v>262</v>
      </c>
      <c r="BM8" t="s">
        <v>263</v>
      </c>
      <c r="BN8" t="s">
        <v>74</v>
      </c>
      <c r="BO8" t="s">
        <v>74</v>
      </c>
      <c r="BP8" t="s">
        <v>74</v>
      </c>
      <c r="BQ8" t="s">
        <v>74</v>
      </c>
      <c r="BR8" t="s">
        <v>106</v>
      </c>
      <c r="BS8" t="s">
        <v>264</v>
      </c>
      <c r="BT8" t="str">
        <f>HYPERLINK("https%3A%2F%2Fwww.webofscience.com%2Fwos%2Fwoscc%2Ffull-record%2FWOS:000977639100003","View Full Record in Web of Science")</f>
        <v>View Full Record in Web of Science</v>
      </c>
    </row>
    <row r="9" spans="1:72" x14ac:dyDescent="0.15">
      <c r="A9" t="s">
        <v>72</v>
      </c>
      <c r="B9" t="s">
        <v>265</v>
      </c>
      <c r="C9" t="s">
        <v>74</v>
      </c>
      <c r="D9" t="s">
        <v>74</v>
      </c>
      <c r="E9" t="s">
        <v>74</v>
      </c>
      <c r="F9" t="s">
        <v>266</v>
      </c>
      <c r="G9" t="s">
        <v>74</v>
      </c>
      <c r="H9" t="s">
        <v>74</v>
      </c>
      <c r="I9" t="s">
        <v>267</v>
      </c>
      <c r="J9" t="s">
        <v>268</v>
      </c>
      <c r="K9" t="s">
        <v>74</v>
      </c>
      <c r="L9" t="s">
        <v>74</v>
      </c>
      <c r="M9" t="s">
        <v>78</v>
      </c>
      <c r="N9" t="s">
        <v>112</v>
      </c>
      <c r="O9" t="s">
        <v>74</v>
      </c>
      <c r="P9" t="s">
        <v>74</v>
      </c>
      <c r="Q9" t="s">
        <v>74</v>
      </c>
      <c r="R9" t="s">
        <v>74</v>
      </c>
      <c r="S9" t="s">
        <v>74</v>
      </c>
      <c r="T9" t="s">
        <v>269</v>
      </c>
      <c r="U9" t="s">
        <v>270</v>
      </c>
      <c r="V9" t="s">
        <v>271</v>
      </c>
      <c r="W9" t="s">
        <v>272</v>
      </c>
      <c r="X9" t="s">
        <v>273</v>
      </c>
      <c r="Y9" t="s">
        <v>274</v>
      </c>
      <c r="Z9" t="s">
        <v>275</v>
      </c>
      <c r="AA9" t="s">
        <v>276</v>
      </c>
      <c r="AB9" t="s">
        <v>277</v>
      </c>
      <c r="AC9" t="s">
        <v>278</v>
      </c>
      <c r="AD9" t="s">
        <v>279</v>
      </c>
      <c r="AE9" t="s">
        <v>280</v>
      </c>
      <c r="AF9" t="s">
        <v>74</v>
      </c>
      <c r="AG9">
        <v>125</v>
      </c>
      <c r="AH9">
        <v>6</v>
      </c>
      <c r="AI9">
        <v>6</v>
      </c>
      <c r="AJ9">
        <v>5</v>
      </c>
      <c r="AK9">
        <v>10</v>
      </c>
      <c r="AL9" t="s">
        <v>91</v>
      </c>
      <c r="AM9" t="s">
        <v>92</v>
      </c>
      <c r="AN9" t="s">
        <v>93</v>
      </c>
      <c r="AO9" t="s">
        <v>281</v>
      </c>
      <c r="AP9" t="s">
        <v>282</v>
      </c>
      <c r="AQ9" t="s">
        <v>74</v>
      </c>
      <c r="AR9" t="s">
        <v>283</v>
      </c>
      <c r="AS9" t="s">
        <v>284</v>
      </c>
      <c r="AT9" t="s">
        <v>98</v>
      </c>
      <c r="AU9">
        <v>2023</v>
      </c>
      <c r="AV9">
        <v>36</v>
      </c>
      <c r="AW9">
        <v>10</v>
      </c>
      <c r="AX9" t="s">
        <v>74</v>
      </c>
      <c r="AY9" t="s">
        <v>74</v>
      </c>
      <c r="AZ9" t="s">
        <v>74</v>
      </c>
      <c r="BA9" t="s">
        <v>74</v>
      </c>
      <c r="BB9">
        <v>3357</v>
      </c>
      <c r="BC9">
        <v>3383</v>
      </c>
      <c r="BD9" t="s">
        <v>74</v>
      </c>
      <c r="BE9" t="s">
        <v>285</v>
      </c>
      <c r="BF9" t="str">
        <f>HYPERLINK("http://dx.doi.org/10.1175/JCLI-D-22-0386.1","http://dx.doi.org/10.1175/JCLI-D-22-0386.1")</f>
        <v>http://dx.doi.org/10.1175/JCLI-D-22-0386.1</v>
      </c>
      <c r="BG9" t="s">
        <v>74</v>
      </c>
      <c r="BH9" t="s">
        <v>74</v>
      </c>
      <c r="BI9">
        <v>27</v>
      </c>
      <c r="BJ9" t="s">
        <v>102</v>
      </c>
      <c r="BK9" t="s">
        <v>103</v>
      </c>
      <c r="BL9" t="s">
        <v>102</v>
      </c>
      <c r="BM9" t="s">
        <v>286</v>
      </c>
      <c r="BN9" t="s">
        <v>74</v>
      </c>
      <c r="BO9" t="s">
        <v>287</v>
      </c>
      <c r="BP9" t="s">
        <v>74</v>
      </c>
      <c r="BQ9" t="s">
        <v>74</v>
      </c>
      <c r="BR9" t="s">
        <v>106</v>
      </c>
      <c r="BS9" t="s">
        <v>288</v>
      </c>
      <c r="BT9" t="str">
        <f>HYPERLINK("https%3A%2F%2Fwww.webofscience.com%2Fwos%2Fwoscc%2Ffull-record%2FWOS:000983246300001","View Full Record in Web of Science")</f>
        <v>View Full Record in Web of Science</v>
      </c>
    </row>
    <row r="10" spans="1:72" x14ac:dyDescent="0.15">
      <c r="A10" t="s">
        <v>72</v>
      </c>
      <c r="B10" t="s">
        <v>289</v>
      </c>
      <c r="C10" t="s">
        <v>74</v>
      </c>
      <c r="D10" t="s">
        <v>74</v>
      </c>
      <c r="E10" t="s">
        <v>74</v>
      </c>
      <c r="F10" t="s">
        <v>290</v>
      </c>
      <c r="G10" t="s">
        <v>74</v>
      </c>
      <c r="H10" t="s">
        <v>74</v>
      </c>
      <c r="I10" t="s">
        <v>291</v>
      </c>
      <c r="J10" t="s">
        <v>292</v>
      </c>
      <c r="K10" t="s">
        <v>74</v>
      </c>
      <c r="L10" t="s">
        <v>74</v>
      </c>
      <c r="M10" t="s">
        <v>78</v>
      </c>
      <c r="N10" t="s">
        <v>112</v>
      </c>
      <c r="O10" t="s">
        <v>74</v>
      </c>
      <c r="P10" t="s">
        <v>74</v>
      </c>
      <c r="Q10" t="s">
        <v>74</v>
      </c>
      <c r="R10" t="s">
        <v>74</v>
      </c>
      <c r="S10" t="s">
        <v>74</v>
      </c>
      <c r="T10" t="s">
        <v>293</v>
      </c>
      <c r="U10" t="s">
        <v>294</v>
      </c>
      <c r="V10" t="s">
        <v>295</v>
      </c>
      <c r="W10" t="s">
        <v>296</v>
      </c>
      <c r="X10" t="s">
        <v>297</v>
      </c>
      <c r="Y10" t="s">
        <v>298</v>
      </c>
      <c r="Z10" t="s">
        <v>299</v>
      </c>
      <c r="AA10" t="s">
        <v>300</v>
      </c>
      <c r="AB10" t="s">
        <v>301</v>
      </c>
      <c r="AC10" t="s">
        <v>302</v>
      </c>
      <c r="AD10" t="s">
        <v>303</v>
      </c>
      <c r="AE10" t="s">
        <v>304</v>
      </c>
      <c r="AF10" t="s">
        <v>74</v>
      </c>
      <c r="AG10">
        <v>73</v>
      </c>
      <c r="AH10">
        <v>1</v>
      </c>
      <c r="AI10">
        <v>1</v>
      </c>
      <c r="AJ10">
        <v>2</v>
      </c>
      <c r="AK10">
        <v>4</v>
      </c>
      <c r="AL10" t="s">
        <v>305</v>
      </c>
      <c r="AM10" t="s">
        <v>306</v>
      </c>
      <c r="AN10" t="s">
        <v>307</v>
      </c>
      <c r="AO10" t="s">
        <v>308</v>
      </c>
      <c r="AP10" t="s">
        <v>309</v>
      </c>
      <c r="AQ10" t="s">
        <v>74</v>
      </c>
      <c r="AR10" t="s">
        <v>292</v>
      </c>
      <c r="AS10" t="s">
        <v>310</v>
      </c>
      <c r="AT10" t="s">
        <v>98</v>
      </c>
      <c r="AU10">
        <v>2023</v>
      </c>
      <c r="AV10">
        <v>42</v>
      </c>
      <c r="AW10">
        <v>5</v>
      </c>
      <c r="AX10" t="s">
        <v>74</v>
      </c>
      <c r="AY10" t="s">
        <v>74</v>
      </c>
      <c r="AZ10" t="s">
        <v>74</v>
      </c>
      <c r="BA10" t="s">
        <v>74</v>
      </c>
      <c r="BB10" t="s">
        <v>74</v>
      </c>
      <c r="BC10" t="s">
        <v>74</v>
      </c>
      <c r="BD10" t="s">
        <v>311</v>
      </c>
      <c r="BE10" t="s">
        <v>312</v>
      </c>
      <c r="BF10" t="str">
        <f>HYPERLINK("http://dx.doi.org/10.1029/2022TC007634","http://dx.doi.org/10.1029/2022TC007634")</f>
        <v>http://dx.doi.org/10.1029/2022TC007634</v>
      </c>
      <c r="BG10" t="s">
        <v>74</v>
      </c>
      <c r="BH10" t="s">
        <v>74</v>
      </c>
      <c r="BI10">
        <v>18</v>
      </c>
      <c r="BJ10" t="s">
        <v>313</v>
      </c>
      <c r="BK10" t="s">
        <v>103</v>
      </c>
      <c r="BL10" t="s">
        <v>313</v>
      </c>
      <c r="BM10" t="s">
        <v>314</v>
      </c>
      <c r="BN10" t="s">
        <v>74</v>
      </c>
      <c r="BO10" t="s">
        <v>315</v>
      </c>
      <c r="BP10" t="s">
        <v>74</v>
      </c>
      <c r="BQ10" t="s">
        <v>74</v>
      </c>
      <c r="BR10" t="s">
        <v>106</v>
      </c>
      <c r="BS10" t="s">
        <v>316</v>
      </c>
      <c r="BT10" t="str">
        <f>HYPERLINK("https%3A%2F%2Fwww.webofscience.com%2Fwos%2Fwoscc%2Ffull-record%2FWOS:000980010400001","View Full Record in Web of Science")</f>
        <v>View Full Record in Web of Science</v>
      </c>
    </row>
    <row r="11" spans="1:72" x14ac:dyDescent="0.15">
      <c r="A11" t="s">
        <v>72</v>
      </c>
      <c r="B11" t="s">
        <v>317</v>
      </c>
      <c r="C11" t="s">
        <v>74</v>
      </c>
      <c r="D11" t="s">
        <v>74</v>
      </c>
      <c r="E11" t="s">
        <v>74</v>
      </c>
      <c r="F11" t="s">
        <v>318</v>
      </c>
      <c r="G11" t="s">
        <v>74</v>
      </c>
      <c r="H11" t="s">
        <v>74</v>
      </c>
      <c r="I11" t="s">
        <v>319</v>
      </c>
      <c r="J11" t="s">
        <v>268</v>
      </c>
      <c r="K11" t="s">
        <v>74</v>
      </c>
      <c r="L11" t="s">
        <v>74</v>
      </c>
      <c r="M11" t="s">
        <v>78</v>
      </c>
      <c r="N11" t="s">
        <v>112</v>
      </c>
      <c r="O11" t="s">
        <v>74</v>
      </c>
      <c r="P11" t="s">
        <v>74</v>
      </c>
      <c r="Q11" t="s">
        <v>74</v>
      </c>
      <c r="R11" t="s">
        <v>74</v>
      </c>
      <c r="S11" t="s">
        <v>74</v>
      </c>
      <c r="T11" t="s">
        <v>320</v>
      </c>
      <c r="U11" t="s">
        <v>321</v>
      </c>
      <c r="V11" t="s">
        <v>322</v>
      </c>
      <c r="W11" t="s">
        <v>323</v>
      </c>
      <c r="X11" t="s">
        <v>324</v>
      </c>
      <c r="Y11" t="s">
        <v>325</v>
      </c>
      <c r="Z11" t="s">
        <v>326</v>
      </c>
      <c r="AA11" t="s">
        <v>327</v>
      </c>
      <c r="AB11" t="s">
        <v>328</v>
      </c>
      <c r="AC11" t="s">
        <v>329</v>
      </c>
      <c r="AD11" t="s">
        <v>330</v>
      </c>
      <c r="AE11" t="s">
        <v>331</v>
      </c>
      <c r="AF11" t="s">
        <v>74</v>
      </c>
      <c r="AG11">
        <v>47</v>
      </c>
      <c r="AH11">
        <v>1</v>
      </c>
      <c r="AI11">
        <v>1</v>
      </c>
      <c r="AJ11">
        <v>2</v>
      </c>
      <c r="AK11">
        <v>4</v>
      </c>
      <c r="AL11" t="s">
        <v>91</v>
      </c>
      <c r="AM11" t="s">
        <v>92</v>
      </c>
      <c r="AN11" t="s">
        <v>93</v>
      </c>
      <c r="AO11" t="s">
        <v>281</v>
      </c>
      <c r="AP11" t="s">
        <v>282</v>
      </c>
      <c r="AQ11" t="s">
        <v>74</v>
      </c>
      <c r="AR11" t="s">
        <v>283</v>
      </c>
      <c r="AS11" t="s">
        <v>284</v>
      </c>
      <c r="AT11" t="s">
        <v>98</v>
      </c>
      <c r="AU11">
        <v>2023</v>
      </c>
      <c r="AV11">
        <v>36</v>
      </c>
      <c r="AW11">
        <v>9</v>
      </c>
      <c r="AX11" t="s">
        <v>74</v>
      </c>
      <c r="AY11" t="s">
        <v>74</v>
      </c>
      <c r="AZ11" t="s">
        <v>74</v>
      </c>
      <c r="BA11" t="s">
        <v>74</v>
      </c>
      <c r="BB11">
        <v>3063</v>
      </c>
      <c r="BC11">
        <v>3081</v>
      </c>
      <c r="BD11" t="s">
        <v>74</v>
      </c>
      <c r="BE11" t="s">
        <v>332</v>
      </c>
      <c r="BF11" t="str">
        <f>HYPERLINK("http://dx.doi.org/10.1175/JCLI-D-22-0363.1","http://dx.doi.org/10.1175/JCLI-D-22-0363.1")</f>
        <v>http://dx.doi.org/10.1175/JCLI-D-22-0363.1</v>
      </c>
      <c r="BG11" t="s">
        <v>74</v>
      </c>
      <c r="BH11" t="s">
        <v>74</v>
      </c>
      <c r="BI11">
        <v>19</v>
      </c>
      <c r="BJ11" t="s">
        <v>102</v>
      </c>
      <c r="BK11" t="s">
        <v>103</v>
      </c>
      <c r="BL11" t="s">
        <v>102</v>
      </c>
      <c r="BM11" t="s">
        <v>333</v>
      </c>
      <c r="BN11" t="s">
        <v>74</v>
      </c>
      <c r="BO11" t="s">
        <v>334</v>
      </c>
      <c r="BP11" t="s">
        <v>74</v>
      </c>
      <c r="BQ11" t="s">
        <v>74</v>
      </c>
      <c r="BR11" t="s">
        <v>106</v>
      </c>
      <c r="BS11" t="s">
        <v>335</v>
      </c>
      <c r="BT11" t="str">
        <f>HYPERLINK("https%3A%2F%2Fwww.webofscience.com%2Fwos%2Fwoscc%2Ffull-record%2FWOS:000970391100001","View Full Record in Web of Science")</f>
        <v>View Full Record in Web of Science</v>
      </c>
    </row>
    <row r="12" spans="1:72" x14ac:dyDescent="0.15">
      <c r="A12" t="s">
        <v>72</v>
      </c>
      <c r="B12" t="s">
        <v>336</v>
      </c>
      <c r="C12" t="s">
        <v>74</v>
      </c>
      <c r="D12" t="s">
        <v>74</v>
      </c>
      <c r="E12" t="s">
        <v>74</v>
      </c>
      <c r="F12" t="s">
        <v>337</v>
      </c>
      <c r="G12" t="s">
        <v>74</v>
      </c>
      <c r="H12" t="s">
        <v>74</v>
      </c>
      <c r="I12" t="s">
        <v>338</v>
      </c>
      <c r="J12" t="s">
        <v>339</v>
      </c>
      <c r="K12" t="s">
        <v>74</v>
      </c>
      <c r="L12" t="s">
        <v>74</v>
      </c>
      <c r="M12" t="s">
        <v>78</v>
      </c>
      <c r="N12" t="s">
        <v>112</v>
      </c>
      <c r="O12" t="s">
        <v>74</v>
      </c>
      <c r="P12" t="s">
        <v>74</v>
      </c>
      <c r="Q12" t="s">
        <v>74</v>
      </c>
      <c r="R12" t="s">
        <v>74</v>
      </c>
      <c r="S12" t="s">
        <v>74</v>
      </c>
      <c r="T12" t="s">
        <v>340</v>
      </c>
      <c r="U12" t="s">
        <v>341</v>
      </c>
      <c r="V12" t="s">
        <v>342</v>
      </c>
      <c r="W12" t="s">
        <v>343</v>
      </c>
      <c r="X12" t="s">
        <v>344</v>
      </c>
      <c r="Y12" t="s">
        <v>345</v>
      </c>
      <c r="Z12" t="s">
        <v>346</v>
      </c>
      <c r="AA12" t="s">
        <v>347</v>
      </c>
      <c r="AB12" t="s">
        <v>348</v>
      </c>
      <c r="AC12" t="s">
        <v>349</v>
      </c>
      <c r="AD12" t="s">
        <v>350</v>
      </c>
      <c r="AE12" t="s">
        <v>351</v>
      </c>
      <c r="AF12" t="s">
        <v>74</v>
      </c>
      <c r="AG12">
        <v>48</v>
      </c>
      <c r="AH12">
        <v>5</v>
      </c>
      <c r="AI12">
        <v>6</v>
      </c>
      <c r="AJ12">
        <v>8</v>
      </c>
      <c r="AK12">
        <v>25</v>
      </c>
      <c r="AL12" t="s">
        <v>152</v>
      </c>
      <c r="AM12" t="s">
        <v>153</v>
      </c>
      <c r="AN12" t="s">
        <v>154</v>
      </c>
      <c r="AO12" t="s">
        <v>352</v>
      </c>
      <c r="AP12" t="s">
        <v>74</v>
      </c>
      <c r="AQ12" t="s">
        <v>74</v>
      </c>
      <c r="AR12" t="s">
        <v>353</v>
      </c>
      <c r="AS12" t="s">
        <v>354</v>
      </c>
      <c r="AT12" t="s">
        <v>131</v>
      </c>
      <c r="AU12">
        <v>2023</v>
      </c>
      <c r="AV12">
        <v>18</v>
      </c>
      <c r="AW12">
        <v>5</v>
      </c>
      <c r="AX12" t="s">
        <v>74</v>
      </c>
      <c r="AY12" t="s">
        <v>74</v>
      </c>
      <c r="AZ12" t="s">
        <v>74</v>
      </c>
      <c r="BA12" t="s">
        <v>74</v>
      </c>
      <c r="BB12" t="s">
        <v>74</v>
      </c>
      <c r="BC12" t="s">
        <v>74</v>
      </c>
      <c r="BD12">
        <v>54002</v>
      </c>
      <c r="BE12" t="s">
        <v>355</v>
      </c>
      <c r="BF12" t="str">
        <f>HYPERLINK("http://dx.doi.org/10.1088/1748-9326/acc9d6","http://dx.doi.org/10.1088/1748-9326/acc9d6")</f>
        <v>http://dx.doi.org/10.1088/1748-9326/acc9d6</v>
      </c>
      <c r="BG12" t="s">
        <v>74</v>
      </c>
      <c r="BH12" t="s">
        <v>74</v>
      </c>
      <c r="BI12">
        <v>11</v>
      </c>
      <c r="BJ12" t="s">
        <v>356</v>
      </c>
      <c r="BK12" t="s">
        <v>103</v>
      </c>
      <c r="BL12" t="s">
        <v>357</v>
      </c>
      <c r="BM12" t="s">
        <v>358</v>
      </c>
      <c r="BN12" t="s">
        <v>74</v>
      </c>
      <c r="BO12" t="s">
        <v>359</v>
      </c>
      <c r="BP12" t="s">
        <v>74</v>
      </c>
      <c r="BQ12" t="s">
        <v>74</v>
      </c>
      <c r="BR12" t="s">
        <v>106</v>
      </c>
      <c r="BS12" t="s">
        <v>360</v>
      </c>
      <c r="BT12" t="str">
        <f>HYPERLINK("https%3A%2F%2Fwww.webofscience.com%2Fwos%2Fwoscc%2Ffull-record%2FWOS:000970636700001","View Full Record in Web of Science")</f>
        <v>View Full Record in Web of Science</v>
      </c>
    </row>
    <row r="13" spans="1:72" x14ac:dyDescent="0.15">
      <c r="A13" t="s">
        <v>72</v>
      </c>
      <c r="B13" t="s">
        <v>361</v>
      </c>
      <c r="C13" t="s">
        <v>74</v>
      </c>
      <c r="D13" t="s">
        <v>74</v>
      </c>
      <c r="E13" t="s">
        <v>74</v>
      </c>
      <c r="F13" t="s">
        <v>362</v>
      </c>
      <c r="G13" t="s">
        <v>74</v>
      </c>
      <c r="H13" t="s">
        <v>74</v>
      </c>
      <c r="I13" t="s">
        <v>363</v>
      </c>
      <c r="J13" t="s">
        <v>364</v>
      </c>
      <c r="K13" t="s">
        <v>74</v>
      </c>
      <c r="L13" t="s">
        <v>74</v>
      </c>
      <c r="M13" t="s">
        <v>78</v>
      </c>
      <c r="N13" t="s">
        <v>365</v>
      </c>
      <c r="O13" t="s">
        <v>74</v>
      </c>
      <c r="P13" t="s">
        <v>74</v>
      </c>
      <c r="Q13" t="s">
        <v>74</v>
      </c>
      <c r="R13" t="s">
        <v>74</v>
      </c>
      <c r="S13" t="s">
        <v>74</v>
      </c>
      <c r="T13" t="s">
        <v>366</v>
      </c>
      <c r="U13" t="s">
        <v>367</v>
      </c>
      <c r="V13" t="s">
        <v>368</v>
      </c>
      <c r="W13" t="s">
        <v>369</v>
      </c>
      <c r="X13" t="s">
        <v>370</v>
      </c>
      <c r="Y13" t="s">
        <v>371</v>
      </c>
      <c r="Z13" t="s">
        <v>372</v>
      </c>
      <c r="AA13" t="s">
        <v>373</v>
      </c>
      <c r="AB13" t="s">
        <v>74</v>
      </c>
      <c r="AC13" t="s">
        <v>374</v>
      </c>
      <c r="AD13" t="s">
        <v>375</v>
      </c>
      <c r="AE13" t="s">
        <v>376</v>
      </c>
      <c r="AF13" t="s">
        <v>74</v>
      </c>
      <c r="AG13">
        <v>162</v>
      </c>
      <c r="AH13">
        <v>4</v>
      </c>
      <c r="AI13">
        <v>4</v>
      </c>
      <c r="AJ13">
        <v>7</v>
      </c>
      <c r="AK13">
        <v>18</v>
      </c>
      <c r="AL13" t="s">
        <v>377</v>
      </c>
      <c r="AM13" t="s">
        <v>378</v>
      </c>
      <c r="AN13" t="s">
        <v>379</v>
      </c>
      <c r="AO13" t="s">
        <v>380</v>
      </c>
      <c r="AP13" t="s">
        <v>381</v>
      </c>
      <c r="AQ13" t="s">
        <v>74</v>
      </c>
      <c r="AR13" t="s">
        <v>382</v>
      </c>
      <c r="AS13" t="s">
        <v>383</v>
      </c>
      <c r="AT13" t="s">
        <v>98</v>
      </c>
      <c r="AU13">
        <v>2023</v>
      </c>
      <c r="AV13">
        <v>170</v>
      </c>
      <c r="AW13">
        <v>5</v>
      </c>
      <c r="AX13" t="s">
        <v>74</v>
      </c>
      <c r="AY13" t="s">
        <v>74</v>
      </c>
      <c r="AZ13" t="s">
        <v>74</v>
      </c>
      <c r="BA13" t="s">
        <v>74</v>
      </c>
      <c r="BB13" t="s">
        <v>74</v>
      </c>
      <c r="BC13" t="s">
        <v>74</v>
      </c>
      <c r="BD13">
        <v>58</v>
      </c>
      <c r="BE13" t="s">
        <v>384</v>
      </c>
      <c r="BF13" t="str">
        <f>HYPERLINK("http://dx.doi.org/10.1007/s00227-023-04182-8","http://dx.doi.org/10.1007/s00227-023-04182-8")</f>
        <v>http://dx.doi.org/10.1007/s00227-023-04182-8</v>
      </c>
      <c r="BG13" t="s">
        <v>74</v>
      </c>
      <c r="BH13" t="s">
        <v>74</v>
      </c>
      <c r="BI13">
        <v>27</v>
      </c>
      <c r="BJ13" t="s">
        <v>385</v>
      </c>
      <c r="BK13" t="s">
        <v>103</v>
      </c>
      <c r="BL13" t="s">
        <v>385</v>
      </c>
      <c r="BM13" t="s">
        <v>386</v>
      </c>
      <c r="BN13" t="s">
        <v>74</v>
      </c>
      <c r="BO13" t="s">
        <v>387</v>
      </c>
      <c r="BP13" t="s">
        <v>74</v>
      </c>
      <c r="BQ13" t="s">
        <v>74</v>
      </c>
      <c r="BR13" t="s">
        <v>106</v>
      </c>
      <c r="BS13" t="s">
        <v>388</v>
      </c>
      <c r="BT13" t="str">
        <f>HYPERLINK("https%3A%2F%2Fwww.webofscience.com%2Fwos%2Fwoscc%2Ffull-record%2FWOS:000962566700001","View Full Record in Web of Science")</f>
        <v>View Full Record in Web of Science</v>
      </c>
    </row>
    <row r="14" spans="1:72" x14ac:dyDescent="0.15">
      <c r="A14" t="s">
        <v>72</v>
      </c>
      <c r="B14" t="s">
        <v>389</v>
      </c>
      <c r="C14" t="s">
        <v>74</v>
      </c>
      <c r="D14" t="s">
        <v>74</v>
      </c>
      <c r="E14" t="s">
        <v>74</v>
      </c>
      <c r="F14" t="s">
        <v>390</v>
      </c>
      <c r="G14" t="s">
        <v>74</v>
      </c>
      <c r="H14" t="s">
        <v>74</v>
      </c>
      <c r="I14" t="s">
        <v>391</v>
      </c>
      <c r="J14" t="s">
        <v>268</v>
      </c>
      <c r="K14" t="s">
        <v>74</v>
      </c>
      <c r="L14" t="s">
        <v>74</v>
      </c>
      <c r="M14" t="s">
        <v>78</v>
      </c>
      <c r="N14" t="s">
        <v>112</v>
      </c>
      <c r="O14" t="s">
        <v>74</v>
      </c>
      <c r="P14" t="s">
        <v>74</v>
      </c>
      <c r="Q14" t="s">
        <v>74</v>
      </c>
      <c r="R14" t="s">
        <v>74</v>
      </c>
      <c r="S14" t="s">
        <v>74</v>
      </c>
      <c r="T14" t="s">
        <v>392</v>
      </c>
      <c r="U14" t="s">
        <v>393</v>
      </c>
      <c r="V14" t="s">
        <v>394</v>
      </c>
      <c r="W14" t="s">
        <v>395</v>
      </c>
      <c r="X14" t="s">
        <v>396</v>
      </c>
      <c r="Y14" t="s">
        <v>397</v>
      </c>
      <c r="Z14" t="s">
        <v>398</v>
      </c>
      <c r="AA14" t="s">
        <v>74</v>
      </c>
      <c r="AB14" t="s">
        <v>74</v>
      </c>
      <c r="AC14" t="s">
        <v>399</v>
      </c>
      <c r="AD14" t="s">
        <v>400</v>
      </c>
      <c r="AE14" t="s">
        <v>401</v>
      </c>
      <c r="AF14" t="s">
        <v>74</v>
      </c>
      <c r="AG14">
        <v>46</v>
      </c>
      <c r="AH14">
        <v>3</v>
      </c>
      <c r="AI14">
        <v>3</v>
      </c>
      <c r="AJ14">
        <v>3</v>
      </c>
      <c r="AK14">
        <v>4</v>
      </c>
      <c r="AL14" t="s">
        <v>91</v>
      </c>
      <c r="AM14" t="s">
        <v>92</v>
      </c>
      <c r="AN14" t="s">
        <v>93</v>
      </c>
      <c r="AO14" t="s">
        <v>281</v>
      </c>
      <c r="AP14" t="s">
        <v>282</v>
      </c>
      <c r="AQ14" t="s">
        <v>74</v>
      </c>
      <c r="AR14" t="s">
        <v>283</v>
      </c>
      <c r="AS14" t="s">
        <v>284</v>
      </c>
      <c r="AT14" t="s">
        <v>98</v>
      </c>
      <c r="AU14">
        <v>2023</v>
      </c>
      <c r="AV14">
        <v>36</v>
      </c>
      <c r="AW14">
        <v>9</v>
      </c>
      <c r="AX14" t="s">
        <v>74</v>
      </c>
      <c r="AY14" t="s">
        <v>74</v>
      </c>
      <c r="AZ14" t="s">
        <v>74</v>
      </c>
      <c r="BA14" t="s">
        <v>74</v>
      </c>
      <c r="BB14">
        <v>2933</v>
      </c>
      <c r="BC14">
        <v>2957</v>
      </c>
      <c r="BD14" t="s">
        <v>74</v>
      </c>
      <c r="BE14" t="s">
        <v>402</v>
      </c>
      <c r="BF14" t="str">
        <f>HYPERLINK("http://dx.doi.org/10.1175/JCLI-D-22-0012.1","http://dx.doi.org/10.1175/JCLI-D-22-0012.1")</f>
        <v>http://dx.doi.org/10.1175/JCLI-D-22-0012.1</v>
      </c>
      <c r="BG14" t="s">
        <v>74</v>
      </c>
      <c r="BH14" t="s">
        <v>74</v>
      </c>
      <c r="BI14">
        <v>25</v>
      </c>
      <c r="BJ14" t="s">
        <v>102</v>
      </c>
      <c r="BK14" t="s">
        <v>103</v>
      </c>
      <c r="BL14" t="s">
        <v>102</v>
      </c>
      <c r="BM14" t="s">
        <v>403</v>
      </c>
      <c r="BN14" t="s">
        <v>74</v>
      </c>
      <c r="BO14" t="s">
        <v>74</v>
      </c>
      <c r="BP14" t="s">
        <v>74</v>
      </c>
      <c r="BQ14" t="s">
        <v>74</v>
      </c>
      <c r="BR14" t="s">
        <v>106</v>
      </c>
      <c r="BS14" t="s">
        <v>404</v>
      </c>
      <c r="BT14" t="str">
        <f>HYPERLINK("https%3A%2F%2Fwww.webofscience.com%2Fwos%2Fwoscc%2Ffull-record%2FWOS:000961974300001","View Full Record in Web of Science")</f>
        <v>View Full Record in Web of Science</v>
      </c>
    </row>
    <row r="15" spans="1:72" x14ac:dyDescent="0.15">
      <c r="A15" t="s">
        <v>72</v>
      </c>
      <c r="B15" t="s">
        <v>405</v>
      </c>
      <c r="C15" t="s">
        <v>74</v>
      </c>
      <c r="D15" t="s">
        <v>74</v>
      </c>
      <c r="E15" t="s">
        <v>74</v>
      </c>
      <c r="F15" t="s">
        <v>406</v>
      </c>
      <c r="G15" t="s">
        <v>74</v>
      </c>
      <c r="H15" t="s">
        <v>74</v>
      </c>
      <c r="I15" t="s">
        <v>407</v>
      </c>
      <c r="J15" t="s">
        <v>408</v>
      </c>
      <c r="K15" t="s">
        <v>74</v>
      </c>
      <c r="L15" t="s">
        <v>74</v>
      </c>
      <c r="M15" t="s">
        <v>78</v>
      </c>
      <c r="N15" t="s">
        <v>112</v>
      </c>
      <c r="O15" t="s">
        <v>74</v>
      </c>
      <c r="P15" t="s">
        <v>74</v>
      </c>
      <c r="Q15" t="s">
        <v>74</v>
      </c>
      <c r="R15" t="s">
        <v>74</v>
      </c>
      <c r="S15" t="s">
        <v>74</v>
      </c>
      <c r="T15" t="s">
        <v>409</v>
      </c>
      <c r="U15" t="s">
        <v>410</v>
      </c>
      <c r="V15" t="s">
        <v>411</v>
      </c>
      <c r="W15" t="s">
        <v>412</v>
      </c>
      <c r="X15" t="s">
        <v>413</v>
      </c>
      <c r="Y15" t="s">
        <v>414</v>
      </c>
      <c r="Z15" t="s">
        <v>415</v>
      </c>
      <c r="AA15" t="s">
        <v>416</v>
      </c>
      <c r="AB15" t="s">
        <v>417</v>
      </c>
      <c r="AC15" t="s">
        <v>74</v>
      </c>
      <c r="AD15" t="s">
        <v>74</v>
      </c>
      <c r="AE15" t="s">
        <v>74</v>
      </c>
      <c r="AF15" t="s">
        <v>74</v>
      </c>
      <c r="AG15">
        <v>87</v>
      </c>
      <c r="AH15">
        <v>0</v>
      </c>
      <c r="AI15">
        <v>0</v>
      </c>
      <c r="AJ15">
        <v>2</v>
      </c>
      <c r="AK15">
        <v>3</v>
      </c>
      <c r="AL15" t="s">
        <v>418</v>
      </c>
      <c r="AM15" t="s">
        <v>419</v>
      </c>
      <c r="AN15" t="s">
        <v>420</v>
      </c>
      <c r="AO15" t="s">
        <v>421</v>
      </c>
      <c r="AP15" t="s">
        <v>422</v>
      </c>
      <c r="AQ15" t="s">
        <v>74</v>
      </c>
      <c r="AR15" t="s">
        <v>423</v>
      </c>
      <c r="AS15" t="s">
        <v>424</v>
      </c>
      <c r="AT15" t="s">
        <v>425</v>
      </c>
      <c r="AU15">
        <v>2023</v>
      </c>
      <c r="AV15">
        <v>68</v>
      </c>
      <c r="AW15">
        <v>7</v>
      </c>
      <c r="AX15" t="s">
        <v>74</v>
      </c>
      <c r="AY15" t="s">
        <v>74</v>
      </c>
      <c r="AZ15" t="s">
        <v>74</v>
      </c>
      <c r="BA15" t="s">
        <v>74</v>
      </c>
      <c r="BB15">
        <v>967</v>
      </c>
      <c r="BC15">
        <v>981</v>
      </c>
      <c r="BD15" t="s">
        <v>74</v>
      </c>
      <c r="BE15" t="s">
        <v>426</v>
      </c>
      <c r="BF15" t="str">
        <f>HYPERLINK("http://dx.doi.org/10.1080/02626667.2023.2195559","http://dx.doi.org/10.1080/02626667.2023.2195559")</f>
        <v>http://dx.doi.org/10.1080/02626667.2023.2195559</v>
      </c>
      <c r="BG15" t="s">
        <v>74</v>
      </c>
      <c r="BH15" t="s">
        <v>427</v>
      </c>
      <c r="BI15">
        <v>15</v>
      </c>
      <c r="BJ15" t="s">
        <v>428</v>
      </c>
      <c r="BK15" t="s">
        <v>103</v>
      </c>
      <c r="BL15" t="s">
        <v>428</v>
      </c>
      <c r="BM15" t="s">
        <v>429</v>
      </c>
      <c r="BN15" t="s">
        <v>74</v>
      </c>
      <c r="BO15" t="s">
        <v>430</v>
      </c>
      <c r="BP15" t="s">
        <v>74</v>
      </c>
      <c r="BQ15" t="s">
        <v>74</v>
      </c>
      <c r="BR15" t="s">
        <v>106</v>
      </c>
      <c r="BS15" t="s">
        <v>431</v>
      </c>
      <c r="BT15" t="str">
        <f>HYPERLINK("https%3A%2F%2Fwww.webofscience.com%2Fwos%2Fwoscc%2Ffull-record%2FWOS:000980299200001","View Full Record in Web of Science")</f>
        <v>View Full Record in Web of Science</v>
      </c>
    </row>
    <row r="16" spans="1:72" x14ac:dyDescent="0.15">
      <c r="A16" t="s">
        <v>72</v>
      </c>
      <c r="B16" t="s">
        <v>432</v>
      </c>
      <c r="C16" t="s">
        <v>74</v>
      </c>
      <c r="D16" t="s">
        <v>74</v>
      </c>
      <c r="E16" t="s">
        <v>74</v>
      </c>
      <c r="F16" t="s">
        <v>433</v>
      </c>
      <c r="G16" t="s">
        <v>74</v>
      </c>
      <c r="H16" t="s">
        <v>74</v>
      </c>
      <c r="I16" t="s">
        <v>434</v>
      </c>
      <c r="J16" t="s">
        <v>435</v>
      </c>
      <c r="K16" t="s">
        <v>74</v>
      </c>
      <c r="L16" t="s">
        <v>74</v>
      </c>
      <c r="M16" t="s">
        <v>78</v>
      </c>
      <c r="N16" t="s">
        <v>112</v>
      </c>
      <c r="O16" t="s">
        <v>74</v>
      </c>
      <c r="P16" t="s">
        <v>74</v>
      </c>
      <c r="Q16" t="s">
        <v>74</v>
      </c>
      <c r="R16" t="s">
        <v>74</v>
      </c>
      <c r="S16" t="s">
        <v>74</v>
      </c>
      <c r="T16" t="s">
        <v>436</v>
      </c>
      <c r="U16" t="s">
        <v>437</v>
      </c>
      <c r="V16" t="s">
        <v>438</v>
      </c>
      <c r="W16" t="s">
        <v>439</v>
      </c>
      <c r="X16" t="s">
        <v>440</v>
      </c>
      <c r="Y16" t="s">
        <v>441</v>
      </c>
      <c r="Z16" t="s">
        <v>442</v>
      </c>
      <c r="AA16" t="s">
        <v>74</v>
      </c>
      <c r="AB16" t="s">
        <v>443</v>
      </c>
      <c r="AC16" t="s">
        <v>444</v>
      </c>
      <c r="AD16" t="s">
        <v>445</v>
      </c>
      <c r="AE16" t="s">
        <v>446</v>
      </c>
      <c r="AF16" t="s">
        <v>74</v>
      </c>
      <c r="AG16">
        <v>123</v>
      </c>
      <c r="AH16">
        <v>0</v>
      </c>
      <c r="AI16">
        <v>0</v>
      </c>
      <c r="AJ16">
        <v>4</v>
      </c>
      <c r="AK16">
        <v>7</v>
      </c>
      <c r="AL16" t="s">
        <v>447</v>
      </c>
      <c r="AM16" t="s">
        <v>448</v>
      </c>
      <c r="AN16" t="s">
        <v>449</v>
      </c>
      <c r="AO16" t="s">
        <v>450</v>
      </c>
      <c r="AP16" t="s">
        <v>451</v>
      </c>
      <c r="AQ16" t="s">
        <v>74</v>
      </c>
      <c r="AR16" t="s">
        <v>452</v>
      </c>
      <c r="AS16" t="s">
        <v>453</v>
      </c>
      <c r="AT16" t="s">
        <v>454</v>
      </c>
      <c r="AU16">
        <v>2023</v>
      </c>
      <c r="AV16">
        <v>621</v>
      </c>
      <c r="AW16" t="s">
        <v>74</v>
      </c>
      <c r="AX16" t="s">
        <v>74</v>
      </c>
      <c r="AY16" t="s">
        <v>74</v>
      </c>
      <c r="AZ16" t="s">
        <v>74</v>
      </c>
      <c r="BA16" t="s">
        <v>74</v>
      </c>
      <c r="BB16" t="s">
        <v>74</v>
      </c>
      <c r="BC16" t="s">
        <v>74</v>
      </c>
      <c r="BD16">
        <v>111578</v>
      </c>
      <c r="BE16" t="s">
        <v>455</v>
      </c>
      <c r="BF16" t="str">
        <f>HYPERLINK("http://dx.doi.org/10.1016/j.palaeo.2023.111578","http://dx.doi.org/10.1016/j.palaeo.2023.111578")</f>
        <v>http://dx.doi.org/10.1016/j.palaeo.2023.111578</v>
      </c>
      <c r="BG16" t="s">
        <v>74</v>
      </c>
      <c r="BH16" t="s">
        <v>427</v>
      </c>
      <c r="BI16">
        <v>16</v>
      </c>
      <c r="BJ16" t="s">
        <v>456</v>
      </c>
      <c r="BK16" t="s">
        <v>103</v>
      </c>
      <c r="BL16" t="s">
        <v>457</v>
      </c>
      <c r="BM16" t="s">
        <v>458</v>
      </c>
      <c r="BN16" t="s">
        <v>74</v>
      </c>
      <c r="BO16" t="s">
        <v>74</v>
      </c>
      <c r="BP16" t="s">
        <v>74</v>
      </c>
      <c r="BQ16" t="s">
        <v>74</v>
      </c>
      <c r="BR16" t="s">
        <v>106</v>
      </c>
      <c r="BS16" t="s">
        <v>459</v>
      </c>
      <c r="BT16" t="str">
        <f>HYPERLINK("https%3A%2F%2Fwww.webofscience.com%2Fwos%2Fwoscc%2Ffull-record%2FWOS:001064522800001","View Full Record in Web of Science")</f>
        <v>View Full Record in Web of Science</v>
      </c>
    </row>
    <row r="17" spans="1:72" x14ac:dyDescent="0.15">
      <c r="A17" t="s">
        <v>72</v>
      </c>
      <c r="B17" t="s">
        <v>460</v>
      </c>
      <c r="C17" t="s">
        <v>74</v>
      </c>
      <c r="D17" t="s">
        <v>74</v>
      </c>
      <c r="E17" t="s">
        <v>74</v>
      </c>
      <c r="F17" t="s">
        <v>461</v>
      </c>
      <c r="G17" t="s">
        <v>74</v>
      </c>
      <c r="H17" t="s">
        <v>74</v>
      </c>
      <c r="I17" t="s">
        <v>462</v>
      </c>
      <c r="J17" t="s">
        <v>463</v>
      </c>
      <c r="K17" t="s">
        <v>74</v>
      </c>
      <c r="L17" t="s">
        <v>74</v>
      </c>
      <c r="M17" t="s">
        <v>78</v>
      </c>
      <c r="N17" t="s">
        <v>112</v>
      </c>
      <c r="O17" t="s">
        <v>74</v>
      </c>
      <c r="P17" t="s">
        <v>74</v>
      </c>
      <c r="Q17" t="s">
        <v>74</v>
      </c>
      <c r="R17" t="s">
        <v>74</v>
      </c>
      <c r="S17" t="s">
        <v>74</v>
      </c>
      <c r="T17" t="s">
        <v>464</v>
      </c>
      <c r="U17" t="s">
        <v>465</v>
      </c>
      <c r="V17" t="s">
        <v>466</v>
      </c>
      <c r="W17" t="s">
        <v>467</v>
      </c>
      <c r="X17" t="s">
        <v>468</v>
      </c>
      <c r="Y17" t="s">
        <v>469</v>
      </c>
      <c r="Z17" t="s">
        <v>470</v>
      </c>
      <c r="AA17" t="s">
        <v>471</v>
      </c>
      <c r="AB17" t="s">
        <v>472</v>
      </c>
      <c r="AC17" t="s">
        <v>473</v>
      </c>
      <c r="AD17" t="s">
        <v>474</v>
      </c>
      <c r="AE17" t="s">
        <v>475</v>
      </c>
      <c r="AF17" t="s">
        <v>74</v>
      </c>
      <c r="AG17">
        <v>64</v>
      </c>
      <c r="AH17">
        <v>1</v>
      </c>
      <c r="AI17">
        <v>1</v>
      </c>
      <c r="AJ17">
        <v>2</v>
      </c>
      <c r="AK17">
        <v>4</v>
      </c>
      <c r="AL17" t="s">
        <v>125</v>
      </c>
      <c r="AM17" t="s">
        <v>126</v>
      </c>
      <c r="AN17" t="s">
        <v>127</v>
      </c>
      <c r="AO17" t="s">
        <v>74</v>
      </c>
      <c r="AP17" t="s">
        <v>476</v>
      </c>
      <c r="AQ17" t="s">
        <v>74</v>
      </c>
      <c r="AR17" t="s">
        <v>477</v>
      </c>
      <c r="AS17" t="s">
        <v>478</v>
      </c>
      <c r="AT17" t="s">
        <v>479</v>
      </c>
      <c r="AU17">
        <v>2023</v>
      </c>
      <c r="AV17">
        <v>14</v>
      </c>
      <c r="AW17">
        <v>5</v>
      </c>
      <c r="AX17" t="s">
        <v>74</v>
      </c>
      <c r="AY17" t="s">
        <v>74</v>
      </c>
      <c r="AZ17" t="s">
        <v>74</v>
      </c>
      <c r="BA17" t="s">
        <v>74</v>
      </c>
      <c r="BB17" t="s">
        <v>74</v>
      </c>
      <c r="BC17" t="s">
        <v>74</v>
      </c>
      <c r="BD17">
        <v>1019</v>
      </c>
      <c r="BE17" t="s">
        <v>480</v>
      </c>
      <c r="BF17" t="str">
        <f>HYPERLINK("http://dx.doi.org/10.3390/genes14051019","http://dx.doi.org/10.3390/genes14051019")</f>
        <v>http://dx.doi.org/10.3390/genes14051019</v>
      </c>
      <c r="BG17" t="s">
        <v>74</v>
      </c>
      <c r="BH17" t="s">
        <v>74</v>
      </c>
      <c r="BI17">
        <v>21</v>
      </c>
      <c r="BJ17" t="s">
        <v>481</v>
      </c>
      <c r="BK17" t="s">
        <v>103</v>
      </c>
      <c r="BL17" t="s">
        <v>481</v>
      </c>
      <c r="BM17" t="s">
        <v>482</v>
      </c>
      <c r="BN17">
        <v>37239380</v>
      </c>
      <c r="BO17" t="s">
        <v>136</v>
      </c>
      <c r="BP17" t="s">
        <v>74</v>
      </c>
      <c r="BQ17" t="s">
        <v>74</v>
      </c>
      <c r="BR17" t="s">
        <v>106</v>
      </c>
      <c r="BS17" t="s">
        <v>483</v>
      </c>
      <c r="BT17" t="str">
        <f>HYPERLINK("https%3A%2F%2Fwww.webofscience.com%2Fwos%2Fwoscc%2Ffull-record%2FWOS:000996962700001","View Full Record in Web of Science")</f>
        <v>View Full Record in Web of Science</v>
      </c>
    </row>
    <row r="18" spans="1:72" x14ac:dyDescent="0.15">
      <c r="A18" t="s">
        <v>72</v>
      </c>
      <c r="B18" t="s">
        <v>484</v>
      </c>
      <c r="C18" t="s">
        <v>74</v>
      </c>
      <c r="D18" t="s">
        <v>74</v>
      </c>
      <c r="E18" t="s">
        <v>74</v>
      </c>
      <c r="F18" t="s">
        <v>485</v>
      </c>
      <c r="G18" t="s">
        <v>74</v>
      </c>
      <c r="H18" t="s">
        <v>74</v>
      </c>
      <c r="I18" t="s">
        <v>486</v>
      </c>
      <c r="J18" t="s">
        <v>487</v>
      </c>
      <c r="K18" t="s">
        <v>74</v>
      </c>
      <c r="L18" t="s">
        <v>74</v>
      </c>
      <c r="M18" t="s">
        <v>78</v>
      </c>
      <c r="N18" t="s">
        <v>112</v>
      </c>
      <c r="O18" t="s">
        <v>74</v>
      </c>
      <c r="P18" t="s">
        <v>74</v>
      </c>
      <c r="Q18" t="s">
        <v>74</v>
      </c>
      <c r="R18" t="s">
        <v>74</v>
      </c>
      <c r="S18" t="s">
        <v>74</v>
      </c>
      <c r="T18" t="s">
        <v>488</v>
      </c>
      <c r="U18" t="s">
        <v>489</v>
      </c>
      <c r="V18" t="s">
        <v>490</v>
      </c>
      <c r="W18" t="s">
        <v>491</v>
      </c>
      <c r="X18" t="s">
        <v>492</v>
      </c>
      <c r="Y18" t="s">
        <v>493</v>
      </c>
      <c r="Z18" t="s">
        <v>494</v>
      </c>
      <c r="AA18" t="s">
        <v>495</v>
      </c>
      <c r="AB18" t="s">
        <v>496</v>
      </c>
      <c r="AC18" t="s">
        <v>497</v>
      </c>
      <c r="AD18" t="s">
        <v>498</v>
      </c>
      <c r="AE18" t="s">
        <v>499</v>
      </c>
      <c r="AF18" t="s">
        <v>74</v>
      </c>
      <c r="AG18">
        <v>285</v>
      </c>
      <c r="AH18">
        <v>2</v>
      </c>
      <c r="AI18">
        <v>2</v>
      </c>
      <c r="AJ18">
        <v>60</v>
      </c>
      <c r="AK18">
        <v>103</v>
      </c>
      <c r="AL18" t="s">
        <v>500</v>
      </c>
      <c r="AM18" t="s">
        <v>501</v>
      </c>
      <c r="AN18" t="s">
        <v>502</v>
      </c>
      <c r="AO18" t="s">
        <v>503</v>
      </c>
      <c r="AP18" t="s">
        <v>504</v>
      </c>
      <c r="AQ18" t="s">
        <v>74</v>
      </c>
      <c r="AR18" t="s">
        <v>505</v>
      </c>
      <c r="AS18" t="s">
        <v>506</v>
      </c>
      <c r="AT18" t="s">
        <v>507</v>
      </c>
      <c r="AU18">
        <v>2023</v>
      </c>
      <c r="AV18">
        <v>40</v>
      </c>
      <c r="AW18">
        <v>8</v>
      </c>
      <c r="AX18" t="s">
        <v>74</v>
      </c>
      <c r="AY18" t="s">
        <v>74</v>
      </c>
      <c r="AZ18" t="s">
        <v>185</v>
      </c>
      <c r="BA18" t="s">
        <v>74</v>
      </c>
      <c r="BB18">
        <v>1401</v>
      </c>
      <c r="BC18">
        <v>1428</v>
      </c>
      <c r="BD18" t="s">
        <v>74</v>
      </c>
      <c r="BE18" t="s">
        <v>508</v>
      </c>
      <c r="BF18" t="str">
        <f>HYPERLINK("http://dx.doi.org/10.1007/s00376-023-2323-3","http://dx.doi.org/10.1007/s00376-023-2323-3")</f>
        <v>http://dx.doi.org/10.1007/s00376-023-2323-3</v>
      </c>
      <c r="BG18" t="s">
        <v>74</v>
      </c>
      <c r="BH18" t="s">
        <v>427</v>
      </c>
      <c r="BI18">
        <v>28</v>
      </c>
      <c r="BJ18" t="s">
        <v>102</v>
      </c>
      <c r="BK18" t="s">
        <v>103</v>
      </c>
      <c r="BL18" t="s">
        <v>102</v>
      </c>
      <c r="BM18" t="s">
        <v>509</v>
      </c>
      <c r="BN18" t="s">
        <v>74</v>
      </c>
      <c r="BO18" t="s">
        <v>334</v>
      </c>
      <c r="BP18" t="s">
        <v>74</v>
      </c>
      <c r="BQ18" t="s">
        <v>74</v>
      </c>
      <c r="BR18" t="s">
        <v>106</v>
      </c>
      <c r="BS18" t="s">
        <v>510</v>
      </c>
      <c r="BT18" t="str">
        <f>HYPERLINK("https%3A%2F%2Fwww.webofscience.com%2Fwos%2Fwoscc%2Ffull-record%2FWOS:000978316200001","View Full Record in Web of Science")</f>
        <v>View Full Record in Web of Science</v>
      </c>
    </row>
    <row r="19" spans="1:72" x14ac:dyDescent="0.15">
      <c r="A19" t="s">
        <v>72</v>
      </c>
      <c r="B19" t="s">
        <v>511</v>
      </c>
      <c r="C19" t="s">
        <v>74</v>
      </c>
      <c r="D19" t="s">
        <v>74</v>
      </c>
      <c r="E19" t="s">
        <v>74</v>
      </c>
      <c r="F19" t="s">
        <v>512</v>
      </c>
      <c r="G19" t="s">
        <v>74</v>
      </c>
      <c r="H19" t="s">
        <v>74</v>
      </c>
      <c r="I19" t="s">
        <v>513</v>
      </c>
      <c r="J19" t="s">
        <v>514</v>
      </c>
      <c r="K19" t="s">
        <v>74</v>
      </c>
      <c r="L19" t="s">
        <v>74</v>
      </c>
      <c r="M19" t="s">
        <v>78</v>
      </c>
      <c r="N19" t="s">
        <v>112</v>
      </c>
      <c r="O19" t="s">
        <v>74</v>
      </c>
      <c r="P19" t="s">
        <v>74</v>
      </c>
      <c r="Q19" t="s">
        <v>74</v>
      </c>
      <c r="R19" t="s">
        <v>74</v>
      </c>
      <c r="S19" t="s">
        <v>74</v>
      </c>
      <c r="T19" t="s">
        <v>515</v>
      </c>
      <c r="U19" t="s">
        <v>516</v>
      </c>
      <c r="V19" t="s">
        <v>517</v>
      </c>
      <c r="W19" t="s">
        <v>518</v>
      </c>
      <c r="X19" t="s">
        <v>519</v>
      </c>
      <c r="Y19" t="s">
        <v>520</v>
      </c>
      <c r="Z19" t="s">
        <v>521</v>
      </c>
      <c r="AA19" t="s">
        <v>522</v>
      </c>
      <c r="AB19" t="s">
        <v>523</v>
      </c>
      <c r="AC19" t="s">
        <v>74</v>
      </c>
      <c r="AD19" t="s">
        <v>74</v>
      </c>
      <c r="AE19" t="s">
        <v>74</v>
      </c>
      <c r="AF19" t="s">
        <v>74</v>
      </c>
      <c r="AG19">
        <v>99</v>
      </c>
      <c r="AH19">
        <v>2</v>
      </c>
      <c r="AI19">
        <v>2</v>
      </c>
      <c r="AJ19">
        <v>4</v>
      </c>
      <c r="AK19">
        <v>11</v>
      </c>
      <c r="AL19" t="s">
        <v>524</v>
      </c>
      <c r="AM19" t="s">
        <v>525</v>
      </c>
      <c r="AN19" t="s">
        <v>526</v>
      </c>
      <c r="AO19" t="s">
        <v>74</v>
      </c>
      <c r="AP19" t="s">
        <v>527</v>
      </c>
      <c r="AQ19" t="s">
        <v>74</v>
      </c>
      <c r="AR19" t="s">
        <v>528</v>
      </c>
      <c r="AS19" t="s">
        <v>529</v>
      </c>
      <c r="AT19" t="s">
        <v>479</v>
      </c>
      <c r="AU19">
        <v>2023</v>
      </c>
      <c r="AV19">
        <v>22</v>
      </c>
      <c r="AW19">
        <v>1</v>
      </c>
      <c r="AX19" t="s">
        <v>74</v>
      </c>
      <c r="AY19" t="s">
        <v>74</v>
      </c>
      <c r="AZ19" t="s">
        <v>74</v>
      </c>
      <c r="BA19" t="s">
        <v>74</v>
      </c>
      <c r="BB19" t="s">
        <v>74</v>
      </c>
      <c r="BC19" t="s">
        <v>74</v>
      </c>
      <c r="BD19">
        <v>85</v>
      </c>
      <c r="BE19" t="s">
        <v>530</v>
      </c>
      <c r="BF19" t="str">
        <f>HYPERLINK("http://dx.doi.org/10.1186/s12934-023-02105-2","http://dx.doi.org/10.1186/s12934-023-02105-2")</f>
        <v>http://dx.doi.org/10.1186/s12934-023-02105-2</v>
      </c>
      <c r="BG19" t="s">
        <v>74</v>
      </c>
      <c r="BH19" t="s">
        <v>74</v>
      </c>
      <c r="BI19">
        <v>16</v>
      </c>
      <c r="BJ19" t="s">
        <v>531</v>
      </c>
      <c r="BK19" t="s">
        <v>103</v>
      </c>
      <c r="BL19" t="s">
        <v>531</v>
      </c>
      <c r="BM19" t="s">
        <v>532</v>
      </c>
      <c r="BN19">
        <v>37120505</v>
      </c>
      <c r="BO19" t="s">
        <v>533</v>
      </c>
      <c r="BP19" t="s">
        <v>74</v>
      </c>
      <c r="BQ19" t="s">
        <v>74</v>
      </c>
      <c r="BR19" t="s">
        <v>106</v>
      </c>
      <c r="BS19" t="s">
        <v>534</v>
      </c>
      <c r="BT19" t="str">
        <f>HYPERLINK("https%3A%2F%2Fwww.webofscience.com%2Fwos%2Fwoscc%2Ffull-record%2FWOS:000978517600002","View Full Record in Web of Science")</f>
        <v>View Full Record in Web of Science</v>
      </c>
    </row>
    <row r="20" spans="1:72" x14ac:dyDescent="0.15">
      <c r="A20" t="s">
        <v>72</v>
      </c>
      <c r="B20" t="s">
        <v>535</v>
      </c>
      <c r="C20" t="s">
        <v>74</v>
      </c>
      <c r="D20" t="s">
        <v>74</v>
      </c>
      <c r="E20" t="s">
        <v>74</v>
      </c>
      <c r="F20" t="s">
        <v>536</v>
      </c>
      <c r="G20" t="s">
        <v>74</v>
      </c>
      <c r="H20" t="s">
        <v>74</v>
      </c>
      <c r="I20" t="s">
        <v>537</v>
      </c>
      <c r="J20" t="s">
        <v>538</v>
      </c>
      <c r="K20" t="s">
        <v>74</v>
      </c>
      <c r="L20" t="s">
        <v>74</v>
      </c>
      <c r="M20" t="s">
        <v>78</v>
      </c>
      <c r="N20" t="s">
        <v>112</v>
      </c>
      <c r="O20" t="s">
        <v>74</v>
      </c>
      <c r="P20" t="s">
        <v>74</v>
      </c>
      <c r="Q20" t="s">
        <v>74</v>
      </c>
      <c r="R20" t="s">
        <v>74</v>
      </c>
      <c r="S20" t="s">
        <v>74</v>
      </c>
      <c r="T20" t="s">
        <v>539</v>
      </c>
      <c r="U20" t="s">
        <v>540</v>
      </c>
      <c r="V20" t="s">
        <v>541</v>
      </c>
      <c r="W20" t="s">
        <v>542</v>
      </c>
      <c r="X20" t="s">
        <v>543</v>
      </c>
      <c r="Y20" t="s">
        <v>544</v>
      </c>
      <c r="Z20" t="s">
        <v>545</v>
      </c>
      <c r="AA20" t="s">
        <v>74</v>
      </c>
      <c r="AB20" t="s">
        <v>74</v>
      </c>
      <c r="AC20" t="s">
        <v>74</v>
      </c>
      <c r="AD20" t="s">
        <v>74</v>
      </c>
      <c r="AE20" t="s">
        <v>74</v>
      </c>
      <c r="AF20" t="s">
        <v>74</v>
      </c>
      <c r="AG20">
        <v>49</v>
      </c>
      <c r="AH20">
        <v>0</v>
      </c>
      <c r="AI20">
        <v>0</v>
      </c>
      <c r="AJ20">
        <v>7</v>
      </c>
      <c r="AK20">
        <v>10</v>
      </c>
      <c r="AL20" t="s">
        <v>500</v>
      </c>
      <c r="AM20" t="s">
        <v>501</v>
      </c>
      <c r="AN20" t="s">
        <v>546</v>
      </c>
      <c r="AO20" t="s">
        <v>547</v>
      </c>
      <c r="AP20" t="s">
        <v>548</v>
      </c>
      <c r="AQ20" t="s">
        <v>74</v>
      </c>
      <c r="AR20" t="s">
        <v>549</v>
      </c>
      <c r="AS20" t="s">
        <v>550</v>
      </c>
      <c r="AT20" t="s">
        <v>98</v>
      </c>
      <c r="AU20">
        <v>2023</v>
      </c>
      <c r="AV20">
        <v>41</v>
      </c>
      <c r="AW20">
        <v>3</v>
      </c>
      <c r="AX20" t="s">
        <v>74</v>
      </c>
      <c r="AY20" t="s">
        <v>74</v>
      </c>
      <c r="AZ20" t="s">
        <v>74</v>
      </c>
      <c r="BA20" t="s">
        <v>74</v>
      </c>
      <c r="BB20">
        <v>1039</v>
      </c>
      <c r="BC20">
        <v>1049</v>
      </c>
      <c r="BD20" t="s">
        <v>74</v>
      </c>
      <c r="BE20" t="s">
        <v>551</v>
      </c>
      <c r="BF20" t="str">
        <f>HYPERLINK("http://dx.doi.org/10.1007/s00343-022-2067-4","http://dx.doi.org/10.1007/s00343-022-2067-4")</f>
        <v>http://dx.doi.org/10.1007/s00343-022-2067-4</v>
      </c>
      <c r="BG20" t="s">
        <v>74</v>
      </c>
      <c r="BH20" t="s">
        <v>427</v>
      </c>
      <c r="BI20">
        <v>11</v>
      </c>
      <c r="BJ20" t="s">
        <v>552</v>
      </c>
      <c r="BK20" t="s">
        <v>103</v>
      </c>
      <c r="BL20" t="s">
        <v>553</v>
      </c>
      <c r="BM20" t="s">
        <v>554</v>
      </c>
      <c r="BN20" t="s">
        <v>74</v>
      </c>
      <c r="BO20" t="s">
        <v>74</v>
      </c>
      <c r="BP20" t="s">
        <v>74</v>
      </c>
      <c r="BQ20" t="s">
        <v>74</v>
      </c>
      <c r="BR20" t="s">
        <v>106</v>
      </c>
      <c r="BS20" t="s">
        <v>555</v>
      </c>
      <c r="BT20" t="str">
        <f>HYPERLINK("https%3A%2F%2Fwww.webofscience.com%2Fwos%2Fwoscc%2Ffull-record%2FWOS:000978534600002","View Full Record in Web of Science")</f>
        <v>View Full Record in Web of Science</v>
      </c>
    </row>
    <row r="21" spans="1:72" x14ac:dyDescent="0.15">
      <c r="A21" t="s">
        <v>72</v>
      </c>
      <c r="B21" t="s">
        <v>556</v>
      </c>
      <c r="C21" t="s">
        <v>74</v>
      </c>
      <c r="D21" t="s">
        <v>74</v>
      </c>
      <c r="E21" t="s">
        <v>74</v>
      </c>
      <c r="F21" t="s">
        <v>557</v>
      </c>
      <c r="G21" t="s">
        <v>74</v>
      </c>
      <c r="H21" t="s">
        <v>74</v>
      </c>
      <c r="I21" t="s">
        <v>558</v>
      </c>
      <c r="J21" t="s">
        <v>538</v>
      </c>
      <c r="K21" t="s">
        <v>74</v>
      </c>
      <c r="L21" t="s">
        <v>74</v>
      </c>
      <c r="M21" t="s">
        <v>78</v>
      </c>
      <c r="N21" t="s">
        <v>112</v>
      </c>
      <c r="O21" t="s">
        <v>74</v>
      </c>
      <c r="P21" t="s">
        <v>74</v>
      </c>
      <c r="Q21" t="s">
        <v>74</v>
      </c>
      <c r="R21" t="s">
        <v>74</v>
      </c>
      <c r="S21" t="s">
        <v>74</v>
      </c>
      <c r="T21" t="s">
        <v>559</v>
      </c>
      <c r="U21" t="s">
        <v>560</v>
      </c>
      <c r="V21" t="s">
        <v>561</v>
      </c>
      <c r="W21" t="s">
        <v>562</v>
      </c>
      <c r="X21" t="s">
        <v>563</v>
      </c>
      <c r="Y21" t="s">
        <v>564</v>
      </c>
      <c r="Z21" t="s">
        <v>565</v>
      </c>
      <c r="AA21" t="s">
        <v>566</v>
      </c>
      <c r="AB21" t="s">
        <v>74</v>
      </c>
      <c r="AC21" t="s">
        <v>567</v>
      </c>
      <c r="AD21" t="s">
        <v>568</v>
      </c>
      <c r="AE21" t="s">
        <v>569</v>
      </c>
      <c r="AF21" t="s">
        <v>74</v>
      </c>
      <c r="AG21">
        <v>104</v>
      </c>
      <c r="AH21">
        <v>0</v>
      </c>
      <c r="AI21">
        <v>0</v>
      </c>
      <c r="AJ21">
        <v>7</v>
      </c>
      <c r="AK21">
        <v>14</v>
      </c>
      <c r="AL21" t="s">
        <v>500</v>
      </c>
      <c r="AM21" t="s">
        <v>501</v>
      </c>
      <c r="AN21" t="s">
        <v>546</v>
      </c>
      <c r="AO21" t="s">
        <v>547</v>
      </c>
      <c r="AP21" t="s">
        <v>548</v>
      </c>
      <c r="AQ21" t="s">
        <v>74</v>
      </c>
      <c r="AR21" t="s">
        <v>549</v>
      </c>
      <c r="AS21" t="s">
        <v>550</v>
      </c>
      <c r="AT21" t="s">
        <v>570</v>
      </c>
      <c r="AU21">
        <v>2023</v>
      </c>
      <c r="AV21">
        <v>41</v>
      </c>
      <c r="AW21">
        <v>4</v>
      </c>
      <c r="AX21" t="s">
        <v>74</v>
      </c>
      <c r="AY21" t="s">
        <v>74</v>
      </c>
      <c r="AZ21" t="s">
        <v>185</v>
      </c>
      <c r="BA21" t="s">
        <v>74</v>
      </c>
      <c r="BB21">
        <v>1504</v>
      </c>
      <c r="BC21">
        <v>1518</v>
      </c>
      <c r="BD21" t="s">
        <v>74</v>
      </c>
      <c r="BE21" t="s">
        <v>571</v>
      </c>
      <c r="BF21" t="str">
        <f>HYPERLINK("http://dx.doi.org/10.1007/s00343-022-2068-3","http://dx.doi.org/10.1007/s00343-022-2068-3")</f>
        <v>http://dx.doi.org/10.1007/s00343-022-2068-3</v>
      </c>
      <c r="BG21" t="s">
        <v>74</v>
      </c>
      <c r="BH21" t="s">
        <v>427</v>
      </c>
      <c r="BI21">
        <v>15</v>
      </c>
      <c r="BJ21" t="s">
        <v>552</v>
      </c>
      <c r="BK21" t="s">
        <v>103</v>
      </c>
      <c r="BL21" t="s">
        <v>553</v>
      </c>
      <c r="BM21" t="s">
        <v>572</v>
      </c>
      <c r="BN21" t="s">
        <v>74</v>
      </c>
      <c r="BO21" t="s">
        <v>74</v>
      </c>
      <c r="BP21" t="s">
        <v>74</v>
      </c>
      <c r="BQ21" t="s">
        <v>74</v>
      </c>
      <c r="BR21" t="s">
        <v>106</v>
      </c>
      <c r="BS21" t="s">
        <v>573</v>
      </c>
      <c r="BT21" t="str">
        <f>HYPERLINK("https%3A%2F%2Fwww.webofscience.com%2Fwos%2Fwoscc%2Ffull-record%2FWOS:000978534600001","View Full Record in Web of Science")</f>
        <v>View Full Record in Web of Science</v>
      </c>
    </row>
    <row r="22" spans="1:72" x14ac:dyDescent="0.15">
      <c r="A22" t="s">
        <v>72</v>
      </c>
      <c r="B22" t="s">
        <v>574</v>
      </c>
      <c r="C22" t="s">
        <v>74</v>
      </c>
      <c r="D22" t="s">
        <v>74</v>
      </c>
      <c r="E22" t="s">
        <v>74</v>
      </c>
      <c r="F22" t="s">
        <v>575</v>
      </c>
      <c r="G22" t="s">
        <v>74</v>
      </c>
      <c r="H22" t="s">
        <v>74</v>
      </c>
      <c r="I22" t="s">
        <v>576</v>
      </c>
      <c r="J22" t="s">
        <v>577</v>
      </c>
      <c r="K22" t="s">
        <v>74</v>
      </c>
      <c r="L22" t="s">
        <v>74</v>
      </c>
      <c r="M22" t="s">
        <v>78</v>
      </c>
      <c r="N22" t="s">
        <v>112</v>
      </c>
      <c r="O22" t="s">
        <v>74</v>
      </c>
      <c r="P22" t="s">
        <v>74</v>
      </c>
      <c r="Q22" t="s">
        <v>74</v>
      </c>
      <c r="R22" t="s">
        <v>74</v>
      </c>
      <c r="S22" t="s">
        <v>74</v>
      </c>
      <c r="T22" t="s">
        <v>578</v>
      </c>
      <c r="U22" t="s">
        <v>579</v>
      </c>
      <c r="V22" t="s">
        <v>580</v>
      </c>
      <c r="W22" t="s">
        <v>581</v>
      </c>
      <c r="X22" t="s">
        <v>582</v>
      </c>
      <c r="Y22" t="s">
        <v>583</v>
      </c>
      <c r="Z22" t="s">
        <v>584</v>
      </c>
      <c r="AA22" t="s">
        <v>74</v>
      </c>
      <c r="AB22" t="s">
        <v>585</v>
      </c>
      <c r="AC22" t="s">
        <v>586</v>
      </c>
      <c r="AD22" t="s">
        <v>587</v>
      </c>
      <c r="AE22" t="s">
        <v>588</v>
      </c>
      <c r="AF22" t="s">
        <v>74</v>
      </c>
      <c r="AG22">
        <v>66</v>
      </c>
      <c r="AH22">
        <v>0</v>
      </c>
      <c r="AI22">
        <v>0</v>
      </c>
      <c r="AJ22">
        <v>12</v>
      </c>
      <c r="AK22">
        <v>16</v>
      </c>
      <c r="AL22" t="s">
        <v>125</v>
      </c>
      <c r="AM22" t="s">
        <v>126</v>
      </c>
      <c r="AN22" t="s">
        <v>127</v>
      </c>
      <c r="AO22" t="s">
        <v>74</v>
      </c>
      <c r="AP22" t="s">
        <v>589</v>
      </c>
      <c r="AQ22" t="s">
        <v>74</v>
      </c>
      <c r="AR22" t="s">
        <v>590</v>
      </c>
      <c r="AS22" t="s">
        <v>591</v>
      </c>
      <c r="AT22" t="s">
        <v>592</v>
      </c>
      <c r="AU22">
        <v>2023</v>
      </c>
      <c r="AV22">
        <v>15</v>
      </c>
      <c r="AW22">
        <v>9</v>
      </c>
      <c r="AX22" t="s">
        <v>74</v>
      </c>
      <c r="AY22" t="s">
        <v>74</v>
      </c>
      <c r="AZ22" t="s">
        <v>74</v>
      </c>
      <c r="BA22" t="s">
        <v>74</v>
      </c>
      <c r="BB22" t="s">
        <v>74</v>
      </c>
      <c r="BC22" t="s">
        <v>74</v>
      </c>
      <c r="BD22">
        <v>7352</v>
      </c>
      <c r="BE22" t="s">
        <v>593</v>
      </c>
      <c r="BF22" t="str">
        <f>HYPERLINK("http://dx.doi.org/10.3390/su15097352","http://dx.doi.org/10.3390/su15097352")</f>
        <v>http://dx.doi.org/10.3390/su15097352</v>
      </c>
      <c r="BG22" t="s">
        <v>74</v>
      </c>
      <c r="BH22" t="s">
        <v>74</v>
      </c>
      <c r="BI22">
        <v>13</v>
      </c>
      <c r="BJ22" t="s">
        <v>594</v>
      </c>
      <c r="BK22" t="s">
        <v>595</v>
      </c>
      <c r="BL22" t="s">
        <v>596</v>
      </c>
      <c r="BM22" t="s">
        <v>597</v>
      </c>
      <c r="BN22" t="s">
        <v>74</v>
      </c>
      <c r="BO22" t="s">
        <v>359</v>
      </c>
      <c r="BP22" t="s">
        <v>74</v>
      </c>
      <c r="BQ22" t="s">
        <v>74</v>
      </c>
      <c r="BR22" t="s">
        <v>106</v>
      </c>
      <c r="BS22" t="s">
        <v>598</v>
      </c>
      <c r="BT22" t="str">
        <f>HYPERLINK("https%3A%2F%2Fwww.webofscience.com%2Fwos%2Fwoscc%2Ffull-record%2FWOS:000987884800001","View Full Record in Web of Science")</f>
        <v>View Full Record in Web of Science</v>
      </c>
    </row>
    <row r="23" spans="1:72" x14ac:dyDescent="0.15">
      <c r="A23" t="s">
        <v>72</v>
      </c>
      <c r="B23" t="s">
        <v>599</v>
      </c>
      <c r="C23" t="s">
        <v>74</v>
      </c>
      <c r="D23" t="s">
        <v>74</v>
      </c>
      <c r="E23" t="s">
        <v>74</v>
      </c>
      <c r="F23" t="s">
        <v>600</v>
      </c>
      <c r="G23" t="s">
        <v>74</v>
      </c>
      <c r="H23" t="s">
        <v>74</v>
      </c>
      <c r="I23" t="s">
        <v>601</v>
      </c>
      <c r="J23" t="s">
        <v>194</v>
      </c>
      <c r="K23" t="s">
        <v>74</v>
      </c>
      <c r="L23" t="s">
        <v>74</v>
      </c>
      <c r="M23" t="s">
        <v>78</v>
      </c>
      <c r="N23" t="s">
        <v>112</v>
      </c>
      <c r="O23" t="s">
        <v>74</v>
      </c>
      <c r="P23" t="s">
        <v>74</v>
      </c>
      <c r="Q23" t="s">
        <v>74</v>
      </c>
      <c r="R23" t="s">
        <v>74</v>
      </c>
      <c r="S23" t="s">
        <v>74</v>
      </c>
      <c r="T23" t="s">
        <v>74</v>
      </c>
      <c r="U23" t="s">
        <v>602</v>
      </c>
      <c r="V23" t="s">
        <v>603</v>
      </c>
      <c r="W23" t="s">
        <v>604</v>
      </c>
      <c r="X23" t="s">
        <v>605</v>
      </c>
      <c r="Y23" t="s">
        <v>606</v>
      </c>
      <c r="Z23" t="s">
        <v>607</v>
      </c>
      <c r="AA23" t="s">
        <v>74</v>
      </c>
      <c r="AB23" t="s">
        <v>608</v>
      </c>
      <c r="AC23" t="s">
        <v>609</v>
      </c>
      <c r="AD23" t="s">
        <v>610</v>
      </c>
      <c r="AE23" t="s">
        <v>611</v>
      </c>
      <c r="AF23" t="s">
        <v>74</v>
      </c>
      <c r="AG23">
        <v>110</v>
      </c>
      <c r="AH23">
        <v>4</v>
      </c>
      <c r="AI23">
        <v>4</v>
      </c>
      <c r="AJ23">
        <v>4</v>
      </c>
      <c r="AK23">
        <v>6</v>
      </c>
      <c r="AL23" t="s">
        <v>203</v>
      </c>
      <c r="AM23" t="s">
        <v>204</v>
      </c>
      <c r="AN23" t="s">
        <v>205</v>
      </c>
      <c r="AO23" t="s">
        <v>206</v>
      </c>
      <c r="AP23" t="s">
        <v>74</v>
      </c>
      <c r="AQ23" t="s">
        <v>74</v>
      </c>
      <c r="AR23" t="s">
        <v>207</v>
      </c>
      <c r="AS23" t="s">
        <v>208</v>
      </c>
      <c r="AT23" t="s">
        <v>592</v>
      </c>
      <c r="AU23">
        <v>2023</v>
      </c>
      <c r="AV23">
        <v>13</v>
      </c>
      <c r="AW23">
        <v>1</v>
      </c>
      <c r="AX23" t="s">
        <v>74</v>
      </c>
      <c r="AY23" t="s">
        <v>74</v>
      </c>
      <c r="AZ23" t="s">
        <v>74</v>
      </c>
      <c r="BA23" t="s">
        <v>74</v>
      </c>
      <c r="BB23" t="s">
        <v>74</v>
      </c>
      <c r="BC23" t="s">
        <v>74</v>
      </c>
      <c r="BD23">
        <v>6939</v>
      </c>
      <c r="BE23" t="s">
        <v>612</v>
      </c>
      <c r="BF23" t="str">
        <f>HYPERLINK("http://dx.doi.org/10.1038/s41598-023-34237-1","http://dx.doi.org/10.1038/s41598-023-34237-1")</f>
        <v>http://dx.doi.org/10.1038/s41598-023-34237-1</v>
      </c>
      <c r="BG23" t="s">
        <v>74</v>
      </c>
      <c r="BH23" t="s">
        <v>74</v>
      </c>
      <c r="BI23">
        <v>15</v>
      </c>
      <c r="BJ23" t="s">
        <v>210</v>
      </c>
      <c r="BK23" t="s">
        <v>103</v>
      </c>
      <c r="BL23" t="s">
        <v>211</v>
      </c>
      <c r="BM23" t="s">
        <v>613</v>
      </c>
      <c r="BN23">
        <v>37117267</v>
      </c>
      <c r="BO23" t="s">
        <v>614</v>
      </c>
      <c r="BP23" t="s">
        <v>74</v>
      </c>
      <c r="BQ23" t="s">
        <v>74</v>
      </c>
      <c r="BR23" t="s">
        <v>106</v>
      </c>
      <c r="BS23" t="s">
        <v>615</v>
      </c>
      <c r="BT23" t="str">
        <f>HYPERLINK("https%3A%2F%2Fwww.webofscience.com%2Fwos%2Fwoscc%2Ffull-record%2FWOS:000985908500078","View Full Record in Web of Science")</f>
        <v>View Full Record in Web of Science</v>
      </c>
    </row>
    <row r="24" spans="1:72" x14ac:dyDescent="0.15">
      <c r="A24" t="s">
        <v>72</v>
      </c>
      <c r="B24" t="s">
        <v>616</v>
      </c>
      <c r="C24" t="s">
        <v>74</v>
      </c>
      <c r="D24" t="s">
        <v>74</v>
      </c>
      <c r="E24" t="s">
        <v>74</v>
      </c>
      <c r="F24" t="s">
        <v>617</v>
      </c>
      <c r="G24" t="s">
        <v>74</v>
      </c>
      <c r="H24" t="s">
        <v>74</v>
      </c>
      <c r="I24" t="s">
        <v>618</v>
      </c>
      <c r="J24" t="s">
        <v>619</v>
      </c>
      <c r="K24" t="s">
        <v>74</v>
      </c>
      <c r="L24" t="s">
        <v>74</v>
      </c>
      <c r="M24" t="s">
        <v>78</v>
      </c>
      <c r="N24" t="s">
        <v>112</v>
      </c>
      <c r="O24" t="s">
        <v>74</v>
      </c>
      <c r="P24" t="s">
        <v>74</v>
      </c>
      <c r="Q24" t="s">
        <v>74</v>
      </c>
      <c r="R24" t="s">
        <v>74</v>
      </c>
      <c r="S24" t="s">
        <v>74</v>
      </c>
      <c r="T24" t="s">
        <v>620</v>
      </c>
      <c r="U24" t="s">
        <v>621</v>
      </c>
      <c r="V24" t="s">
        <v>622</v>
      </c>
      <c r="W24" t="s">
        <v>623</v>
      </c>
      <c r="X24" t="s">
        <v>624</v>
      </c>
      <c r="Y24" t="s">
        <v>625</v>
      </c>
      <c r="Z24" t="s">
        <v>626</v>
      </c>
      <c r="AA24" t="s">
        <v>74</v>
      </c>
      <c r="AB24" t="s">
        <v>627</v>
      </c>
      <c r="AC24" t="s">
        <v>628</v>
      </c>
      <c r="AD24" t="s">
        <v>629</v>
      </c>
      <c r="AE24" t="s">
        <v>630</v>
      </c>
      <c r="AF24" t="s">
        <v>74</v>
      </c>
      <c r="AG24">
        <v>49</v>
      </c>
      <c r="AH24">
        <v>0</v>
      </c>
      <c r="AI24">
        <v>0</v>
      </c>
      <c r="AJ24">
        <v>3</v>
      </c>
      <c r="AK24">
        <v>9</v>
      </c>
      <c r="AL24" t="s">
        <v>225</v>
      </c>
      <c r="AM24" t="s">
        <v>226</v>
      </c>
      <c r="AN24" t="s">
        <v>227</v>
      </c>
      <c r="AO24" t="s">
        <v>631</v>
      </c>
      <c r="AP24" t="s">
        <v>632</v>
      </c>
      <c r="AQ24" t="s">
        <v>74</v>
      </c>
      <c r="AR24" t="s">
        <v>633</v>
      </c>
      <c r="AS24" t="s">
        <v>634</v>
      </c>
      <c r="AT24" t="s">
        <v>232</v>
      </c>
      <c r="AU24">
        <v>2023</v>
      </c>
      <c r="AV24">
        <v>191</v>
      </c>
      <c r="AW24" t="s">
        <v>74</v>
      </c>
      <c r="AX24" t="s">
        <v>74</v>
      </c>
      <c r="AY24" t="s">
        <v>74</v>
      </c>
      <c r="AZ24" t="s">
        <v>74</v>
      </c>
      <c r="BA24" t="s">
        <v>74</v>
      </c>
      <c r="BB24" t="s">
        <v>74</v>
      </c>
      <c r="BC24" t="s">
        <v>74</v>
      </c>
      <c r="BD24">
        <v>114956</v>
      </c>
      <c r="BE24" t="s">
        <v>635</v>
      </c>
      <c r="BF24" t="str">
        <f>HYPERLINK("http://dx.doi.org/10.1016/j.marpolbul.2023.114956","http://dx.doi.org/10.1016/j.marpolbul.2023.114956")</f>
        <v>http://dx.doi.org/10.1016/j.marpolbul.2023.114956</v>
      </c>
      <c r="BG24" t="s">
        <v>74</v>
      </c>
      <c r="BH24" t="s">
        <v>427</v>
      </c>
      <c r="BI24">
        <v>9</v>
      </c>
      <c r="BJ24" t="s">
        <v>636</v>
      </c>
      <c r="BK24" t="s">
        <v>103</v>
      </c>
      <c r="BL24" t="s">
        <v>637</v>
      </c>
      <c r="BM24" t="s">
        <v>638</v>
      </c>
      <c r="BN24">
        <v>37121190</v>
      </c>
      <c r="BO24" t="s">
        <v>74</v>
      </c>
      <c r="BP24" t="s">
        <v>74</v>
      </c>
      <c r="BQ24" t="s">
        <v>74</v>
      </c>
      <c r="BR24" t="s">
        <v>106</v>
      </c>
      <c r="BS24" t="s">
        <v>639</v>
      </c>
      <c r="BT24" t="str">
        <f>HYPERLINK("https%3A%2F%2Fwww.webofscience.com%2Fwos%2Fwoscc%2Ffull-record%2FWOS:000990752300001","View Full Record in Web of Science")</f>
        <v>View Full Record in Web of Science</v>
      </c>
    </row>
    <row r="25" spans="1:72" x14ac:dyDescent="0.15">
      <c r="A25" t="s">
        <v>72</v>
      </c>
      <c r="B25" t="s">
        <v>640</v>
      </c>
      <c r="C25" t="s">
        <v>74</v>
      </c>
      <c r="D25" t="s">
        <v>74</v>
      </c>
      <c r="E25" t="s">
        <v>74</v>
      </c>
      <c r="F25" t="s">
        <v>641</v>
      </c>
      <c r="G25" t="s">
        <v>74</v>
      </c>
      <c r="H25" t="s">
        <v>74</v>
      </c>
      <c r="I25" t="s">
        <v>642</v>
      </c>
      <c r="J25" t="s">
        <v>643</v>
      </c>
      <c r="K25" t="s">
        <v>74</v>
      </c>
      <c r="L25" t="s">
        <v>74</v>
      </c>
      <c r="M25" t="s">
        <v>78</v>
      </c>
      <c r="N25" t="s">
        <v>112</v>
      </c>
      <c r="O25" t="s">
        <v>74</v>
      </c>
      <c r="P25" t="s">
        <v>74</v>
      </c>
      <c r="Q25" t="s">
        <v>74</v>
      </c>
      <c r="R25" t="s">
        <v>74</v>
      </c>
      <c r="S25" t="s">
        <v>74</v>
      </c>
      <c r="T25" t="s">
        <v>644</v>
      </c>
      <c r="U25" t="s">
        <v>645</v>
      </c>
      <c r="V25" t="s">
        <v>646</v>
      </c>
      <c r="W25" t="s">
        <v>647</v>
      </c>
      <c r="X25" t="s">
        <v>648</v>
      </c>
      <c r="Y25" t="s">
        <v>649</v>
      </c>
      <c r="Z25" t="s">
        <v>650</v>
      </c>
      <c r="AA25" t="s">
        <v>651</v>
      </c>
      <c r="AB25" t="s">
        <v>652</v>
      </c>
      <c r="AC25" t="s">
        <v>653</v>
      </c>
      <c r="AD25" t="s">
        <v>654</v>
      </c>
      <c r="AE25" t="s">
        <v>655</v>
      </c>
      <c r="AF25" t="s">
        <v>74</v>
      </c>
      <c r="AG25">
        <v>52</v>
      </c>
      <c r="AH25">
        <v>1</v>
      </c>
      <c r="AI25">
        <v>1</v>
      </c>
      <c r="AJ25">
        <v>2</v>
      </c>
      <c r="AK25">
        <v>6</v>
      </c>
      <c r="AL25" t="s">
        <v>305</v>
      </c>
      <c r="AM25" t="s">
        <v>306</v>
      </c>
      <c r="AN25" t="s">
        <v>307</v>
      </c>
      <c r="AO25" t="s">
        <v>656</v>
      </c>
      <c r="AP25" t="s">
        <v>657</v>
      </c>
      <c r="AQ25" t="s">
        <v>74</v>
      </c>
      <c r="AR25" t="s">
        <v>658</v>
      </c>
      <c r="AS25" t="s">
        <v>659</v>
      </c>
      <c r="AT25" t="s">
        <v>592</v>
      </c>
      <c r="AU25">
        <v>2023</v>
      </c>
      <c r="AV25">
        <v>50</v>
      </c>
      <c r="AW25">
        <v>8</v>
      </c>
      <c r="AX25" t="s">
        <v>74</v>
      </c>
      <c r="AY25" t="s">
        <v>74</v>
      </c>
      <c r="AZ25" t="s">
        <v>74</v>
      </c>
      <c r="BA25" t="s">
        <v>74</v>
      </c>
      <c r="BB25" t="s">
        <v>74</v>
      </c>
      <c r="BC25" t="s">
        <v>74</v>
      </c>
      <c r="BD25" t="s">
        <v>660</v>
      </c>
      <c r="BE25" t="s">
        <v>661</v>
      </c>
      <c r="BF25" t="str">
        <f>HYPERLINK("http://dx.doi.org/10.1029/2022GL102071","http://dx.doi.org/10.1029/2022GL102071")</f>
        <v>http://dx.doi.org/10.1029/2022GL102071</v>
      </c>
      <c r="BG25" t="s">
        <v>74</v>
      </c>
      <c r="BH25" t="s">
        <v>74</v>
      </c>
      <c r="BI25">
        <v>9</v>
      </c>
      <c r="BJ25" t="s">
        <v>261</v>
      </c>
      <c r="BK25" t="s">
        <v>103</v>
      </c>
      <c r="BL25" t="s">
        <v>262</v>
      </c>
      <c r="BM25" t="s">
        <v>662</v>
      </c>
      <c r="BN25" t="s">
        <v>74</v>
      </c>
      <c r="BO25" t="s">
        <v>663</v>
      </c>
      <c r="BP25" t="s">
        <v>74</v>
      </c>
      <c r="BQ25" t="s">
        <v>74</v>
      </c>
      <c r="BR25" t="s">
        <v>106</v>
      </c>
      <c r="BS25" t="s">
        <v>664</v>
      </c>
      <c r="BT25" t="str">
        <f>HYPERLINK("https%3A%2F%2Fwww.webofscience.com%2Fwos%2Fwoscc%2Ffull-record%2FWOS:000999832800001","View Full Record in Web of Science")</f>
        <v>View Full Record in Web of Science</v>
      </c>
    </row>
    <row r="26" spans="1:72" x14ac:dyDescent="0.15">
      <c r="A26" t="s">
        <v>72</v>
      </c>
      <c r="B26" t="s">
        <v>665</v>
      </c>
      <c r="C26" t="s">
        <v>74</v>
      </c>
      <c r="D26" t="s">
        <v>74</v>
      </c>
      <c r="E26" t="s">
        <v>74</v>
      </c>
      <c r="F26" t="s">
        <v>666</v>
      </c>
      <c r="G26" t="s">
        <v>74</v>
      </c>
      <c r="H26" t="s">
        <v>74</v>
      </c>
      <c r="I26" t="s">
        <v>667</v>
      </c>
      <c r="J26" t="s">
        <v>643</v>
      </c>
      <c r="K26" t="s">
        <v>74</v>
      </c>
      <c r="L26" t="s">
        <v>74</v>
      </c>
      <c r="M26" t="s">
        <v>78</v>
      </c>
      <c r="N26" t="s">
        <v>112</v>
      </c>
      <c r="O26" t="s">
        <v>74</v>
      </c>
      <c r="P26" t="s">
        <v>74</v>
      </c>
      <c r="Q26" t="s">
        <v>74</v>
      </c>
      <c r="R26" t="s">
        <v>74</v>
      </c>
      <c r="S26" t="s">
        <v>74</v>
      </c>
      <c r="T26" t="s">
        <v>668</v>
      </c>
      <c r="U26" t="s">
        <v>669</v>
      </c>
      <c r="V26" t="s">
        <v>670</v>
      </c>
      <c r="W26" t="s">
        <v>671</v>
      </c>
      <c r="X26" t="s">
        <v>672</v>
      </c>
      <c r="Y26" t="s">
        <v>673</v>
      </c>
      <c r="Z26" t="s">
        <v>674</v>
      </c>
      <c r="AA26" t="s">
        <v>675</v>
      </c>
      <c r="AB26" t="s">
        <v>676</v>
      </c>
      <c r="AC26" t="s">
        <v>677</v>
      </c>
      <c r="AD26" t="s">
        <v>678</v>
      </c>
      <c r="AE26" t="s">
        <v>679</v>
      </c>
      <c r="AF26" t="s">
        <v>74</v>
      </c>
      <c r="AG26">
        <v>25</v>
      </c>
      <c r="AH26">
        <v>1</v>
      </c>
      <c r="AI26">
        <v>1</v>
      </c>
      <c r="AJ26">
        <v>11</v>
      </c>
      <c r="AK26">
        <v>14</v>
      </c>
      <c r="AL26" t="s">
        <v>305</v>
      </c>
      <c r="AM26" t="s">
        <v>306</v>
      </c>
      <c r="AN26" t="s">
        <v>307</v>
      </c>
      <c r="AO26" t="s">
        <v>656</v>
      </c>
      <c r="AP26" t="s">
        <v>657</v>
      </c>
      <c r="AQ26" t="s">
        <v>74</v>
      </c>
      <c r="AR26" t="s">
        <v>658</v>
      </c>
      <c r="AS26" t="s">
        <v>659</v>
      </c>
      <c r="AT26" t="s">
        <v>592</v>
      </c>
      <c r="AU26">
        <v>2023</v>
      </c>
      <c r="AV26">
        <v>50</v>
      </c>
      <c r="AW26">
        <v>8</v>
      </c>
      <c r="AX26" t="s">
        <v>74</v>
      </c>
      <c r="AY26" t="s">
        <v>74</v>
      </c>
      <c r="AZ26" t="s">
        <v>74</v>
      </c>
      <c r="BA26" t="s">
        <v>74</v>
      </c>
      <c r="BB26" t="s">
        <v>74</v>
      </c>
      <c r="BC26" t="s">
        <v>74</v>
      </c>
      <c r="BD26" t="s">
        <v>680</v>
      </c>
      <c r="BE26" t="s">
        <v>681</v>
      </c>
      <c r="BF26" t="str">
        <f>HYPERLINK("http://dx.doi.org/10.1029/2022GL102472","http://dx.doi.org/10.1029/2022GL102472")</f>
        <v>http://dx.doi.org/10.1029/2022GL102472</v>
      </c>
      <c r="BG26" t="s">
        <v>74</v>
      </c>
      <c r="BH26" t="s">
        <v>74</v>
      </c>
      <c r="BI26">
        <v>9</v>
      </c>
      <c r="BJ26" t="s">
        <v>261</v>
      </c>
      <c r="BK26" t="s">
        <v>103</v>
      </c>
      <c r="BL26" t="s">
        <v>262</v>
      </c>
      <c r="BM26" t="s">
        <v>682</v>
      </c>
      <c r="BN26" t="s">
        <v>74</v>
      </c>
      <c r="BO26" t="s">
        <v>387</v>
      </c>
      <c r="BP26" t="s">
        <v>74</v>
      </c>
      <c r="BQ26" t="s">
        <v>74</v>
      </c>
      <c r="BR26" t="s">
        <v>106</v>
      </c>
      <c r="BS26" t="s">
        <v>683</v>
      </c>
      <c r="BT26" t="str">
        <f>HYPERLINK("https%3A%2F%2Fwww.webofscience.com%2Fwos%2Fwoscc%2Ffull-record%2FWOS:000999812800001","View Full Record in Web of Science")</f>
        <v>View Full Record in Web of Science</v>
      </c>
    </row>
    <row r="27" spans="1:72" x14ac:dyDescent="0.15">
      <c r="A27" t="s">
        <v>72</v>
      </c>
      <c r="B27" t="s">
        <v>684</v>
      </c>
      <c r="C27" t="s">
        <v>74</v>
      </c>
      <c r="D27" t="s">
        <v>74</v>
      </c>
      <c r="E27" t="s">
        <v>74</v>
      </c>
      <c r="F27" t="s">
        <v>685</v>
      </c>
      <c r="G27" t="s">
        <v>74</v>
      </c>
      <c r="H27" t="s">
        <v>74</v>
      </c>
      <c r="I27" t="s">
        <v>686</v>
      </c>
      <c r="J27" t="s">
        <v>687</v>
      </c>
      <c r="K27" t="s">
        <v>74</v>
      </c>
      <c r="L27" t="s">
        <v>74</v>
      </c>
      <c r="M27" t="s">
        <v>78</v>
      </c>
      <c r="N27" t="s">
        <v>112</v>
      </c>
      <c r="O27" t="s">
        <v>74</v>
      </c>
      <c r="P27" t="s">
        <v>74</v>
      </c>
      <c r="Q27" t="s">
        <v>74</v>
      </c>
      <c r="R27" t="s">
        <v>74</v>
      </c>
      <c r="S27" t="s">
        <v>74</v>
      </c>
      <c r="T27" t="s">
        <v>688</v>
      </c>
      <c r="U27" t="s">
        <v>689</v>
      </c>
      <c r="V27" t="s">
        <v>690</v>
      </c>
      <c r="W27" t="s">
        <v>691</v>
      </c>
      <c r="X27" t="s">
        <v>692</v>
      </c>
      <c r="Y27" t="s">
        <v>693</v>
      </c>
      <c r="Z27" t="s">
        <v>694</v>
      </c>
      <c r="AA27" t="s">
        <v>695</v>
      </c>
      <c r="AB27" t="s">
        <v>696</v>
      </c>
      <c r="AC27" t="s">
        <v>697</v>
      </c>
      <c r="AD27" t="s">
        <v>698</v>
      </c>
      <c r="AE27" t="s">
        <v>699</v>
      </c>
      <c r="AF27" t="s">
        <v>74</v>
      </c>
      <c r="AG27">
        <v>53</v>
      </c>
      <c r="AH27">
        <v>0</v>
      </c>
      <c r="AI27">
        <v>0</v>
      </c>
      <c r="AJ27">
        <v>2</v>
      </c>
      <c r="AK27">
        <v>7</v>
      </c>
      <c r="AL27" t="s">
        <v>700</v>
      </c>
      <c r="AM27" t="s">
        <v>701</v>
      </c>
      <c r="AN27" t="s">
        <v>702</v>
      </c>
      <c r="AO27" t="s">
        <v>703</v>
      </c>
      <c r="AP27" t="s">
        <v>74</v>
      </c>
      <c r="AQ27" t="s">
        <v>74</v>
      </c>
      <c r="AR27" t="s">
        <v>704</v>
      </c>
      <c r="AS27" t="s">
        <v>705</v>
      </c>
      <c r="AT27" t="s">
        <v>592</v>
      </c>
      <c r="AU27">
        <v>2023</v>
      </c>
      <c r="AV27">
        <v>14</v>
      </c>
      <c r="AW27" t="s">
        <v>74</v>
      </c>
      <c r="AX27" t="s">
        <v>74</v>
      </c>
      <c r="AY27" t="s">
        <v>74</v>
      </c>
      <c r="AZ27" t="s">
        <v>74</v>
      </c>
      <c r="BA27" t="s">
        <v>74</v>
      </c>
      <c r="BB27" t="s">
        <v>74</v>
      </c>
      <c r="BC27" t="s">
        <v>74</v>
      </c>
      <c r="BD27">
        <v>1187209</v>
      </c>
      <c r="BE27" t="s">
        <v>706</v>
      </c>
      <c r="BF27" t="str">
        <f>HYPERLINK("http://dx.doi.org/10.3389/fimmu.2023.1187209","http://dx.doi.org/10.3389/fimmu.2023.1187209")</f>
        <v>http://dx.doi.org/10.3389/fimmu.2023.1187209</v>
      </c>
      <c r="BG27" t="s">
        <v>74</v>
      </c>
      <c r="BH27" t="s">
        <v>74</v>
      </c>
      <c r="BI27">
        <v>9</v>
      </c>
      <c r="BJ27" t="s">
        <v>707</v>
      </c>
      <c r="BK27" t="s">
        <v>103</v>
      </c>
      <c r="BL27" t="s">
        <v>707</v>
      </c>
      <c r="BM27" t="s">
        <v>708</v>
      </c>
      <c r="BN27">
        <v>37187753</v>
      </c>
      <c r="BO27" t="s">
        <v>136</v>
      </c>
      <c r="BP27" t="s">
        <v>74</v>
      </c>
      <c r="BQ27" t="s">
        <v>74</v>
      </c>
      <c r="BR27" t="s">
        <v>106</v>
      </c>
      <c r="BS27" t="s">
        <v>709</v>
      </c>
      <c r="BT27" t="str">
        <f>HYPERLINK("https%3A%2F%2Fwww.webofscience.com%2Fwos%2Fwoscc%2Ffull-record%2FWOS:000986004100001","View Full Record in Web of Science")</f>
        <v>View Full Record in Web of Science</v>
      </c>
    </row>
    <row r="28" spans="1:72" x14ac:dyDescent="0.15">
      <c r="A28" t="s">
        <v>72</v>
      </c>
      <c r="B28" t="s">
        <v>710</v>
      </c>
      <c r="C28" t="s">
        <v>74</v>
      </c>
      <c r="D28" t="s">
        <v>74</v>
      </c>
      <c r="E28" t="s">
        <v>74</v>
      </c>
      <c r="F28" t="s">
        <v>711</v>
      </c>
      <c r="G28" t="s">
        <v>74</v>
      </c>
      <c r="H28" t="s">
        <v>74</v>
      </c>
      <c r="I28" t="s">
        <v>712</v>
      </c>
      <c r="J28" t="s">
        <v>713</v>
      </c>
      <c r="K28" t="s">
        <v>74</v>
      </c>
      <c r="L28" t="s">
        <v>74</v>
      </c>
      <c r="M28" t="s">
        <v>78</v>
      </c>
      <c r="N28" t="s">
        <v>112</v>
      </c>
      <c r="O28" t="s">
        <v>74</v>
      </c>
      <c r="P28" t="s">
        <v>74</v>
      </c>
      <c r="Q28" t="s">
        <v>74</v>
      </c>
      <c r="R28" t="s">
        <v>74</v>
      </c>
      <c r="S28" t="s">
        <v>74</v>
      </c>
      <c r="T28" t="s">
        <v>714</v>
      </c>
      <c r="U28" t="s">
        <v>715</v>
      </c>
      <c r="V28" t="s">
        <v>716</v>
      </c>
      <c r="W28" t="s">
        <v>717</v>
      </c>
      <c r="X28" t="s">
        <v>718</v>
      </c>
      <c r="Y28" t="s">
        <v>719</v>
      </c>
      <c r="Z28" t="s">
        <v>720</v>
      </c>
      <c r="AA28" t="s">
        <v>74</v>
      </c>
      <c r="AB28" t="s">
        <v>74</v>
      </c>
      <c r="AC28" t="s">
        <v>721</v>
      </c>
      <c r="AD28" t="s">
        <v>722</v>
      </c>
      <c r="AE28" t="s">
        <v>723</v>
      </c>
      <c r="AF28" t="s">
        <v>74</v>
      </c>
      <c r="AG28">
        <v>87</v>
      </c>
      <c r="AH28">
        <v>0</v>
      </c>
      <c r="AI28">
        <v>0</v>
      </c>
      <c r="AJ28">
        <v>9</v>
      </c>
      <c r="AK28">
        <v>13</v>
      </c>
      <c r="AL28" t="s">
        <v>447</v>
      </c>
      <c r="AM28" t="s">
        <v>448</v>
      </c>
      <c r="AN28" t="s">
        <v>449</v>
      </c>
      <c r="AO28" t="s">
        <v>724</v>
      </c>
      <c r="AP28" t="s">
        <v>725</v>
      </c>
      <c r="AQ28" t="s">
        <v>74</v>
      </c>
      <c r="AR28" t="s">
        <v>713</v>
      </c>
      <c r="AS28" t="s">
        <v>726</v>
      </c>
      <c r="AT28" t="s">
        <v>570</v>
      </c>
      <c r="AU28">
        <v>2023</v>
      </c>
      <c r="AV28">
        <v>228</v>
      </c>
      <c r="AW28" t="s">
        <v>74</v>
      </c>
      <c r="AX28" t="s">
        <v>74</v>
      </c>
      <c r="AY28" t="s">
        <v>74</v>
      </c>
      <c r="AZ28" t="s">
        <v>74</v>
      </c>
      <c r="BA28" t="s">
        <v>74</v>
      </c>
      <c r="BB28" t="s">
        <v>74</v>
      </c>
      <c r="BC28" t="s">
        <v>74</v>
      </c>
      <c r="BD28">
        <v>107128</v>
      </c>
      <c r="BE28" t="s">
        <v>727</v>
      </c>
      <c r="BF28" t="str">
        <f>HYPERLINK("http://dx.doi.org/10.1016/j.catena.2023.107128","http://dx.doi.org/10.1016/j.catena.2023.107128")</f>
        <v>http://dx.doi.org/10.1016/j.catena.2023.107128</v>
      </c>
      <c r="BG28" t="s">
        <v>74</v>
      </c>
      <c r="BH28" t="s">
        <v>427</v>
      </c>
      <c r="BI28">
        <v>10</v>
      </c>
      <c r="BJ28" t="s">
        <v>728</v>
      </c>
      <c r="BK28" t="s">
        <v>103</v>
      </c>
      <c r="BL28" t="s">
        <v>729</v>
      </c>
      <c r="BM28" t="s">
        <v>730</v>
      </c>
      <c r="BN28" t="s">
        <v>74</v>
      </c>
      <c r="BO28" t="s">
        <v>74</v>
      </c>
      <c r="BP28" t="s">
        <v>74</v>
      </c>
      <c r="BQ28" t="s">
        <v>74</v>
      </c>
      <c r="BR28" t="s">
        <v>106</v>
      </c>
      <c r="BS28" t="s">
        <v>731</v>
      </c>
      <c r="BT28" t="str">
        <f>HYPERLINK("https%3A%2F%2Fwww.webofscience.com%2Fwos%2Fwoscc%2Ffull-record%2FWOS:000990288000001","View Full Record in Web of Science")</f>
        <v>View Full Record in Web of Science</v>
      </c>
    </row>
    <row r="29" spans="1:72" x14ac:dyDescent="0.15">
      <c r="A29" t="s">
        <v>72</v>
      </c>
      <c r="B29" t="s">
        <v>732</v>
      </c>
      <c r="C29" t="s">
        <v>74</v>
      </c>
      <c r="D29" t="s">
        <v>74</v>
      </c>
      <c r="E29" t="s">
        <v>74</v>
      </c>
      <c r="F29" t="s">
        <v>733</v>
      </c>
      <c r="G29" t="s">
        <v>74</v>
      </c>
      <c r="H29" t="s">
        <v>74</v>
      </c>
      <c r="I29" t="s">
        <v>734</v>
      </c>
      <c r="J29" t="s">
        <v>735</v>
      </c>
      <c r="K29" t="s">
        <v>74</v>
      </c>
      <c r="L29" t="s">
        <v>74</v>
      </c>
      <c r="M29" t="s">
        <v>78</v>
      </c>
      <c r="N29" t="s">
        <v>112</v>
      </c>
      <c r="O29" t="s">
        <v>74</v>
      </c>
      <c r="P29" t="s">
        <v>74</v>
      </c>
      <c r="Q29" t="s">
        <v>74</v>
      </c>
      <c r="R29" t="s">
        <v>74</v>
      </c>
      <c r="S29" t="s">
        <v>74</v>
      </c>
      <c r="T29" t="s">
        <v>736</v>
      </c>
      <c r="U29" t="s">
        <v>737</v>
      </c>
      <c r="V29" t="s">
        <v>738</v>
      </c>
      <c r="W29" t="s">
        <v>739</v>
      </c>
      <c r="X29" t="s">
        <v>740</v>
      </c>
      <c r="Y29" t="s">
        <v>741</v>
      </c>
      <c r="Z29" t="s">
        <v>742</v>
      </c>
      <c r="AA29" t="s">
        <v>743</v>
      </c>
      <c r="AB29" t="s">
        <v>744</v>
      </c>
      <c r="AC29" t="s">
        <v>745</v>
      </c>
      <c r="AD29" t="s">
        <v>746</v>
      </c>
      <c r="AE29" t="s">
        <v>747</v>
      </c>
      <c r="AF29" t="s">
        <v>74</v>
      </c>
      <c r="AG29">
        <v>72</v>
      </c>
      <c r="AH29">
        <v>3</v>
      </c>
      <c r="AI29">
        <v>3</v>
      </c>
      <c r="AJ29">
        <v>11</v>
      </c>
      <c r="AK29">
        <v>18</v>
      </c>
      <c r="AL29" t="s">
        <v>125</v>
      </c>
      <c r="AM29" t="s">
        <v>126</v>
      </c>
      <c r="AN29" t="s">
        <v>127</v>
      </c>
      <c r="AO29" t="s">
        <v>74</v>
      </c>
      <c r="AP29" t="s">
        <v>748</v>
      </c>
      <c r="AQ29" t="s">
        <v>74</v>
      </c>
      <c r="AR29" t="s">
        <v>749</v>
      </c>
      <c r="AS29" t="s">
        <v>750</v>
      </c>
      <c r="AT29" t="s">
        <v>592</v>
      </c>
      <c r="AU29">
        <v>2023</v>
      </c>
      <c r="AV29">
        <v>15</v>
      </c>
      <c r="AW29">
        <v>9</v>
      </c>
      <c r="AX29" t="s">
        <v>74</v>
      </c>
      <c r="AY29" t="s">
        <v>74</v>
      </c>
      <c r="AZ29" t="s">
        <v>74</v>
      </c>
      <c r="BA29" t="s">
        <v>74</v>
      </c>
      <c r="BB29" t="s">
        <v>74</v>
      </c>
      <c r="BC29" t="s">
        <v>74</v>
      </c>
      <c r="BD29">
        <v>1720</v>
      </c>
      <c r="BE29" t="s">
        <v>751</v>
      </c>
      <c r="BF29" t="str">
        <f>HYPERLINK("http://dx.doi.org/10.3390/w15091720","http://dx.doi.org/10.3390/w15091720")</f>
        <v>http://dx.doi.org/10.3390/w15091720</v>
      </c>
      <c r="BG29" t="s">
        <v>74</v>
      </c>
      <c r="BH29" t="s">
        <v>74</v>
      </c>
      <c r="BI29">
        <v>20</v>
      </c>
      <c r="BJ29" t="s">
        <v>752</v>
      </c>
      <c r="BK29" t="s">
        <v>103</v>
      </c>
      <c r="BL29" t="s">
        <v>753</v>
      </c>
      <c r="BM29" t="s">
        <v>754</v>
      </c>
      <c r="BN29" t="s">
        <v>74</v>
      </c>
      <c r="BO29" t="s">
        <v>359</v>
      </c>
      <c r="BP29" t="s">
        <v>74</v>
      </c>
      <c r="BQ29" t="s">
        <v>74</v>
      </c>
      <c r="BR29" t="s">
        <v>106</v>
      </c>
      <c r="BS29" t="s">
        <v>755</v>
      </c>
      <c r="BT29" t="str">
        <f>HYPERLINK("https%3A%2F%2Fwww.webofscience.com%2Fwos%2Fwoscc%2Ffull-record%2FWOS:000987790900001","View Full Record in Web of Science")</f>
        <v>View Full Record in Web of Science</v>
      </c>
    </row>
    <row r="30" spans="1:72" x14ac:dyDescent="0.15">
      <c r="A30" t="s">
        <v>72</v>
      </c>
      <c r="B30" t="s">
        <v>756</v>
      </c>
      <c r="C30" t="s">
        <v>74</v>
      </c>
      <c r="D30" t="s">
        <v>74</v>
      </c>
      <c r="E30" t="s">
        <v>74</v>
      </c>
      <c r="F30" t="s">
        <v>757</v>
      </c>
      <c r="G30" t="s">
        <v>74</v>
      </c>
      <c r="H30" t="s">
        <v>74</v>
      </c>
      <c r="I30" t="s">
        <v>758</v>
      </c>
      <c r="J30" t="s">
        <v>759</v>
      </c>
      <c r="K30" t="s">
        <v>74</v>
      </c>
      <c r="L30" t="s">
        <v>74</v>
      </c>
      <c r="M30" t="s">
        <v>78</v>
      </c>
      <c r="N30" t="s">
        <v>112</v>
      </c>
      <c r="O30" t="s">
        <v>74</v>
      </c>
      <c r="P30" t="s">
        <v>74</v>
      </c>
      <c r="Q30" t="s">
        <v>74</v>
      </c>
      <c r="R30" t="s">
        <v>74</v>
      </c>
      <c r="S30" t="s">
        <v>74</v>
      </c>
      <c r="T30" t="s">
        <v>760</v>
      </c>
      <c r="U30" t="s">
        <v>761</v>
      </c>
      <c r="V30" t="s">
        <v>762</v>
      </c>
      <c r="W30" t="s">
        <v>763</v>
      </c>
      <c r="X30" t="s">
        <v>764</v>
      </c>
      <c r="Y30" t="s">
        <v>765</v>
      </c>
      <c r="Z30" t="s">
        <v>766</v>
      </c>
      <c r="AA30" t="s">
        <v>74</v>
      </c>
      <c r="AB30" t="s">
        <v>767</v>
      </c>
      <c r="AC30" t="s">
        <v>74</v>
      </c>
      <c r="AD30" t="s">
        <v>74</v>
      </c>
      <c r="AE30" t="s">
        <v>74</v>
      </c>
      <c r="AF30" t="s">
        <v>74</v>
      </c>
      <c r="AG30">
        <v>31</v>
      </c>
      <c r="AH30">
        <v>0</v>
      </c>
      <c r="AI30">
        <v>0</v>
      </c>
      <c r="AJ30">
        <v>0</v>
      </c>
      <c r="AK30">
        <v>2</v>
      </c>
      <c r="AL30" t="s">
        <v>768</v>
      </c>
      <c r="AM30" t="s">
        <v>179</v>
      </c>
      <c r="AN30" t="s">
        <v>769</v>
      </c>
      <c r="AO30" t="s">
        <v>770</v>
      </c>
      <c r="AP30" t="s">
        <v>771</v>
      </c>
      <c r="AQ30" t="s">
        <v>74</v>
      </c>
      <c r="AR30" t="s">
        <v>772</v>
      </c>
      <c r="AS30" t="s">
        <v>773</v>
      </c>
      <c r="AT30" t="s">
        <v>232</v>
      </c>
      <c r="AU30">
        <v>2023</v>
      </c>
      <c r="AV30">
        <v>46</v>
      </c>
      <c r="AW30">
        <v>6</v>
      </c>
      <c r="AX30" t="s">
        <v>74</v>
      </c>
      <c r="AY30" t="s">
        <v>74</v>
      </c>
      <c r="AZ30" t="s">
        <v>74</v>
      </c>
      <c r="BA30" t="s">
        <v>74</v>
      </c>
      <c r="BB30">
        <v>513</v>
      </c>
      <c r="BC30">
        <v>521</v>
      </c>
      <c r="BD30" t="s">
        <v>74</v>
      </c>
      <c r="BE30" t="s">
        <v>774</v>
      </c>
      <c r="BF30" t="str">
        <f>HYPERLINK("http://dx.doi.org/10.1007/s00300-023-03132-w","http://dx.doi.org/10.1007/s00300-023-03132-w")</f>
        <v>http://dx.doi.org/10.1007/s00300-023-03132-w</v>
      </c>
      <c r="BG30" t="s">
        <v>74</v>
      </c>
      <c r="BH30" t="s">
        <v>427</v>
      </c>
      <c r="BI30">
        <v>9</v>
      </c>
      <c r="BJ30" t="s">
        <v>775</v>
      </c>
      <c r="BK30" t="s">
        <v>103</v>
      </c>
      <c r="BL30" t="s">
        <v>776</v>
      </c>
      <c r="BM30" t="s">
        <v>777</v>
      </c>
      <c r="BN30" t="s">
        <v>74</v>
      </c>
      <c r="BO30" t="s">
        <v>387</v>
      </c>
      <c r="BP30" t="s">
        <v>74</v>
      </c>
      <c r="BQ30" t="s">
        <v>74</v>
      </c>
      <c r="BR30" t="s">
        <v>106</v>
      </c>
      <c r="BS30" t="s">
        <v>778</v>
      </c>
      <c r="BT30" t="str">
        <f>HYPERLINK("https%3A%2F%2Fwww.webofscience.com%2Fwos%2Fwoscc%2Ffull-record%2FWOS:000975971900001","View Full Record in Web of Science")</f>
        <v>View Full Record in Web of Science</v>
      </c>
    </row>
    <row r="31" spans="1:72" x14ac:dyDescent="0.15">
      <c r="A31" t="s">
        <v>72</v>
      </c>
      <c r="B31" t="s">
        <v>779</v>
      </c>
      <c r="C31" t="s">
        <v>74</v>
      </c>
      <c r="D31" t="s">
        <v>74</v>
      </c>
      <c r="E31" t="s">
        <v>74</v>
      </c>
      <c r="F31" t="s">
        <v>780</v>
      </c>
      <c r="G31" t="s">
        <v>74</v>
      </c>
      <c r="H31" t="s">
        <v>74</v>
      </c>
      <c r="I31" t="s">
        <v>781</v>
      </c>
      <c r="J31" t="s">
        <v>782</v>
      </c>
      <c r="K31" t="s">
        <v>74</v>
      </c>
      <c r="L31" t="s">
        <v>74</v>
      </c>
      <c r="M31" t="s">
        <v>78</v>
      </c>
      <c r="N31" t="s">
        <v>112</v>
      </c>
      <c r="O31" t="s">
        <v>74</v>
      </c>
      <c r="P31" t="s">
        <v>74</v>
      </c>
      <c r="Q31" t="s">
        <v>74</v>
      </c>
      <c r="R31" t="s">
        <v>74</v>
      </c>
      <c r="S31" t="s">
        <v>74</v>
      </c>
      <c r="T31" t="s">
        <v>74</v>
      </c>
      <c r="U31" t="s">
        <v>783</v>
      </c>
      <c r="V31" t="s">
        <v>784</v>
      </c>
      <c r="W31" t="s">
        <v>785</v>
      </c>
      <c r="X31" t="s">
        <v>786</v>
      </c>
      <c r="Y31" t="s">
        <v>787</v>
      </c>
      <c r="Z31" t="s">
        <v>788</v>
      </c>
      <c r="AA31" t="s">
        <v>789</v>
      </c>
      <c r="AB31" t="s">
        <v>790</v>
      </c>
      <c r="AC31" t="s">
        <v>791</v>
      </c>
      <c r="AD31" t="s">
        <v>792</v>
      </c>
      <c r="AE31" t="s">
        <v>793</v>
      </c>
      <c r="AF31" t="s">
        <v>74</v>
      </c>
      <c r="AG31">
        <v>45</v>
      </c>
      <c r="AH31">
        <v>3</v>
      </c>
      <c r="AI31">
        <v>3</v>
      </c>
      <c r="AJ31">
        <v>3</v>
      </c>
      <c r="AK31">
        <v>3</v>
      </c>
      <c r="AL31" t="s">
        <v>794</v>
      </c>
      <c r="AM31" t="s">
        <v>795</v>
      </c>
      <c r="AN31" t="s">
        <v>796</v>
      </c>
      <c r="AO31" t="s">
        <v>797</v>
      </c>
      <c r="AP31" t="s">
        <v>798</v>
      </c>
      <c r="AQ31" t="s">
        <v>74</v>
      </c>
      <c r="AR31" t="s">
        <v>782</v>
      </c>
      <c r="AS31" t="s">
        <v>799</v>
      </c>
      <c r="AT31" t="s">
        <v>592</v>
      </c>
      <c r="AU31">
        <v>2023</v>
      </c>
      <c r="AV31">
        <v>17</v>
      </c>
      <c r="AW31">
        <v>4</v>
      </c>
      <c r="AX31" t="s">
        <v>74</v>
      </c>
      <c r="AY31" t="s">
        <v>74</v>
      </c>
      <c r="AZ31" t="s">
        <v>74</v>
      </c>
      <c r="BA31" t="s">
        <v>74</v>
      </c>
      <c r="BB31">
        <v>1787</v>
      </c>
      <c r="BC31">
        <v>1801</v>
      </c>
      <c r="BD31" t="s">
        <v>74</v>
      </c>
      <c r="BE31" t="s">
        <v>800</v>
      </c>
      <c r="BF31" t="str">
        <f>HYPERLINK("http://dx.doi.org/10.5194/tc-17-1787-2023","http://dx.doi.org/10.5194/tc-17-1787-2023")</f>
        <v>http://dx.doi.org/10.5194/tc-17-1787-2023</v>
      </c>
      <c r="BG31" t="s">
        <v>74</v>
      </c>
      <c r="BH31" t="s">
        <v>74</v>
      </c>
      <c r="BI31">
        <v>15</v>
      </c>
      <c r="BJ31" t="s">
        <v>801</v>
      </c>
      <c r="BK31" t="s">
        <v>103</v>
      </c>
      <c r="BL31" t="s">
        <v>802</v>
      </c>
      <c r="BM31" t="s">
        <v>803</v>
      </c>
      <c r="BN31" t="s">
        <v>74</v>
      </c>
      <c r="BO31" t="s">
        <v>804</v>
      </c>
      <c r="BP31" t="s">
        <v>74</v>
      </c>
      <c r="BQ31" t="s">
        <v>74</v>
      </c>
      <c r="BR31" t="s">
        <v>106</v>
      </c>
      <c r="BS31" t="s">
        <v>805</v>
      </c>
      <c r="BT31" t="str">
        <f>HYPERLINK("https%3A%2F%2Fwww.webofscience.com%2Fwos%2Fwoscc%2Ffull-record%2FWOS:000977915200001","View Full Record in Web of Science")</f>
        <v>View Full Record in Web of Science</v>
      </c>
    </row>
    <row r="32" spans="1:72" x14ac:dyDescent="0.15">
      <c r="A32" t="s">
        <v>72</v>
      </c>
      <c r="B32" t="s">
        <v>806</v>
      </c>
      <c r="C32" t="s">
        <v>74</v>
      </c>
      <c r="D32" t="s">
        <v>74</v>
      </c>
      <c r="E32" t="s">
        <v>74</v>
      </c>
      <c r="F32" t="s">
        <v>807</v>
      </c>
      <c r="G32" t="s">
        <v>74</v>
      </c>
      <c r="H32" t="s">
        <v>74</v>
      </c>
      <c r="I32" t="s">
        <v>808</v>
      </c>
      <c r="J32" t="s">
        <v>643</v>
      </c>
      <c r="K32" t="s">
        <v>74</v>
      </c>
      <c r="L32" t="s">
        <v>74</v>
      </c>
      <c r="M32" t="s">
        <v>78</v>
      </c>
      <c r="N32" t="s">
        <v>112</v>
      </c>
      <c r="O32" t="s">
        <v>74</v>
      </c>
      <c r="P32" t="s">
        <v>74</v>
      </c>
      <c r="Q32" t="s">
        <v>74</v>
      </c>
      <c r="R32" t="s">
        <v>74</v>
      </c>
      <c r="S32" t="s">
        <v>74</v>
      </c>
      <c r="T32" t="s">
        <v>809</v>
      </c>
      <c r="U32" t="s">
        <v>810</v>
      </c>
      <c r="V32" t="s">
        <v>811</v>
      </c>
      <c r="W32" t="s">
        <v>812</v>
      </c>
      <c r="X32" t="s">
        <v>813</v>
      </c>
      <c r="Y32" t="s">
        <v>814</v>
      </c>
      <c r="Z32" t="s">
        <v>815</v>
      </c>
      <c r="AA32" t="s">
        <v>74</v>
      </c>
      <c r="AB32" t="s">
        <v>816</v>
      </c>
      <c r="AC32" t="s">
        <v>817</v>
      </c>
      <c r="AD32" t="s">
        <v>818</v>
      </c>
      <c r="AE32" t="s">
        <v>819</v>
      </c>
      <c r="AF32" t="s">
        <v>74</v>
      </c>
      <c r="AG32">
        <v>58</v>
      </c>
      <c r="AH32">
        <v>5</v>
      </c>
      <c r="AI32">
        <v>6</v>
      </c>
      <c r="AJ32">
        <v>5</v>
      </c>
      <c r="AK32">
        <v>8</v>
      </c>
      <c r="AL32" t="s">
        <v>305</v>
      </c>
      <c r="AM32" t="s">
        <v>306</v>
      </c>
      <c r="AN32" t="s">
        <v>307</v>
      </c>
      <c r="AO32" t="s">
        <v>656</v>
      </c>
      <c r="AP32" t="s">
        <v>657</v>
      </c>
      <c r="AQ32" t="s">
        <v>74</v>
      </c>
      <c r="AR32" t="s">
        <v>658</v>
      </c>
      <c r="AS32" t="s">
        <v>659</v>
      </c>
      <c r="AT32" t="s">
        <v>592</v>
      </c>
      <c r="AU32">
        <v>2023</v>
      </c>
      <c r="AV32">
        <v>50</v>
      </c>
      <c r="AW32">
        <v>8</v>
      </c>
      <c r="AX32" t="s">
        <v>74</v>
      </c>
      <c r="AY32" t="s">
        <v>74</v>
      </c>
      <c r="AZ32" t="s">
        <v>74</v>
      </c>
      <c r="BA32" t="s">
        <v>74</v>
      </c>
      <c r="BB32" t="s">
        <v>74</v>
      </c>
      <c r="BC32" t="s">
        <v>74</v>
      </c>
      <c r="BD32" t="s">
        <v>820</v>
      </c>
      <c r="BE32" t="s">
        <v>821</v>
      </c>
      <c r="BF32" t="str">
        <f>HYPERLINK("http://dx.doi.org/10.1029/2023GL103088","http://dx.doi.org/10.1029/2023GL103088")</f>
        <v>http://dx.doi.org/10.1029/2023GL103088</v>
      </c>
      <c r="BG32" t="s">
        <v>74</v>
      </c>
      <c r="BH32" t="s">
        <v>74</v>
      </c>
      <c r="BI32">
        <v>10</v>
      </c>
      <c r="BJ32" t="s">
        <v>261</v>
      </c>
      <c r="BK32" t="s">
        <v>103</v>
      </c>
      <c r="BL32" t="s">
        <v>262</v>
      </c>
      <c r="BM32" t="s">
        <v>822</v>
      </c>
      <c r="BN32" t="s">
        <v>74</v>
      </c>
      <c r="BO32" t="s">
        <v>823</v>
      </c>
      <c r="BP32" t="s">
        <v>74</v>
      </c>
      <c r="BQ32" t="s">
        <v>74</v>
      </c>
      <c r="BR32" t="s">
        <v>106</v>
      </c>
      <c r="BS32" t="s">
        <v>824</v>
      </c>
      <c r="BT32" t="str">
        <f>HYPERLINK("https%3A%2F%2Fwww.webofscience.com%2Fwos%2Fwoscc%2Ffull-record%2FWOS:000973048600001","View Full Record in Web of Science")</f>
        <v>View Full Record in Web of Science</v>
      </c>
    </row>
    <row r="33" spans="1:72" x14ac:dyDescent="0.15">
      <c r="A33" t="s">
        <v>72</v>
      </c>
      <c r="B33" t="s">
        <v>825</v>
      </c>
      <c r="C33" t="s">
        <v>74</v>
      </c>
      <c r="D33" t="s">
        <v>74</v>
      </c>
      <c r="E33" t="s">
        <v>74</v>
      </c>
      <c r="F33" t="s">
        <v>826</v>
      </c>
      <c r="G33" t="s">
        <v>74</v>
      </c>
      <c r="H33" t="s">
        <v>74</v>
      </c>
      <c r="I33" t="s">
        <v>827</v>
      </c>
      <c r="J33" t="s">
        <v>643</v>
      </c>
      <c r="K33" t="s">
        <v>74</v>
      </c>
      <c r="L33" t="s">
        <v>74</v>
      </c>
      <c r="M33" t="s">
        <v>78</v>
      </c>
      <c r="N33" t="s">
        <v>112</v>
      </c>
      <c r="O33" t="s">
        <v>74</v>
      </c>
      <c r="P33" t="s">
        <v>74</v>
      </c>
      <c r="Q33" t="s">
        <v>74</v>
      </c>
      <c r="R33" t="s">
        <v>74</v>
      </c>
      <c r="S33" t="s">
        <v>74</v>
      </c>
      <c r="T33" t="s">
        <v>828</v>
      </c>
      <c r="U33" t="s">
        <v>829</v>
      </c>
      <c r="V33" t="s">
        <v>830</v>
      </c>
      <c r="W33" t="s">
        <v>831</v>
      </c>
      <c r="X33" t="s">
        <v>832</v>
      </c>
      <c r="Y33" t="s">
        <v>833</v>
      </c>
      <c r="Z33" t="s">
        <v>674</v>
      </c>
      <c r="AA33" t="s">
        <v>834</v>
      </c>
      <c r="AB33" t="s">
        <v>835</v>
      </c>
      <c r="AC33" t="s">
        <v>836</v>
      </c>
      <c r="AD33" t="s">
        <v>837</v>
      </c>
      <c r="AE33" t="s">
        <v>838</v>
      </c>
      <c r="AF33" t="s">
        <v>74</v>
      </c>
      <c r="AG33">
        <v>76</v>
      </c>
      <c r="AH33">
        <v>5</v>
      </c>
      <c r="AI33">
        <v>5</v>
      </c>
      <c r="AJ33">
        <v>17</v>
      </c>
      <c r="AK33">
        <v>34</v>
      </c>
      <c r="AL33" t="s">
        <v>305</v>
      </c>
      <c r="AM33" t="s">
        <v>306</v>
      </c>
      <c r="AN33" t="s">
        <v>307</v>
      </c>
      <c r="AO33" t="s">
        <v>656</v>
      </c>
      <c r="AP33" t="s">
        <v>657</v>
      </c>
      <c r="AQ33" t="s">
        <v>74</v>
      </c>
      <c r="AR33" t="s">
        <v>658</v>
      </c>
      <c r="AS33" t="s">
        <v>659</v>
      </c>
      <c r="AT33" t="s">
        <v>592</v>
      </c>
      <c r="AU33">
        <v>2023</v>
      </c>
      <c r="AV33">
        <v>50</v>
      </c>
      <c r="AW33">
        <v>8</v>
      </c>
      <c r="AX33" t="s">
        <v>74</v>
      </c>
      <c r="AY33" t="s">
        <v>74</v>
      </c>
      <c r="AZ33" t="s">
        <v>74</v>
      </c>
      <c r="BA33" t="s">
        <v>74</v>
      </c>
      <c r="BB33" t="s">
        <v>74</v>
      </c>
      <c r="BC33" t="s">
        <v>74</v>
      </c>
      <c r="BD33" t="s">
        <v>839</v>
      </c>
      <c r="BE33" t="s">
        <v>840</v>
      </c>
      <c r="BF33" t="str">
        <f>HYPERLINK("http://dx.doi.org/10.1029/2022GL102588","http://dx.doi.org/10.1029/2022GL102588")</f>
        <v>http://dx.doi.org/10.1029/2022GL102588</v>
      </c>
      <c r="BG33" t="s">
        <v>74</v>
      </c>
      <c r="BH33" t="s">
        <v>74</v>
      </c>
      <c r="BI33">
        <v>10</v>
      </c>
      <c r="BJ33" t="s">
        <v>261</v>
      </c>
      <c r="BK33" t="s">
        <v>103</v>
      </c>
      <c r="BL33" t="s">
        <v>262</v>
      </c>
      <c r="BM33" t="s">
        <v>841</v>
      </c>
      <c r="BN33" t="s">
        <v>74</v>
      </c>
      <c r="BO33" t="s">
        <v>387</v>
      </c>
      <c r="BP33" t="s">
        <v>74</v>
      </c>
      <c r="BQ33" t="s">
        <v>74</v>
      </c>
      <c r="BR33" t="s">
        <v>106</v>
      </c>
      <c r="BS33" t="s">
        <v>842</v>
      </c>
      <c r="BT33" t="str">
        <f>HYPERLINK("https%3A%2F%2Fwww.webofscience.com%2Fwos%2Fwoscc%2Ffull-record%2FWOS:000967913600001","View Full Record in Web of Science")</f>
        <v>View Full Record in Web of Science</v>
      </c>
    </row>
    <row r="34" spans="1:72" x14ac:dyDescent="0.15">
      <c r="A34" t="s">
        <v>72</v>
      </c>
      <c r="B34" t="s">
        <v>843</v>
      </c>
      <c r="C34" t="s">
        <v>74</v>
      </c>
      <c r="D34" t="s">
        <v>74</v>
      </c>
      <c r="E34" t="s">
        <v>74</v>
      </c>
      <c r="F34" t="s">
        <v>844</v>
      </c>
      <c r="G34" t="s">
        <v>74</v>
      </c>
      <c r="H34" t="s">
        <v>74</v>
      </c>
      <c r="I34" t="s">
        <v>845</v>
      </c>
      <c r="J34" t="s">
        <v>846</v>
      </c>
      <c r="K34" t="s">
        <v>74</v>
      </c>
      <c r="L34" t="s">
        <v>74</v>
      </c>
      <c r="M34" t="s">
        <v>78</v>
      </c>
      <c r="N34" t="s">
        <v>112</v>
      </c>
      <c r="O34" t="s">
        <v>74</v>
      </c>
      <c r="P34" t="s">
        <v>74</v>
      </c>
      <c r="Q34" t="s">
        <v>74</v>
      </c>
      <c r="R34" t="s">
        <v>74</v>
      </c>
      <c r="S34" t="s">
        <v>74</v>
      </c>
      <c r="T34" t="s">
        <v>847</v>
      </c>
      <c r="U34" t="s">
        <v>848</v>
      </c>
      <c r="V34" t="s">
        <v>849</v>
      </c>
      <c r="W34" t="s">
        <v>850</v>
      </c>
      <c r="X34" t="s">
        <v>851</v>
      </c>
      <c r="Y34" t="s">
        <v>852</v>
      </c>
      <c r="Z34" t="s">
        <v>853</v>
      </c>
      <c r="AA34" t="s">
        <v>74</v>
      </c>
      <c r="AB34" t="s">
        <v>854</v>
      </c>
      <c r="AC34" t="s">
        <v>855</v>
      </c>
      <c r="AD34" t="s">
        <v>856</v>
      </c>
      <c r="AE34" t="s">
        <v>857</v>
      </c>
      <c r="AF34" t="s">
        <v>74</v>
      </c>
      <c r="AG34">
        <v>66</v>
      </c>
      <c r="AH34">
        <v>0</v>
      </c>
      <c r="AI34">
        <v>0</v>
      </c>
      <c r="AJ34">
        <v>1</v>
      </c>
      <c r="AK34">
        <v>1</v>
      </c>
      <c r="AL34" t="s">
        <v>225</v>
      </c>
      <c r="AM34" t="s">
        <v>226</v>
      </c>
      <c r="AN34" t="s">
        <v>227</v>
      </c>
      <c r="AO34" t="s">
        <v>858</v>
      </c>
      <c r="AP34" t="s">
        <v>859</v>
      </c>
      <c r="AQ34" t="s">
        <v>74</v>
      </c>
      <c r="AR34" t="s">
        <v>860</v>
      </c>
      <c r="AS34" t="s">
        <v>861</v>
      </c>
      <c r="AT34" t="s">
        <v>98</v>
      </c>
      <c r="AU34">
        <v>2023</v>
      </c>
      <c r="AV34">
        <v>195</v>
      </c>
      <c r="AW34" t="s">
        <v>74</v>
      </c>
      <c r="AX34" t="s">
        <v>74</v>
      </c>
      <c r="AY34" t="s">
        <v>74</v>
      </c>
      <c r="AZ34" t="s">
        <v>74</v>
      </c>
      <c r="BA34" t="s">
        <v>74</v>
      </c>
      <c r="BB34" t="s">
        <v>74</v>
      </c>
      <c r="BC34" t="s">
        <v>74</v>
      </c>
      <c r="BD34">
        <v>104040</v>
      </c>
      <c r="BE34" t="s">
        <v>862</v>
      </c>
      <c r="BF34" t="str">
        <f>HYPERLINK("http://dx.doi.org/10.1016/j.dsr.2023.104040","http://dx.doi.org/10.1016/j.dsr.2023.104040")</f>
        <v>http://dx.doi.org/10.1016/j.dsr.2023.104040</v>
      </c>
      <c r="BG34" t="s">
        <v>74</v>
      </c>
      <c r="BH34" t="s">
        <v>427</v>
      </c>
      <c r="BI34">
        <v>16</v>
      </c>
      <c r="BJ34" t="s">
        <v>863</v>
      </c>
      <c r="BK34" t="s">
        <v>103</v>
      </c>
      <c r="BL34" t="s">
        <v>863</v>
      </c>
      <c r="BM34" t="s">
        <v>864</v>
      </c>
      <c r="BN34" t="s">
        <v>74</v>
      </c>
      <c r="BO34" t="s">
        <v>74</v>
      </c>
      <c r="BP34" t="s">
        <v>74</v>
      </c>
      <c r="BQ34" t="s">
        <v>74</v>
      </c>
      <c r="BR34" t="s">
        <v>106</v>
      </c>
      <c r="BS34" t="s">
        <v>865</v>
      </c>
      <c r="BT34" t="str">
        <f>HYPERLINK("https%3A%2F%2Fwww.webofscience.com%2Fwos%2Fwoscc%2Ffull-record%2FWOS:001029232100001","View Full Record in Web of Science")</f>
        <v>View Full Record in Web of Science</v>
      </c>
    </row>
    <row r="35" spans="1:72" x14ac:dyDescent="0.15">
      <c r="A35" t="s">
        <v>72</v>
      </c>
      <c r="B35" t="s">
        <v>866</v>
      </c>
      <c r="C35" t="s">
        <v>74</v>
      </c>
      <c r="D35" t="s">
        <v>74</v>
      </c>
      <c r="E35" t="s">
        <v>74</v>
      </c>
      <c r="F35" t="s">
        <v>867</v>
      </c>
      <c r="G35" t="s">
        <v>74</v>
      </c>
      <c r="H35" t="s">
        <v>74</v>
      </c>
      <c r="I35" t="s">
        <v>868</v>
      </c>
      <c r="J35" t="s">
        <v>869</v>
      </c>
      <c r="K35" t="s">
        <v>74</v>
      </c>
      <c r="L35" t="s">
        <v>74</v>
      </c>
      <c r="M35" t="s">
        <v>78</v>
      </c>
      <c r="N35" t="s">
        <v>112</v>
      </c>
      <c r="O35" t="s">
        <v>74</v>
      </c>
      <c r="P35" t="s">
        <v>74</v>
      </c>
      <c r="Q35" t="s">
        <v>74</v>
      </c>
      <c r="R35" t="s">
        <v>74</v>
      </c>
      <c r="S35" t="s">
        <v>74</v>
      </c>
      <c r="T35" t="s">
        <v>870</v>
      </c>
      <c r="U35" t="s">
        <v>871</v>
      </c>
      <c r="V35" t="s">
        <v>872</v>
      </c>
      <c r="W35" t="s">
        <v>873</v>
      </c>
      <c r="X35" t="s">
        <v>874</v>
      </c>
      <c r="Y35" t="s">
        <v>875</v>
      </c>
      <c r="Z35" t="s">
        <v>876</v>
      </c>
      <c r="AA35" t="s">
        <v>877</v>
      </c>
      <c r="AB35" t="s">
        <v>878</v>
      </c>
      <c r="AC35" t="s">
        <v>879</v>
      </c>
      <c r="AD35" t="s">
        <v>880</v>
      </c>
      <c r="AE35" t="s">
        <v>881</v>
      </c>
      <c r="AF35" t="s">
        <v>74</v>
      </c>
      <c r="AG35">
        <v>67</v>
      </c>
      <c r="AH35">
        <v>1</v>
      </c>
      <c r="AI35">
        <v>1</v>
      </c>
      <c r="AJ35">
        <v>18</v>
      </c>
      <c r="AK35">
        <v>26</v>
      </c>
      <c r="AL35" t="s">
        <v>305</v>
      </c>
      <c r="AM35" t="s">
        <v>306</v>
      </c>
      <c r="AN35" t="s">
        <v>307</v>
      </c>
      <c r="AO35" t="s">
        <v>882</v>
      </c>
      <c r="AP35" t="s">
        <v>883</v>
      </c>
      <c r="AQ35" t="s">
        <v>74</v>
      </c>
      <c r="AR35" t="s">
        <v>884</v>
      </c>
      <c r="AS35" t="s">
        <v>885</v>
      </c>
      <c r="AT35" t="s">
        <v>886</v>
      </c>
      <c r="AU35">
        <v>2023</v>
      </c>
      <c r="AV35">
        <v>128</v>
      </c>
      <c r="AW35">
        <v>8</v>
      </c>
      <c r="AX35" t="s">
        <v>74</v>
      </c>
      <c r="AY35" t="s">
        <v>74</v>
      </c>
      <c r="AZ35" t="s">
        <v>74</v>
      </c>
      <c r="BA35" t="s">
        <v>74</v>
      </c>
      <c r="BB35" t="s">
        <v>74</v>
      </c>
      <c r="BC35" t="s">
        <v>74</v>
      </c>
      <c r="BD35" t="s">
        <v>887</v>
      </c>
      <c r="BE35" t="s">
        <v>888</v>
      </c>
      <c r="BF35" t="str">
        <f>HYPERLINK("http://dx.doi.org/10.1029/2022JD037692","http://dx.doi.org/10.1029/2022JD037692")</f>
        <v>http://dx.doi.org/10.1029/2022JD037692</v>
      </c>
      <c r="BG35" t="s">
        <v>74</v>
      </c>
      <c r="BH35" t="s">
        <v>74</v>
      </c>
      <c r="BI35">
        <v>11</v>
      </c>
      <c r="BJ35" t="s">
        <v>102</v>
      </c>
      <c r="BK35" t="s">
        <v>103</v>
      </c>
      <c r="BL35" t="s">
        <v>102</v>
      </c>
      <c r="BM35" t="s">
        <v>889</v>
      </c>
      <c r="BN35" t="s">
        <v>74</v>
      </c>
      <c r="BO35" t="s">
        <v>74</v>
      </c>
      <c r="BP35" t="s">
        <v>74</v>
      </c>
      <c r="BQ35" t="s">
        <v>74</v>
      </c>
      <c r="BR35" t="s">
        <v>106</v>
      </c>
      <c r="BS35" t="s">
        <v>890</v>
      </c>
      <c r="BT35" t="str">
        <f>HYPERLINK("https%3A%2F%2Fwww.webofscience.com%2Fwos%2Fwoscc%2Ffull-record%2FWOS:000973052100001","View Full Record in Web of Science")</f>
        <v>View Full Record in Web of Science</v>
      </c>
    </row>
    <row r="36" spans="1:72" x14ac:dyDescent="0.15">
      <c r="A36" t="s">
        <v>72</v>
      </c>
      <c r="B36" t="s">
        <v>891</v>
      </c>
      <c r="C36" t="s">
        <v>74</v>
      </c>
      <c r="D36" t="s">
        <v>74</v>
      </c>
      <c r="E36" t="s">
        <v>74</v>
      </c>
      <c r="F36" t="s">
        <v>892</v>
      </c>
      <c r="G36" t="s">
        <v>74</v>
      </c>
      <c r="H36" t="s">
        <v>74</v>
      </c>
      <c r="I36" t="s">
        <v>893</v>
      </c>
      <c r="J36" t="s">
        <v>869</v>
      </c>
      <c r="K36" t="s">
        <v>74</v>
      </c>
      <c r="L36" t="s">
        <v>74</v>
      </c>
      <c r="M36" t="s">
        <v>78</v>
      </c>
      <c r="N36" t="s">
        <v>112</v>
      </c>
      <c r="O36" t="s">
        <v>74</v>
      </c>
      <c r="P36" t="s">
        <v>74</v>
      </c>
      <c r="Q36" t="s">
        <v>74</v>
      </c>
      <c r="R36" t="s">
        <v>74</v>
      </c>
      <c r="S36" t="s">
        <v>74</v>
      </c>
      <c r="T36" t="s">
        <v>894</v>
      </c>
      <c r="U36" t="s">
        <v>895</v>
      </c>
      <c r="V36" t="s">
        <v>896</v>
      </c>
      <c r="W36" t="s">
        <v>897</v>
      </c>
      <c r="X36" t="s">
        <v>898</v>
      </c>
      <c r="Y36" t="s">
        <v>899</v>
      </c>
      <c r="Z36" t="s">
        <v>900</v>
      </c>
      <c r="AA36" t="s">
        <v>901</v>
      </c>
      <c r="AB36" t="s">
        <v>902</v>
      </c>
      <c r="AC36" t="s">
        <v>903</v>
      </c>
      <c r="AD36" t="s">
        <v>904</v>
      </c>
      <c r="AE36" t="s">
        <v>905</v>
      </c>
      <c r="AF36" t="s">
        <v>74</v>
      </c>
      <c r="AG36">
        <v>133</v>
      </c>
      <c r="AH36">
        <v>0</v>
      </c>
      <c r="AI36">
        <v>0</v>
      </c>
      <c r="AJ36">
        <v>8</v>
      </c>
      <c r="AK36">
        <v>22</v>
      </c>
      <c r="AL36" t="s">
        <v>305</v>
      </c>
      <c r="AM36" t="s">
        <v>306</v>
      </c>
      <c r="AN36" t="s">
        <v>307</v>
      </c>
      <c r="AO36" t="s">
        <v>882</v>
      </c>
      <c r="AP36" t="s">
        <v>883</v>
      </c>
      <c r="AQ36" t="s">
        <v>74</v>
      </c>
      <c r="AR36" t="s">
        <v>884</v>
      </c>
      <c r="AS36" t="s">
        <v>885</v>
      </c>
      <c r="AT36" t="s">
        <v>886</v>
      </c>
      <c r="AU36">
        <v>2023</v>
      </c>
      <c r="AV36">
        <v>128</v>
      </c>
      <c r="AW36">
        <v>8</v>
      </c>
      <c r="AX36" t="s">
        <v>74</v>
      </c>
      <c r="AY36" t="s">
        <v>74</v>
      </c>
      <c r="AZ36" t="s">
        <v>74</v>
      </c>
      <c r="BA36" t="s">
        <v>74</v>
      </c>
      <c r="BB36" t="s">
        <v>74</v>
      </c>
      <c r="BC36" t="s">
        <v>74</v>
      </c>
      <c r="BD36" t="s">
        <v>906</v>
      </c>
      <c r="BE36" t="s">
        <v>907</v>
      </c>
      <c r="BF36" t="str">
        <f>HYPERLINK("http://dx.doi.org/10.1029/2022JD037874","http://dx.doi.org/10.1029/2022JD037874")</f>
        <v>http://dx.doi.org/10.1029/2022JD037874</v>
      </c>
      <c r="BG36" t="s">
        <v>74</v>
      </c>
      <c r="BH36" t="s">
        <v>74</v>
      </c>
      <c r="BI36">
        <v>23</v>
      </c>
      <c r="BJ36" t="s">
        <v>102</v>
      </c>
      <c r="BK36" t="s">
        <v>103</v>
      </c>
      <c r="BL36" t="s">
        <v>102</v>
      </c>
      <c r="BM36" t="s">
        <v>908</v>
      </c>
      <c r="BN36" t="s">
        <v>74</v>
      </c>
      <c r="BO36" t="s">
        <v>74</v>
      </c>
      <c r="BP36" t="s">
        <v>74</v>
      </c>
      <c r="BQ36" t="s">
        <v>74</v>
      </c>
      <c r="BR36" t="s">
        <v>106</v>
      </c>
      <c r="BS36" t="s">
        <v>909</v>
      </c>
      <c r="BT36" t="str">
        <f>HYPERLINK("https%3A%2F%2Fwww.webofscience.com%2Fwos%2Fwoscc%2Ffull-record%2FWOS:000971950800001","View Full Record in Web of Science")</f>
        <v>View Full Record in Web of Science</v>
      </c>
    </row>
    <row r="37" spans="1:72" x14ac:dyDescent="0.15">
      <c r="A37" t="s">
        <v>72</v>
      </c>
      <c r="B37" t="s">
        <v>910</v>
      </c>
      <c r="C37" t="s">
        <v>74</v>
      </c>
      <c r="D37" t="s">
        <v>74</v>
      </c>
      <c r="E37" t="s">
        <v>74</v>
      </c>
      <c r="F37" t="s">
        <v>911</v>
      </c>
      <c r="G37" t="s">
        <v>74</v>
      </c>
      <c r="H37" t="s">
        <v>74</v>
      </c>
      <c r="I37" t="s">
        <v>912</v>
      </c>
      <c r="J37" t="s">
        <v>869</v>
      </c>
      <c r="K37" t="s">
        <v>74</v>
      </c>
      <c r="L37" t="s">
        <v>74</v>
      </c>
      <c r="M37" t="s">
        <v>78</v>
      </c>
      <c r="N37" t="s">
        <v>112</v>
      </c>
      <c r="O37" t="s">
        <v>74</v>
      </c>
      <c r="P37" t="s">
        <v>74</v>
      </c>
      <c r="Q37" t="s">
        <v>74</v>
      </c>
      <c r="R37" t="s">
        <v>74</v>
      </c>
      <c r="S37" t="s">
        <v>74</v>
      </c>
      <c r="T37" t="s">
        <v>913</v>
      </c>
      <c r="U37" t="s">
        <v>914</v>
      </c>
      <c r="V37" t="s">
        <v>915</v>
      </c>
      <c r="W37" t="s">
        <v>916</v>
      </c>
      <c r="X37" t="s">
        <v>917</v>
      </c>
      <c r="Y37" t="s">
        <v>918</v>
      </c>
      <c r="Z37" t="s">
        <v>919</v>
      </c>
      <c r="AA37" t="s">
        <v>920</v>
      </c>
      <c r="AB37" t="s">
        <v>921</v>
      </c>
      <c r="AC37" t="s">
        <v>922</v>
      </c>
      <c r="AD37" t="s">
        <v>923</v>
      </c>
      <c r="AE37" t="s">
        <v>924</v>
      </c>
      <c r="AF37" t="s">
        <v>74</v>
      </c>
      <c r="AG37">
        <v>67</v>
      </c>
      <c r="AH37">
        <v>3</v>
      </c>
      <c r="AI37">
        <v>4</v>
      </c>
      <c r="AJ37">
        <v>3</v>
      </c>
      <c r="AK37">
        <v>4</v>
      </c>
      <c r="AL37" t="s">
        <v>305</v>
      </c>
      <c r="AM37" t="s">
        <v>306</v>
      </c>
      <c r="AN37" t="s">
        <v>307</v>
      </c>
      <c r="AO37" t="s">
        <v>882</v>
      </c>
      <c r="AP37" t="s">
        <v>883</v>
      </c>
      <c r="AQ37" t="s">
        <v>74</v>
      </c>
      <c r="AR37" t="s">
        <v>884</v>
      </c>
      <c r="AS37" t="s">
        <v>885</v>
      </c>
      <c r="AT37" t="s">
        <v>886</v>
      </c>
      <c r="AU37">
        <v>2023</v>
      </c>
      <c r="AV37">
        <v>128</v>
      </c>
      <c r="AW37">
        <v>8</v>
      </c>
      <c r="AX37" t="s">
        <v>74</v>
      </c>
      <c r="AY37" t="s">
        <v>74</v>
      </c>
      <c r="AZ37" t="s">
        <v>74</v>
      </c>
      <c r="BA37" t="s">
        <v>74</v>
      </c>
      <c r="BB37" t="s">
        <v>74</v>
      </c>
      <c r="BC37" t="s">
        <v>74</v>
      </c>
      <c r="BD37" t="s">
        <v>925</v>
      </c>
      <c r="BE37" t="s">
        <v>926</v>
      </c>
      <c r="BF37" t="str">
        <f>HYPERLINK("http://dx.doi.org/10.1029/2022JD036955","http://dx.doi.org/10.1029/2022JD036955")</f>
        <v>http://dx.doi.org/10.1029/2022JD036955</v>
      </c>
      <c r="BG37" t="s">
        <v>74</v>
      </c>
      <c r="BH37" t="s">
        <v>74</v>
      </c>
      <c r="BI37">
        <v>21</v>
      </c>
      <c r="BJ37" t="s">
        <v>102</v>
      </c>
      <c r="BK37" t="s">
        <v>103</v>
      </c>
      <c r="BL37" t="s">
        <v>102</v>
      </c>
      <c r="BM37" t="s">
        <v>927</v>
      </c>
      <c r="BN37" t="s">
        <v>74</v>
      </c>
      <c r="BO37" t="s">
        <v>928</v>
      </c>
      <c r="BP37" t="s">
        <v>74</v>
      </c>
      <c r="BQ37" t="s">
        <v>74</v>
      </c>
      <c r="BR37" t="s">
        <v>106</v>
      </c>
      <c r="BS37" t="s">
        <v>929</v>
      </c>
      <c r="BT37" t="str">
        <f>HYPERLINK("https%3A%2F%2Fwww.webofscience.com%2Fwos%2Fwoscc%2Ffull-record%2FWOS:000971811800001","View Full Record in Web of Science")</f>
        <v>View Full Record in Web of Science</v>
      </c>
    </row>
    <row r="38" spans="1:72" x14ac:dyDescent="0.15">
      <c r="A38" t="s">
        <v>72</v>
      </c>
      <c r="B38" t="s">
        <v>930</v>
      </c>
      <c r="C38" t="s">
        <v>74</v>
      </c>
      <c r="D38" t="s">
        <v>74</v>
      </c>
      <c r="E38" t="s">
        <v>74</v>
      </c>
      <c r="F38" t="s">
        <v>931</v>
      </c>
      <c r="G38" t="s">
        <v>74</v>
      </c>
      <c r="H38" t="s">
        <v>74</v>
      </c>
      <c r="I38" t="s">
        <v>932</v>
      </c>
      <c r="J38" t="s">
        <v>933</v>
      </c>
      <c r="K38" t="s">
        <v>74</v>
      </c>
      <c r="L38" t="s">
        <v>74</v>
      </c>
      <c r="M38" t="s">
        <v>78</v>
      </c>
      <c r="N38" t="s">
        <v>112</v>
      </c>
      <c r="O38" t="s">
        <v>74</v>
      </c>
      <c r="P38" t="s">
        <v>74</v>
      </c>
      <c r="Q38" t="s">
        <v>74</v>
      </c>
      <c r="R38" t="s">
        <v>74</v>
      </c>
      <c r="S38" t="s">
        <v>74</v>
      </c>
      <c r="T38" t="s">
        <v>934</v>
      </c>
      <c r="U38" t="s">
        <v>935</v>
      </c>
      <c r="V38" t="s">
        <v>936</v>
      </c>
      <c r="W38" t="s">
        <v>937</v>
      </c>
      <c r="X38" t="s">
        <v>938</v>
      </c>
      <c r="Y38" t="s">
        <v>939</v>
      </c>
      <c r="Z38" t="s">
        <v>940</v>
      </c>
      <c r="AA38" t="s">
        <v>941</v>
      </c>
      <c r="AB38" t="s">
        <v>942</v>
      </c>
      <c r="AC38" t="s">
        <v>943</v>
      </c>
      <c r="AD38" t="s">
        <v>944</v>
      </c>
      <c r="AE38" t="s">
        <v>945</v>
      </c>
      <c r="AF38" t="s">
        <v>74</v>
      </c>
      <c r="AG38">
        <v>49</v>
      </c>
      <c r="AH38">
        <v>0</v>
      </c>
      <c r="AI38">
        <v>0</v>
      </c>
      <c r="AJ38">
        <v>3</v>
      </c>
      <c r="AK38">
        <v>5</v>
      </c>
      <c r="AL38" t="s">
        <v>125</v>
      </c>
      <c r="AM38" t="s">
        <v>126</v>
      </c>
      <c r="AN38" t="s">
        <v>127</v>
      </c>
      <c r="AO38" t="s">
        <v>74</v>
      </c>
      <c r="AP38" t="s">
        <v>946</v>
      </c>
      <c r="AQ38" t="s">
        <v>74</v>
      </c>
      <c r="AR38" t="s">
        <v>947</v>
      </c>
      <c r="AS38" t="s">
        <v>948</v>
      </c>
      <c r="AT38" t="s">
        <v>886</v>
      </c>
      <c r="AU38">
        <v>2023</v>
      </c>
      <c r="AV38">
        <v>14</v>
      </c>
      <c r="AW38">
        <v>5</v>
      </c>
      <c r="AX38" t="s">
        <v>74</v>
      </c>
      <c r="AY38" t="s">
        <v>74</v>
      </c>
      <c r="AZ38" t="s">
        <v>74</v>
      </c>
      <c r="BA38" t="s">
        <v>74</v>
      </c>
      <c r="BB38" t="s">
        <v>74</v>
      </c>
      <c r="BC38" t="s">
        <v>74</v>
      </c>
      <c r="BD38">
        <v>796</v>
      </c>
      <c r="BE38" t="s">
        <v>949</v>
      </c>
      <c r="BF38" t="str">
        <f>HYPERLINK("http://dx.doi.org/10.3390/atmos14050796","http://dx.doi.org/10.3390/atmos14050796")</f>
        <v>http://dx.doi.org/10.3390/atmos14050796</v>
      </c>
      <c r="BG38" t="s">
        <v>74</v>
      </c>
      <c r="BH38" t="s">
        <v>74</v>
      </c>
      <c r="BI38">
        <v>12</v>
      </c>
      <c r="BJ38" t="s">
        <v>356</v>
      </c>
      <c r="BK38" t="s">
        <v>103</v>
      </c>
      <c r="BL38" t="s">
        <v>357</v>
      </c>
      <c r="BM38" t="s">
        <v>950</v>
      </c>
      <c r="BN38" t="s">
        <v>74</v>
      </c>
      <c r="BO38" t="s">
        <v>359</v>
      </c>
      <c r="BP38" t="s">
        <v>74</v>
      </c>
      <c r="BQ38" t="s">
        <v>74</v>
      </c>
      <c r="BR38" t="s">
        <v>106</v>
      </c>
      <c r="BS38" t="s">
        <v>951</v>
      </c>
      <c r="BT38" t="str">
        <f>HYPERLINK("https%3A%2F%2Fwww.webofscience.com%2Fwos%2Fwoscc%2Ffull-record%2FWOS:000995618400001","View Full Record in Web of Science")</f>
        <v>View Full Record in Web of Science</v>
      </c>
    </row>
    <row r="39" spans="1:72" x14ac:dyDescent="0.15">
      <c r="A39" t="s">
        <v>72</v>
      </c>
      <c r="B39" t="s">
        <v>952</v>
      </c>
      <c r="C39" t="s">
        <v>74</v>
      </c>
      <c r="D39" t="s">
        <v>74</v>
      </c>
      <c r="E39" t="s">
        <v>74</v>
      </c>
      <c r="F39" t="s">
        <v>953</v>
      </c>
      <c r="G39" t="s">
        <v>74</v>
      </c>
      <c r="H39" t="s">
        <v>74</v>
      </c>
      <c r="I39" t="s">
        <v>954</v>
      </c>
      <c r="J39" t="s">
        <v>955</v>
      </c>
      <c r="K39" t="s">
        <v>74</v>
      </c>
      <c r="L39" t="s">
        <v>74</v>
      </c>
      <c r="M39" t="s">
        <v>78</v>
      </c>
      <c r="N39" t="s">
        <v>112</v>
      </c>
      <c r="O39" t="s">
        <v>74</v>
      </c>
      <c r="P39" t="s">
        <v>74</v>
      </c>
      <c r="Q39" t="s">
        <v>74</v>
      </c>
      <c r="R39" t="s">
        <v>74</v>
      </c>
      <c r="S39" t="s">
        <v>74</v>
      </c>
      <c r="T39" t="s">
        <v>956</v>
      </c>
      <c r="U39" t="s">
        <v>957</v>
      </c>
      <c r="V39" t="s">
        <v>958</v>
      </c>
      <c r="W39" t="s">
        <v>959</v>
      </c>
      <c r="X39" t="s">
        <v>960</v>
      </c>
      <c r="Y39" t="s">
        <v>961</v>
      </c>
      <c r="Z39" t="s">
        <v>962</v>
      </c>
      <c r="AA39" t="s">
        <v>963</v>
      </c>
      <c r="AB39" t="s">
        <v>964</v>
      </c>
      <c r="AC39" t="s">
        <v>965</v>
      </c>
      <c r="AD39" t="s">
        <v>966</v>
      </c>
      <c r="AE39" t="s">
        <v>967</v>
      </c>
      <c r="AF39" t="s">
        <v>74</v>
      </c>
      <c r="AG39">
        <v>63</v>
      </c>
      <c r="AH39">
        <v>0</v>
      </c>
      <c r="AI39">
        <v>0</v>
      </c>
      <c r="AJ39">
        <v>2</v>
      </c>
      <c r="AK39">
        <v>4</v>
      </c>
      <c r="AL39" t="s">
        <v>447</v>
      </c>
      <c r="AM39" t="s">
        <v>448</v>
      </c>
      <c r="AN39" t="s">
        <v>449</v>
      </c>
      <c r="AO39" t="s">
        <v>968</v>
      </c>
      <c r="AP39" t="s">
        <v>969</v>
      </c>
      <c r="AQ39" t="s">
        <v>74</v>
      </c>
      <c r="AR39" t="s">
        <v>970</v>
      </c>
      <c r="AS39" t="s">
        <v>971</v>
      </c>
      <c r="AT39" t="s">
        <v>972</v>
      </c>
      <c r="AU39">
        <v>2024</v>
      </c>
      <c r="AV39">
        <v>241</v>
      </c>
      <c r="AW39" t="s">
        <v>74</v>
      </c>
      <c r="AX39" t="s">
        <v>74</v>
      </c>
      <c r="AY39" t="s">
        <v>74</v>
      </c>
      <c r="AZ39" t="s">
        <v>74</v>
      </c>
      <c r="BA39" t="s">
        <v>74</v>
      </c>
      <c r="BB39" t="s">
        <v>74</v>
      </c>
      <c r="BC39" t="s">
        <v>74</v>
      </c>
      <c r="BD39">
        <v>103893</v>
      </c>
      <c r="BE39" t="s">
        <v>973</v>
      </c>
      <c r="BF39" t="str">
        <f>HYPERLINK("http://dx.doi.org/10.1016/j.jmarsys.2023.103893","http://dx.doi.org/10.1016/j.jmarsys.2023.103893")</f>
        <v>http://dx.doi.org/10.1016/j.jmarsys.2023.103893</v>
      </c>
      <c r="BG39" t="s">
        <v>74</v>
      </c>
      <c r="BH39" t="s">
        <v>427</v>
      </c>
      <c r="BI39">
        <v>12</v>
      </c>
      <c r="BJ39" t="s">
        <v>974</v>
      </c>
      <c r="BK39" t="s">
        <v>103</v>
      </c>
      <c r="BL39" t="s">
        <v>975</v>
      </c>
      <c r="BM39" t="s">
        <v>976</v>
      </c>
      <c r="BN39" t="s">
        <v>74</v>
      </c>
      <c r="BO39" t="s">
        <v>74</v>
      </c>
      <c r="BP39" t="s">
        <v>74</v>
      </c>
      <c r="BQ39" t="s">
        <v>74</v>
      </c>
      <c r="BR39" t="s">
        <v>106</v>
      </c>
      <c r="BS39" t="s">
        <v>977</v>
      </c>
      <c r="BT39" t="str">
        <f>HYPERLINK("https%3A%2F%2Fwww.webofscience.com%2Fwos%2Fwoscc%2Ffull-record%2FWOS:000992070700001","View Full Record in Web of Science")</f>
        <v>View Full Record in Web of Science</v>
      </c>
    </row>
    <row r="40" spans="1:72" x14ac:dyDescent="0.15">
      <c r="A40" t="s">
        <v>72</v>
      </c>
      <c r="B40" t="s">
        <v>978</v>
      </c>
      <c r="C40" t="s">
        <v>74</v>
      </c>
      <c r="D40" t="s">
        <v>74</v>
      </c>
      <c r="E40" t="s">
        <v>74</v>
      </c>
      <c r="F40" t="s">
        <v>979</v>
      </c>
      <c r="G40" t="s">
        <v>74</v>
      </c>
      <c r="H40" t="s">
        <v>74</v>
      </c>
      <c r="I40" t="s">
        <v>980</v>
      </c>
      <c r="J40" t="s">
        <v>981</v>
      </c>
      <c r="K40" t="s">
        <v>74</v>
      </c>
      <c r="L40" t="s">
        <v>74</v>
      </c>
      <c r="M40" t="s">
        <v>78</v>
      </c>
      <c r="N40" t="s">
        <v>112</v>
      </c>
      <c r="O40" t="s">
        <v>74</v>
      </c>
      <c r="P40" t="s">
        <v>74</v>
      </c>
      <c r="Q40" t="s">
        <v>74</v>
      </c>
      <c r="R40" t="s">
        <v>74</v>
      </c>
      <c r="S40" t="s">
        <v>74</v>
      </c>
      <c r="T40" t="s">
        <v>982</v>
      </c>
      <c r="U40" t="s">
        <v>983</v>
      </c>
      <c r="V40" t="s">
        <v>984</v>
      </c>
      <c r="W40" t="s">
        <v>985</v>
      </c>
      <c r="X40" t="s">
        <v>222</v>
      </c>
      <c r="Y40" t="s">
        <v>986</v>
      </c>
      <c r="Z40" t="s">
        <v>987</v>
      </c>
      <c r="AA40" t="s">
        <v>988</v>
      </c>
      <c r="AB40" t="s">
        <v>989</v>
      </c>
      <c r="AC40" t="s">
        <v>990</v>
      </c>
      <c r="AD40" t="s">
        <v>251</v>
      </c>
      <c r="AE40" t="s">
        <v>991</v>
      </c>
      <c r="AF40" t="s">
        <v>74</v>
      </c>
      <c r="AG40">
        <v>49</v>
      </c>
      <c r="AH40">
        <v>1</v>
      </c>
      <c r="AI40">
        <v>1</v>
      </c>
      <c r="AJ40">
        <v>0</v>
      </c>
      <c r="AK40">
        <v>2</v>
      </c>
      <c r="AL40" t="s">
        <v>125</v>
      </c>
      <c r="AM40" t="s">
        <v>126</v>
      </c>
      <c r="AN40" t="s">
        <v>127</v>
      </c>
      <c r="AO40" t="s">
        <v>74</v>
      </c>
      <c r="AP40" t="s">
        <v>992</v>
      </c>
      <c r="AQ40" t="s">
        <v>74</v>
      </c>
      <c r="AR40" t="s">
        <v>993</v>
      </c>
      <c r="AS40" t="s">
        <v>994</v>
      </c>
      <c r="AT40" t="s">
        <v>886</v>
      </c>
      <c r="AU40">
        <v>2023</v>
      </c>
      <c r="AV40">
        <v>15</v>
      </c>
      <c r="AW40">
        <v>9</v>
      </c>
      <c r="AX40" t="s">
        <v>74</v>
      </c>
      <c r="AY40" t="s">
        <v>74</v>
      </c>
      <c r="AZ40" t="s">
        <v>74</v>
      </c>
      <c r="BA40" t="s">
        <v>74</v>
      </c>
      <c r="BB40" t="s">
        <v>74</v>
      </c>
      <c r="BC40" t="s">
        <v>74</v>
      </c>
      <c r="BD40">
        <v>2300</v>
      </c>
      <c r="BE40" t="s">
        <v>995</v>
      </c>
      <c r="BF40" t="str">
        <f>HYPERLINK("http://dx.doi.org/10.3390/rs15092300","http://dx.doi.org/10.3390/rs15092300")</f>
        <v>http://dx.doi.org/10.3390/rs15092300</v>
      </c>
      <c r="BG40" t="s">
        <v>74</v>
      </c>
      <c r="BH40" t="s">
        <v>74</v>
      </c>
      <c r="BI40">
        <v>21</v>
      </c>
      <c r="BJ40" t="s">
        <v>996</v>
      </c>
      <c r="BK40" t="s">
        <v>103</v>
      </c>
      <c r="BL40" t="s">
        <v>997</v>
      </c>
      <c r="BM40" t="s">
        <v>998</v>
      </c>
      <c r="BN40" t="s">
        <v>74</v>
      </c>
      <c r="BO40" t="s">
        <v>359</v>
      </c>
      <c r="BP40" t="s">
        <v>74</v>
      </c>
      <c r="BQ40" t="s">
        <v>74</v>
      </c>
      <c r="BR40" t="s">
        <v>106</v>
      </c>
      <c r="BS40" t="s">
        <v>999</v>
      </c>
      <c r="BT40" t="str">
        <f>HYPERLINK("https%3A%2F%2Fwww.webofscience.com%2Fwos%2Fwoscc%2Ffull-record%2FWOS:000987850300001","View Full Record in Web of Science")</f>
        <v>View Full Record in Web of Science</v>
      </c>
    </row>
    <row r="41" spans="1:72" x14ac:dyDescent="0.15">
      <c r="A41" t="s">
        <v>72</v>
      </c>
      <c r="B41" t="s">
        <v>1000</v>
      </c>
      <c r="C41" t="s">
        <v>74</v>
      </c>
      <c r="D41" t="s">
        <v>74</v>
      </c>
      <c r="E41" t="s">
        <v>74</v>
      </c>
      <c r="F41" t="s">
        <v>1001</v>
      </c>
      <c r="G41" t="s">
        <v>74</v>
      </c>
      <c r="H41" t="s">
        <v>74</v>
      </c>
      <c r="I41" t="s">
        <v>1002</v>
      </c>
      <c r="J41" t="s">
        <v>1003</v>
      </c>
      <c r="K41" t="s">
        <v>74</v>
      </c>
      <c r="L41" t="s">
        <v>74</v>
      </c>
      <c r="M41" t="s">
        <v>78</v>
      </c>
      <c r="N41" t="s">
        <v>365</v>
      </c>
      <c r="O41" t="s">
        <v>74</v>
      </c>
      <c r="P41" t="s">
        <v>74</v>
      </c>
      <c r="Q41" t="s">
        <v>74</v>
      </c>
      <c r="R41" t="s">
        <v>74</v>
      </c>
      <c r="S41" t="s">
        <v>74</v>
      </c>
      <c r="T41" t="s">
        <v>1004</v>
      </c>
      <c r="U41" t="s">
        <v>1005</v>
      </c>
      <c r="V41" t="s">
        <v>1006</v>
      </c>
      <c r="W41" t="s">
        <v>1007</v>
      </c>
      <c r="X41" t="s">
        <v>1008</v>
      </c>
      <c r="Y41" t="s">
        <v>1009</v>
      </c>
      <c r="Z41" t="s">
        <v>1010</v>
      </c>
      <c r="AA41" t="s">
        <v>74</v>
      </c>
      <c r="AB41" t="s">
        <v>1011</v>
      </c>
      <c r="AC41" t="s">
        <v>1012</v>
      </c>
      <c r="AD41" t="s">
        <v>1013</v>
      </c>
      <c r="AE41" t="s">
        <v>1014</v>
      </c>
      <c r="AF41" t="s">
        <v>74</v>
      </c>
      <c r="AG41">
        <v>97</v>
      </c>
      <c r="AH41">
        <v>0</v>
      </c>
      <c r="AI41">
        <v>0</v>
      </c>
      <c r="AJ41">
        <v>1</v>
      </c>
      <c r="AK41">
        <v>10</v>
      </c>
      <c r="AL41" t="s">
        <v>125</v>
      </c>
      <c r="AM41" t="s">
        <v>126</v>
      </c>
      <c r="AN41" t="s">
        <v>127</v>
      </c>
      <c r="AO41" t="s">
        <v>74</v>
      </c>
      <c r="AP41" t="s">
        <v>1015</v>
      </c>
      <c r="AQ41" t="s">
        <v>74</v>
      </c>
      <c r="AR41" t="s">
        <v>1003</v>
      </c>
      <c r="AS41" t="s">
        <v>1016</v>
      </c>
      <c r="AT41" t="s">
        <v>886</v>
      </c>
      <c r="AU41">
        <v>2023</v>
      </c>
      <c r="AV41">
        <v>12</v>
      </c>
      <c r="AW41">
        <v>5</v>
      </c>
      <c r="AX41" t="s">
        <v>74</v>
      </c>
      <c r="AY41" t="s">
        <v>74</v>
      </c>
      <c r="AZ41" t="s">
        <v>74</v>
      </c>
      <c r="BA41" t="s">
        <v>74</v>
      </c>
      <c r="BB41" t="s">
        <v>74</v>
      </c>
      <c r="BC41" t="s">
        <v>74</v>
      </c>
      <c r="BD41">
        <v>659</v>
      </c>
      <c r="BE41" t="s">
        <v>1017</v>
      </c>
      <c r="BF41" t="str">
        <f>HYPERLINK("http://dx.doi.org/10.3390/biology12050659","http://dx.doi.org/10.3390/biology12050659")</f>
        <v>http://dx.doi.org/10.3390/biology12050659</v>
      </c>
      <c r="BG41" t="s">
        <v>74</v>
      </c>
      <c r="BH41" t="s">
        <v>74</v>
      </c>
      <c r="BI41">
        <v>14</v>
      </c>
      <c r="BJ41" t="s">
        <v>1018</v>
      </c>
      <c r="BK41" t="s">
        <v>103</v>
      </c>
      <c r="BL41" t="s">
        <v>1019</v>
      </c>
      <c r="BM41" t="s">
        <v>1020</v>
      </c>
      <c r="BN41">
        <v>37237473</v>
      </c>
      <c r="BO41" t="s">
        <v>136</v>
      </c>
      <c r="BP41" t="s">
        <v>74</v>
      </c>
      <c r="BQ41" t="s">
        <v>74</v>
      </c>
      <c r="BR41" t="s">
        <v>106</v>
      </c>
      <c r="BS41" t="s">
        <v>1021</v>
      </c>
      <c r="BT41" t="str">
        <f>HYPERLINK("https%3A%2F%2Fwww.webofscience.com%2Fwos%2Fwoscc%2Ffull-record%2FWOS:000995628100001","View Full Record in Web of Science")</f>
        <v>View Full Record in Web of Science</v>
      </c>
    </row>
    <row r="42" spans="1:72" x14ac:dyDescent="0.15">
      <c r="A42" t="s">
        <v>72</v>
      </c>
      <c r="B42" t="s">
        <v>1022</v>
      </c>
      <c r="C42" t="s">
        <v>74</v>
      </c>
      <c r="D42" t="s">
        <v>74</v>
      </c>
      <c r="E42" t="s">
        <v>74</v>
      </c>
      <c r="F42" t="s">
        <v>1023</v>
      </c>
      <c r="G42" t="s">
        <v>74</v>
      </c>
      <c r="H42" t="s">
        <v>74</v>
      </c>
      <c r="I42" t="s">
        <v>1024</v>
      </c>
      <c r="J42" t="s">
        <v>1025</v>
      </c>
      <c r="K42" t="s">
        <v>74</v>
      </c>
      <c r="L42" t="s">
        <v>74</v>
      </c>
      <c r="M42" t="s">
        <v>78</v>
      </c>
      <c r="N42" t="s">
        <v>112</v>
      </c>
      <c r="O42" t="s">
        <v>74</v>
      </c>
      <c r="P42" t="s">
        <v>74</v>
      </c>
      <c r="Q42" t="s">
        <v>74</v>
      </c>
      <c r="R42" t="s">
        <v>74</v>
      </c>
      <c r="S42" t="s">
        <v>74</v>
      </c>
      <c r="T42" t="s">
        <v>74</v>
      </c>
      <c r="U42" t="s">
        <v>1026</v>
      </c>
      <c r="V42" t="s">
        <v>1027</v>
      </c>
      <c r="W42" t="s">
        <v>1028</v>
      </c>
      <c r="X42" t="s">
        <v>1029</v>
      </c>
      <c r="Y42" t="s">
        <v>1030</v>
      </c>
      <c r="Z42" t="s">
        <v>1031</v>
      </c>
      <c r="AA42" t="s">
        <v>74</v>
      </c>
      <c r="AB42" t="s">
        <v>1032</v>
      </c>
      <c r="AC42" t="s">
        <v>1033</v>
      </c>
      <c r="AD42" t="s">
        <v>1034</v>
      </c>
      <c r="AE42" t="s">
        <v>1035</v>
      </c>
      <c r="AF42" t="s">
        <v>74</v>
      </c>
      <c r="AG42">
        <v>79</v>
      </c>
      <c r="AH42">
        <v>1</v>
      </c>
      <c r="AI42">
        <v>1</v>
      </c>
      <c r="AJ42">
        <v>0</v>
      </c>
      <c r="AK42">
        <v>3</v>
      </c>
      <c r="AL42" t="s">
        <v>794</v>
      </c>
      <c r="AM42" t="s">
        <v>795</v>
      </c>
      <c r="AN42" t="s">
        <v>796</v>
      </c>
      <c r="AO42" t="s">
        <v>1036</v>
      </c>
      <c r="AP42" t="s">
        <v>1037</v>
      </c>
      <c r="AQ42" t="s">
        <v>74</v>
      </c>
      <c r="AR42" t="s">
        <v>1038</v>
      </c>
      <c r="AS42" t="s">
        <v>1039</v>
      </c>
      <c r="AT42" t="s">
        <v>886</v>
      </c>
      <c r="AU42">
        <v>2023</v>
      </c>
      <c r="AV42">
        <v>19</v>
      </c>
      <c r="AW42">
        <v>4</v>
      </c>
      <c r="AX42" t="s">
        <v>74</v>
      </c>
      <c r="AY42" t="s">
        <v>74</v>
      </c>
      <c r="AZ42" t="s">
        <v>74</v>
      </c>
      <c r="BA42" t="s">
        <v>74</v>
      </c>
      <c r="BB42">
        <v>865</v>
      </c>
      <c r="BC42">
        <v>881</v>
      </c>
      <c r="BD42" t="s">
        <v>74</v>
      </c>
      <c r="BE42" t="s">
        <v>1040</v>
      </c>
      <c r="BF42" t="str">
        <f>HYPERLINK("http://dx.doi.org/10.5194/cp-19-865-2023","http://dx.doi.org/10.5194/cp-19-865-2023")</f>
        <v>http://dx.doi.org/10.5194/cp-19-865-2023</v>
      </c>
      <c r="BG42" t="s">
        <v>74</v>
      </c>
      <c r="BH42" t="s">
        <v>74</v>
      </c>
      <c r="BI42">
        <v>17</v>
      </c>
      <c r="BJ42" t="s">
        <v>1041</v>
      </c>
      <c r="BK42" t="s">
        <v>103</v>
      </c>
      <c r="BL42" t="s">
        <v>1042</v>
      </c>
      <c r="BM42" t="s">
        <v>1043</v>
      </c>
      <c r="BN42" t="s">
        <v>74</v>
      </c>
      <c r="BO42" t="s">
        <v>359</v>
      </c>
      <c r="BP42" t="s">
        <v>74</v>
      </c>
      <c r="BQ42" t="s">
        <v>74</v>
      </c>
      <c r="BR42" t="s">
        <v>106</v>
      </c>
      <c r="BS42" t="s">
        <v>1044</v>
      </c>
      <c r="BT42" t="str">
        <f>HYPERLINK("https%3A%2F%2Fwww.webofscience.com%2Fwos%2Fwoscc%2Ffull-record%2FWOS:000979908000001","View Full Record in Web of Science")</f>
        <v>View Full Record in Web of Science</v>
      </c>
    </row>
    <row r="43" spans="1:72" x14ac:dyDescent="0.15">
      <c r="A43" t="s">
        <v>72</v>
      </c>
      <c r="B43" t="s">
        <v>1045</v>
      </c>
      <c r="C43" t="s">
        <v>74</v>
      </c>
      <c r="D43" t="s">
        <v>74</v>
      </c>
      <c r="E43" t="s">
        <v>74</v>
      </c>
      <c r="F43" t="s">
        <v>1046</v>
      </c>
      <c r="G43" t="s">
        <v>74</v>
      </c>
      <c r="H43" t="s">
        <v>74</v>
      </c>
      <c r="I43" t="s">
        <v>1047</v>
      </c>
      <c r="J43" t="s">
        <v>1048</v>
      </c>
      <c r="K43" t="s">
        <v>74</v>
      </c>
      <c r="L43" t="s">
        <v>74</v>
      </c>
      <c r="M43" t="s">
        <v>78</v>
      </c>
      <c r="N43" t="s">
        <v>112</v>
      </c>
      <c r="O43" t="s">
        <v>74</v>
      </c>
      <c r="P43" t="s">
        <v>74</v>
      </c>
      <c r="Q43" t="s">
        <v>74</v>
      </c>
      <c r="R43" t="s">
        <v>74</v>
      </c>
      <c r="S43" t="s">
        <v>74</v>
      </c>
      <c r="T43" t="s">
        <v>1049</v>
      </c>
      <c r="U43" t="s">
        <v>1050</v>
      </c>
      <c r="V43" t="s">
        <v>1051</v>
      </c>
      <c r="W43" t="s">
        <v>1052</v>
      </c>
      <c r="X43" t="s">
        <v>1053</v>
      </c>
      <c r="Y43" t="s">
        <v>1054</v>
      </c>
      <c r="Z43" t="s">
        <v>1055</v>
      </c>
      <c r="AA43" t="s">
        <v>74</v>
      </c>
      <c r="AB43" t="s">
        <v>1056</v>
      </c>
      <c r="AC43" t="s">
        <v>1057</v>
      </c>
      <c r="AD43" t="s">
        <v>1058</v>
      </c>
      <c r="AE43" t="s">
        <v>1059</v>
      </c>
      <c r="AF43" t="s">
        <v>74</v>
      </c>
      <c r="AG43">
        <v>78</v>
      </c>
      <c r="AH43">
        <v>1</v>
      </c>
      <c r="AI43">
        <v>1</v>
      </c>
      <c r="AJ43">
        <v>6</v>
      </c>
      <c r="AK43">
        <v>12</v>
      </c>
      <c r="AL43" t="s">
        <v>447</v>
      </c>
      <c r="AM43" t="s">
        <v>448</v>
      </c>
      <c r="AN43" t="s">
        <v>449</v>
      </c>
      <c r="AO43" t="s">
        <v>1060</v>
      </c>
      <c r="AP43" t="s">
        <v>1061</v>
      </c>
      <c r="AQ43" t="s">
        <v>74</v>
      </c>
      <c r="AR43" t="s">
        <v>1048</v>
      </c>
      <c r="AS43" t="s">
        <v>1062</v>
      </c>
      <c r="AT43" t="s">
        <v>1063</v>
      </c>
      <c r="AU43">
        <v>2023</v>
      </c>
      <c r="AV43">
        <v>573</v>
      </c>
      <c r="AW43" t="s">
        <v>74</v>
      </c>
      <c r="AX43" t="s">
        <v>74</v>
      </c>
      <c r="AY43" t="s">
        <v>74</v>
      </c>
      <c r="AZ43" t="s">
        <v>74</v>
      </c>
      <c r="BA43" t="s">
        <v>74</v>
      </c>
      <c r="BB43" t="s">
        <v>74</v>
      </c>
      <c r="BC43" t="s">
        <v>74</v>
      </c>
      <c r="BD43">
        <v>739597</v>
      </c>
      <c r="BE43" t="s">
        <v>1064</v>
      </c>
      <c r="BF43" t="str">
        <f>HYPERLINK("http://dx.doi.org/10.1016/j.aquaculture.2023.739597","http://dx.doi.org/10.1016/j.aquaculture.2023.739597")</f>
        <v>http://dx.doi.org/10.1016/j.aquaculture.2023.739597</v>
      </c>
      <c r="BG43" t="s">
        <v>74</v>
      </c>
      <c r="BH43" t="s">
        <v>427</v>
      </c>
      <c r="BI43">
        <v>10</v>
      </c>
      <c r="BJ43" t="s">
        <v>1065</v>
      </c>
      <c r="BK43" t="s">
        <v>103</v>
      </c>
      <c r="BL43" t="s">
        <v>1065</v>
      </c>
      <c r="BM43" t="s">
        <v>1066</v>
      </c>
      <c r="BN43" t="s">
        <v>74</v>
      </c>
      <c r="BO43" t="s">
        <v>387</v>
      </c>
      <c r="BP43" t="s">
        <v>74</v>
      </c>
      <c r="BQ43" t="s">
        <v>74</v>
      </c>
      <c r="BR43" t="s">
        <v>106</v>
      </c>
      <c r="BS43" t="s">
        <v>1067</v>
      </c>
      <c r="BT43" t="str">
        <f>HYPERLINK("https%3A%2F%2Fwww.webofscience.com%2Fwos%2Fwoscc%2Ffull-record%2FWOS:000991113700001","View Full Record in Web of Science")</f>
        <v>View Full Record in Web of Science</v>
      </c>
    </row>
    <row r="44" spans="1:72" x14ac:dyDescent="0.15">
      <c r="A44" t="s">
        <v>72</v>
      </c>
      <c r="B44" t="s">
        <v>1068</v>
      </c>
      <c r="C44" t="s">
        <v>74</v>
      </c>
      <c r="D44" t="s">
        <v>74</v>
      </c>
      <c r="E44" t="s">
        <v>74</v>
      </c>
      <c r="F44" t="s">
        <v>1069</v>
      </c>
      <c r="G44" t="s">
        <v>74</v>
      </c>
      <c r="H44" t="s">
        <v>74</v>
      </c>
      <c r="I44" t="s">
        <v>1070</v>
      </c>
      <c r="J44" t="s">
        <v>1025</v>
      </c>
      <c r="K44" t="s">
        <v>74</v>
      </c>
      <c r="L44" t="s">
        <v>74</v>
      </c>
      <c r="M44" t="s">
        <v>78</v>
      </c>
      <c r="N44" t="s">
        <v>112</v>
      </c>
      <c r="O44" t="s">
        <v>74</v>
      </c>
      <c r="P44" t="s">
        <v>74</v>
      </c>
      <c r="Q44" t="s">
        <v>74</v>
      </c>
      <c r="R44" t="s">
        <v>74</v>
      </c>
      <c r="S44" t="s">
        <v>74</v>
      </c>
      <c r="T44" t="s">
        <v>74</v>
      </c>
      <c r="U44" t="s">
        <v>1071</v>
      </c>
      <c r="V44" t="s">
        <v>1072</v>
      </c>
      <c r="W44" t="s">
        <v>1073</v>
      </c>
      <c r="X44" t="s">
        <v>1074</v>
      </c>
      <c r="Y44" t="s">
        <v>1075</v>
      </c>
      <c r="Z44" t="s">
        <v>1076</v>
      </c>
      <c r="AA44" t="s">
        <v>1077</v>
      </c>
      <c r="AB44" t="s">
        <v>1078</v>
      </c>
      <c r="AC44" t="s">
        <v>1079</v>
      </c>
      <c r="AD44" t="s">
        <v>1080</v>
      </c>
      <c r="AE44" t="s">
        <v>1081</v>
      </c>
      <c r="AF44" t="s">
        <v>74</v>
      </c>
      <c r="AG44">
        <v>54</v>
      </c>
      <c r="AH44">
        <v>3</v>
      </c>
      <c r="AI44">
        <v>3</v>
      </c>
      <c r="AJ44">
        <v>3</v>
      </c>
      <c r="AK44">
        <v>4</v>
      </c>
      <c r="AL44" t="s">
        <v>794</v>
      </c>
      <c r="AM44" t="s">
        <v>795</v>
      </c>
      <c r="AN44" t="s">
        <v>796</v>
      </c>
      <c r="AO44" t="s">
        <v>1036</v>
      </c>
      <c r="AP44" t="s">
        <v>1037</v>
      </c>
      <c r="AQ44" t="s">
        <v>74</v>
      </c>
      <c r="AR44" t="s">
        <v>1038</v>
      </c>
      <c r="AS44" t="s">
        <v>1039</v>
      </c>
      <c r="AT44" t="s">
        <v>886</v>
      </c>
      <c r="AU44">
        <v>2023</v>
      </c>
      <c r="AV44">
        <v>19</v>
      </c>
      <c r="AW44">
        <v>4</v>
      </c>
      <c r="AX44" t="s">
        <v>74</v>
      </c>
      <c r="AY44" t="s">
        <v>74</v>
      </c>
      <c r="AZ44" t="s">
        <v>74</v>
      </c>
      <c r="BA44" t="s">
        <v>74</v>
      </c>
      <c r="BB44">
        <v>851</v>
      </c>
      <c r="BC44">
        <v>864</v>
      </c>
      <c r="BD44" t="s">
        <v>74</v>
      </c>
      <c r="BE44" t="s">
        <v>1082</v>
      </c>
      <c r="BF44" t="str">
        <f>HYPERLINK("http://dx.doi.org/10.5194/cp-19-851-2023","http://dx.doi.org/10.5194/cp-19-851-2023")</f>
        <v>http://dx.doi.org/10.5194/cp-19-851-2023</v>
      </c>
      <c r="BG44" t="s">
        <v>74</v>
      </c>
      <c r="BH44" t="s">
        <v>74</v>
      </c>
      <c r="BI44">
        <v>14</v>
      </c>
      <c r="BJ44" t="s">
        <v>1041</v>
      </c>
      <c r="BK44" t="s">
        <v>103</v>
      </c>
      <c r="BL44" t="s">
        <v>1042</v>
      </c>
      <c r="BM44" t="s">
        <v>1083</v>
      </c>
      <c r="BN44" t="s">
        <v>74</v>
      </c>
      <c r="BO44" t="s">
        <v>1084</v>
      </c>
      <c r="BP44" t="s">
        <v>74</v>
      </c>
      <c r="BQ44" t="s">
        <v>74</v>
      </c>
      <c r="BR44" t="s">
        <v>106</v>
      </c>
      <c r="BS44" t="s">
        <v>1085</v>
      </c>
      <c r="BT44" t="str">
        <f>HYPERLINK("https%3A%2F%2Fwww.webofscience.com%2Fwos%2Fwoscc%2Ffull-record%2FWOS:000979590000001","View Full Record in Web of Science")</f>
        <v>View Full Record in Web of Science</v>
      </c>
    </row>
    <row r="45" spans="1:72" x14ac:dyDescent="0.15">
      <c r="A45" t="s">
        <v>72</v>
      </c>
      <c r="B45" t="s">
        <v>1086</v>
      </c>
      <c r="C45" t="s">
        <v>74</v>
      </c>
      <c r="D45" t="s">
        <v>74</v>
      </c>
      <c r="E45" t="s">
        <v>74</v>
      </c>
      <c r="F45" t="s">
        <v>1087</v>
      </c>
      <c r="G45" t="s">
        <v>74</v>
      </c>
      <c r="H45" t="s">
        <v>74</v>
      </c>
      <c r="I45" t="s">
        <v>1088</v>
      </c>
      <c r="J45" t="s">
        <v>1089</v>
      </c>
      <c r="K45" t="s">
        <v>74</v>
      </c>
      <c r="L45" t="s">
        <v>74</v>
      </c>
      <c r="M45" t="s">
        <v>78</v>
      </c>
      <c r="N45" t="s">
        <v>112</v>
      </c>
      <c r="O45" t="s">
        <v>74</v>
      </c>
      <c r="P45" t="s">
        <v>74</v>
      </c>
      <c r="Q45" t="s">
        <v>74</v>
      </c>
      <c r="R45" t="s">
        <v>74</v>
      </c>
      <c r="S45" t="s">
        <v>74</v>
      </c>
      <c r="T45" t="s">
        <v>1090</v>
      </c>
      <c r="U45" t="s">
        <v>1091</v>
      </c>
      <c r="V45" t="s">
        <v>1092</v>
      </c>
      <c r="W45" t="s">
        <v>1093</v>
      </c>
      <c r="X45" t="s">
        <v>1094</v>
      </c>
      <c r="Y45" t="s">
        <v>1095</v>
      </c>
      <c r="Z45" t="s">
        <v>1096</v>
      </c>
      <c r="AA45" t="s">
        <v>1097</v>
      </c>
      <c r="AB45" t="s">
        <v>1098</v>
      </c>
      <c r="AC45" t="s">
        <v>1099</v>
      </c>
      <c r="AD45" t="s">
        <v>1099</v>
      </c>
      <c r="AE45" t="s">
        <v>1100</v>
      </c>
      <c r="AF45" t="s">
        <v>74</v>
      </c>
      <c r="AG45">
        <v>50</v>
      </c>
      <c r="AH45">
        <v>1</v>
      </c>
      <c r="AI45">
        <v>1</v>
      </c>
      <c r="AJ45">
        <v>3</v>
      </c>
      <c r="AK45">
        <v>4</v>
      </c>
      <c r="AL45" t="s">
        <v>1101</v>
      </c>
      <c r="AM45" t="s">
        <v>1102</v>
      </c>
      <c r="AN45" t="s">
        <v>1103</v>
      </c>
      <c r="AO45" t="s">
        <v>1104</v>
      </c>
      <c r="AP45" t="s">
        <v>1105</v>
      </c>
      <c r="AQ45" t="s">
        <v>74</v>
      </c>
      <c r="AR45" t="s">
        <v>1106</v>
      </c>
      <c r="AS45" t="s">
        <v>1107</v>
      </c>
      <c r="AT45" t="s">
        <v>1108</v>
      </c>
      <c r="AU45">
        <v>2022</v>
      </c>
      <c r="AV45">
        <v>63</v>
      </c>
      <c r="AW45" t="s">
        <v>1109</v>
      </c>
      <c r="AX45" t="s">
        <v>74</v>
      </c>
      <c r="AY45" t="s">
        <v>74</v>
      </c>
      <c r="AZ45" t="s">
        <v>74</v>
      </c>
      <c r="BA45" t="s">
        <v>74</v>
      </c>
      <c r="BB45">
        <v>101</v>
      </c>
      <c r="BC45">
        <v>106</v>
      </c>
      <c r="BD45" t="s">
        <v>1110</v>
      </c>
      <c r="BE45" t="s">
        <v>1111</v>
      </c>
      <c r="BF45" t="str">
        <f>HYPERLINK("http://dx.doi.org/10.1017/aog.2023.18","http://dx.doi.org/10.1017/aog.2023.18")</f>
        <v>http://dx.doi.org/10.1017/aog.2023.18</v>
      </c>
      <c r="BG45" t="s">
        <v>74</v>
      </c>
      <c r="BH45" t="s">
        <v>427</v>
      </c>
      <c r="BI45">
        <v>6</v>
      </c>
      <c r="BJ45" t="s">
        <v>801</v>
      </c>
      <c r="BK45" t="s">
        <v>103</v>
      </c>
      <c r="BL45" t="s">
        <v>802</v>
      </c>
      <c r="BM45" t="s">
        <v>1112</v>
      </c>
      <c r="BN45" t="s">
        <v>74</v>
      </c>
      <c r="BO45" t="s">
        <v>359</v>
      </c>
      <c r="BP45" t="s">
        <v>74</v>
      </c>
      <c r="BQ45" t="s">
        <v>74</v>
      </c>
      <c r="BR45" t="s">
        <v>106</v>
      </c>
      <c r="BS45" t="s">
        <v>1113</v>
      </c>
      <c r="BT45" t="str">
        <f>HYPERLINK("https%3A%2F%2Fwww.webofscience.com%2Fwos%2Fwoscc%2Ffull-record%2FWOS:000977305700001","View Full Record in Web of Science")</f>
        <v>View Full Record in Web of Science</v>
      </c>
    </row>
    <row r="46" spans="1:72" x14ac:dyDescent="0.15">
      <c r="A46" t="s">
        <v>72</v>
      </c>
      <c r="B46" t="s">
        <v>1114</v>
      </c>
      <c r="C46" t="s">
        <v>74</v>
      </c>
      <c r="D46" t="s">
        <v>74</v>
      </c>
      <c r="E46" t="s">
        <v>74</v>
      </c>
      <c r="F46" t="s">
        <v>1115</v>
      </c>
      <c r="G46" t="s">
        <v>74</v>
      </c>
      <c r="H46" t="s">
        <v>74</v>
      </c>
      <c r="I46" t="s">
        <v>1116</v>
      </c>
      <c r="J46" t="s">
        <v>1117</v>
      </c>
      <c r="K46" t="s">
        <v>74</v>
      </c>
      <c r="L46" t="s">
        <v>74</v>
      </c>
      <c r="M46" t="s">
        <v>78</v>
      </c>
      <c r="N46" t="s">
        <v>1118</v>
      </c>
      <c r="O46" t="s">
        <v>74</v>
      </c>
      <c r="P46" t="s">
        <v>74</v>
      </c>
      <c r="Q46" t="s">
        <v>74</v>
      </c>
      <c r="R46" t="s">
        <v>74</v>
      </c>
      <c r="S46" t="s">
        <v>74</v>
      </c>
      <c r="T46" t="s">
        <v>1119</v>
      </c>
      <c r="U46" t="s">
        <v>1120</v>
      </c>
      <c r="V46" t="s">
        <v>1121</v>
      </c>
      <c r="W46" t="s">
        <v>1122</v>
      </c>
      <c r="X46" t="s">
        <v>74</v>
      </c>
      <c r="Y46" t="s">
        <v>1123</v>
      </c>
      <c r="Z46" t="s">
        <v>1124</v>
      </c>
      <c r="AA46" t="s">
        <v>74</v>
      </c>
      <c r="AB46" t="s">
        <v>1125</v>
      </c>
      <c r="AC46" t="s">
        <v>1126</v>
      </c>
      <c r="AD46" t="s">
        <v>1127</v>
      </c>
      <c r="AE46" t="s">
        <v>1128</v>
      </c>
      <c r="AF46" t="s">
        <v>74</v>
      </c>
      <c r="AG46">
        <v>16</v>
      </c>
      <c r="AH46">
        <v>0</v>
      </c>
      <c r="AI46">
        <v>0</v>
      </c>
      <c r="AJ46">
        <v>1</v>
      </c>
      <c r="AK46">
        <v>2</v>
      </c>
      <c r="AL46" t="s">
        <v>1129</v>
      </c>
      <c r="AM46" t="s">
        <v>1130</v>
      </c>
      <c r="AN46" t="s">
        <v>1131</v>
      </c>
      <c r="AO46" t="s">
        <v>1132</v>
      </c>
      <c r="AP46" t="s">
        <v>1133</v>
      </c>
      <c r="AQ46" t="s">
        <v>74</v>
      </c>
      <c r="AR46" t="s">
        <v>1134</v>
      </c>
      <c r="AS46" t="s">
        <v>1135</v>
      </c>
      <c r="AT46" t="s">
        <v>1136</v>
      </c>
      <c r="AU46">
        <v>2023</v>
      </c>
      <c r="AV46">
        <v>11</v>
      </c>
      <c r="AW46" t="s">
        <v>74</v>
      </c>
      <c r="AX46" t="s">
        <v>74</v>
      </c>
      <c r="AY46" t="s">
        <v>74</v>
      </c>
      <c r="AZ46" t="s">
        <v>74</v>
      </c>
      <c r="BA46" t="s">
        <v>74</v>
      </c>
      <c r="BB46" t="s">
        <v>74</v>
      </c>
      <c r="BC46" t="s">
        <v>74</v>
      </c>
      <c r="BD46" t="s">
        <v>1137</v>
      </c>
      <c r="BE46" t="s">
        <v>1138</v>
      </c>
      <c r="BF46" t="str">
        <f>HYPERLINK("http://dx.doi.org/10.3897/BDJ.11.e101284","http://dx.doi.org/10.3897/BDJ.11.e101284")</f>
        <v>http://dx.doi.org/10.3897/BDJ.11.e101284</v>
      </c>
      <c r="BG46" t="s">
        <v>74</v>
      </c>
      <c r="BH46" t="s">
        <v>74</v>
      </c>
      <c r="BI46">
        <v>14</v>
      </c>
      <c r="BJ46" t="s">
        <v>1139</v>
      </c>
      <c r="BK46" t="s">
        <v>103</v>
      </c>
      <c r="BL46" t="s">
        <v>1140</v>
      </c>
      <c r="BM46" t="s">
        <v>1141</v>
      </c>
      <c r="BN46">
        <v>38362312</v>
      </c>
      <c r="BO46" t="s">
        <v>136</v>
      </c>
      <c r="BP46" t="s">
        <v>74</v>
      </c>
      <c r="BQ46" t="s">
        <v>74</v>
      </c>
      <c r="BR46" t="s">
        <v>106</v>
      </c>
      <c r="BS46" t="s">
        <v>1142</v>
      </c>
      <c r="BT46" t="str">
        <f>HYPERLINK("https%3A%2F%2Fwww.webofscience.com%2Fwos%2Fwoscc%2Ffull-record%2FWOS:000983096800001","View Full Record in Web of Science")</f>
        <v>View Full Record in Web of Science</v>
      </c>
    </row>
    <row r="47" spans="1:72" x14ac:dyDescent="0.15">
      <c r="A47" t="s">
        <v>72</v>
      </c>
      <c r="B47" t="s">
        <v>1143</v>
      </c>
      <c r="C47" t="s">
        <v>74</v>
      </c>
      <c r="D47" t="s">
        <v>74</v>
      </c>
      <c r="E47" t="s">
        <v>74</v>
      </c>
      <c r="F47" t="s">
        <v>1144</v>
      </c>
      <c r="G47" t="s">
        <v>74</v>
      </c>
      <c r="H47" t="s">
        <v>74</v>
      </c>
      <c r="I47" t="s">
        <v>1145</v>
      </c>
      <c r="J47" t="s">
        <v>1146</v>
      </c>
      <c r="K47" t="s">
        <v>74</v>
      </c>
      <c r="L47" t="s">
        <v>74</v>
      </c>
      <c r="M47" t="s">
        <v>78</v>
      </c>
      <c r="N47" t="s">
        <v>365</v>
      </c>
      <c r="O47" t="s">
        <v>74</v>
      </c>
      <c r="P47" t="s">
        <v>74</v>
      </c>
      <c r="Q47" t="s">
        <v>74</v>
      </c>
      <c r="R47" t="s">
        <v>74</v>
      </c>
      <c r="S47" t="s">
        <v>74</v>
      </c>
      <c r="T47" t="s">
        <v>1147</v>
      </c>
      <c r="U47" t="s">
        <v>1148</v>
      </c>
      <c r="V47" t="s">
        <v>1149</v>
      </c>
      <c r="W47" t="s">
        <v>1150</v>
      </c>
      <c r="X47" t="s">
        <v>1151</v>
      </c>
      <c r="Y47" t="s">
        <v>1152</v>
      </c>
      <c r="Z47" t="s">
        <v>1153</v>
      </c>
      <c r="AA47" t="s">
        <v>1154</v>
      </c>
      <c r="AB47" t="s">
        <v>1155</v>
      </c>
      <c r="AC47" t="s">
        <v>1156</v>
      </c>
      <c r="AD47" t="s">
        <v>1157</v>
      </c>
      <c r="AE47" t="s">
        <v>1158</v>
      </c>
      <c r="AF47" t="s">
        <v>74</v>
      </c>
      <c r="AG47">
        <v>118</v>
      </c>
      <c r="AH47">
        <v>2</v>
      </c>
      <c r="AI47">
        <v>2</v>
      </c>
      <c r="AJ47">
        <v>40</v>
      </c>
      <c r="AK47">
        <v>72</v>
      </c>
      <c r="AL47" t="s">
        <v>225</v>
      </c>
      <c r="AM47" t="s">
        <v>226</v>
      </c>
      <c r="AN47" t="s">
        <v>227</v>
      </c>
      <c r="AO47" t="s">
        <v>1159</v>
      </c>
      <c r="AP47" t="s">
        <v>1160</v>
      </c>
      <c r="AQ47" t="s">
        <v>74</v>
      </c>
      <c r="AR47" t="s">
        <v>1146</v>
      </c>
      <c r="AS47" t="s">
        <v>1161</v>
      </c>
      <c r="AT47" t="s">
        <v>570</v>
      </c>
      <c r="AU47">
        <v>2023</v>
      </c>
      <c r="AV47">
        <v>330</v>
      </c>
      <c r="AW47" t="s">
        <v>74</v>
      </c>
      <c r="AX47" t="s">
        <v>74</v>
      </c>
      <c r="AY47" t="s">
        <v>74</v>
      </c>
      <c r="AZ47" t="s">
        <v>74</v>
      </c>
      <c r="BA47" t="s">
        <v>74</v>
      </c>
      <c r="BB47" t="s">
        <v>74</v>
      </c>
      <c r="BC47" t="s">
        <v>74</v>
      </c>
      <c r="BD47">
        <v>138721</v>
      </c>
      <c r="BE47" t="s">
        <v>1162</v>
      </c>
      <c r="BF47" t="str">
        <f>HYPERLINK("http://dx.doi.org/10.1016/j.chemosphere.2023.138721","http://dx.doi.org/10.1016/j.chemosphere.2023.138721")</f>
        <v>http://dx.doi.org/10.1016/j.chemosphere.2023.138721</v>
      </c>
      <c r="BG47" t="s">
        <v>74</v>
      </c>
      <c r="BH47" t="s">
        <v>427</v>
      </c>
      <c r="BI47">
        <v>14</v>
      </c>
      <c r="BJ47" t="s">
        <v>1163</v>
      </c>
      <c r="BK47" t="s">
        <v>103</v>
      </c>
      <c r="BL47" t="s">
        <v>1164</v>
      </c>
      <c r="BM47" t="s">
        <v>1165</v>
      </c>
      <c r="BN47">
        <v>37080473</v>
      </c>
      <c r="BO47" t="s">
        <v>74</v>
      </c>
      <c r="BP47" t="s">
        <v>74</v>
      </c>
      <c r="BQ47" t="s">
        <v>74</v>
      </c>
      <c r="BR47" t="s">
        <v>106</v>
      </c>
      <c r="BS47" t="s">
        <v>1166</v>
      </c>
      <c r="BT47" t="str">
        <f>HYPERLINK("https%3A%2F%2Fwww.webofscience.com%2Fwos%2Fwoscc%2Ffull-record%2FWOS:000988688500001","View Full Record in Web of Science")</f>
        <v>View Full Record in Web of Science</v>
      </c>
    </row>
    <row r="48" spans="1:72" x14ac:dyDescent="0.15">
      <c r="A48" t="s">
        <v>72</v>
      </c>
      <c r="B48" t="s">
        <v>1167</v>
      </c>
      <c r="C48" t="s">
        <v>74</v>
      </c>
      <c r="D48" t="s">
        <v>74</v>
      </c>
      <c r="E48" t="s">
        <v>74</v>
      </c>
      <c r="F48" t="s">
        <v>1168</v>
      </c>
      <c r="G48" t="s">
        <v>74</v>
      </c>
      <c r="H48" t="s">
        <v>74</v>
      </c>
      <c r="I48" t="s">
        <v>1169</v>
      </c>
      <c r="J48" t="s">
        <v>1170</v>
      </c>
      <c r="K48" t="s">
        <v>74</v>
      </c>
      <c r="L48" t="s">
        <v>74</v>
      </c>
      <c r="M48" t="s">
        <v>78</v>
      </c>
      <c r="N48" t="s">
        <v>365</v>
      </c>
      <c r="O48" t="s">
        <v>74</v>
      </c>
      <c r="P48" t="s">
        <v>74</v>
      </c>
      <c r="Q48" t="s">
        <v>74</v>
      </c>
      <c r="R48" t="s">
        <v>74</v>
      </c>
      <c r="S48" t="s">
        <v>74</v>
      </c>
      <c r="T48" t="s">
        <v>1171</v>
      </c>
      <c r="U48" t="s">
        <v>1172</v>
      </c>
      <c r="V48" t="s">
        <v>1173</v>
      </c>
      <c r="W48" t="s">
        <v>1174</v>
      </c>
      <c r="X48" t="s">
        <v>1175</v>
      </c>
      <c r="Y48" t="s">
        <v>1176</v>
      </c>
      <c r="Z48" t="s">
        <v>1177</v>
      </c>
      <c r="AA48" t="s">
        <v>1178</v>
      </c>
      <c r="AB48" t="s">
        <v>1179</v>
      </c>
      <c r="AC48" t="s">
        <v>1180</v>
      </c>
      <c r="AD48" t="s">
        <v>1180</v>
      </c>
      <c r="AE48" t="s">
        <v>1181</v>
      </c>
      <c r="AF48" t="s">
        <v>74</v>
      </c>
      <c r="AG48">
        <v>82</v>
      </c>
      <c r="AH48">
        <v>1</v>
      </c>
      <c r="AI48">
        <v>1</v>
      </c>
      <c r="AJ48">
        <v>10</v>
      </c>
      <c r="AK48">
        <v>23</v>
      </c>
      <c r="AL48" t="s">
        <v>125</v>
      </c>
      <c r="AM48" t="s">
        <v>126</v>
      </c>
      <c r="AN48" t="s">
        <v>127</v>
      </c>
      <c r="AO48" t="s">
        <v>74</v>
      </c>
      <c r="AP48" t="s">
        <v>1182</v>
      </c>
      <c r="AQ48" t="s">
        <v>74</v>
      </c>
      <c r="AR48" t="s">
        <v>1183</v>
      </c>
      <c r="AS48" t="s">
        <v>1184</v>
      </c>
      <c r="AT48" t="s">
        <v>1136</v>
      </c>
      <c r="AU48">
        <v>2023</v>
      </c>
      <c r="AV48">
        <v>13</v>
      </c>
      <c r="AW48">
        <v>9</v>
      </c>
      <c r="AX48" t="s">
        <v>74</v>
      </c>
      <c r="AY48" t="s">
        <v>74</v>
      </c>
      <c r="AZ48" t="s">
        <v>74</v>
      </c>
      <c r="BA48" t="s">
        <v>74</v>
      </c>
      <c r="BB48" t="s">
        <v>74</v>
      </c>
      <c r="BC48" t="s">
        <v>74</v>
      </c>
      <c r="BD48">
        <v>5424</v>
      </c>
      <c r="BE48" t="s">
        <v>1185</v>
      </c>
      <c r="BF48" t="str">
        <f>HYPERLINK("http://dx.doi.org/10.3390/app13095424","http://dx.doi.org/10.3390/app13095424")</f>
        <v>http://dx.doi.org/10.3390/app13095424</v>
      </c>
      <c r="BG48" t="s">
        <v>74</v>
      </c>
      <c r="BH48" t="s">
        <v>74</v>
      </c>
      <c r="BI48">
        <v>28</v>
      </c>
      <c r="BJ48" t="s">
        <v>1186</v>
      </c>
      <c r="BK48" t="s">
        <v>103</v>
      </c>
      <c r="BL48" t="s">
        <v>1187</v>
      </c>
      <c r="BM48" t="s">
        <v>1188</v>
      </c>
      <c r="BN48" t="s">
        <v>74</v>
      </c>
      <c r="BO48" t="s">
        <v>136</v>
      </c>
      <c r="BP48" t="s">
        <v>74</v>
      </c>
      <c r="BQ48" t="s">
        <v>74</v>
      </c>
      <c r="BR48" t="s">
        <v>106</v>
      </c>
      <c r="BS48" t="s">
        <v>1189</v>
      </c>
      <c r="BT48" t="str">
        <f>HYPERLINK("https%3A%2F%2Fwww.webofscience.com%2Fwos%2Fwoscc%2Ffull-record%2FWOS:000986921000001","View Full Record in Web of Science")</f>
        <v>View Full Record in Web of Science</v>
      </c>
    </row>
    <row r="49" spans="1:72" x14ac:dyDescent="0.15">
      <c r="A49" t="s">
        <v>72</v>
      </c>
      <c r="B49" t="s">
        <v>1190</v>
      </c>
      <c r="C49" t="s">
        <v>74</v>
      </c>
      <c r="D49" t="s">
        <v>74</v>
      </c>
      <c r="E49" t="s">
        <v>74</v>
      </c>
      <c r="F49" t="s">
        <v>1191</v>
      </c>
      <c r="G49" t="s">
        <v>74</v>
      </c>
      <c r="H49" t="s">
        <v>74</v>
      </c>
      <c r="I49" t="s">
        <v>1192</v>
      </c>
      <c r="J49" t="s">
        <v>1193</v>
      </c>
      <c r="K49" t="s">
        <v>74</v>
      </c>
      <c r="L49" t="s">
        <v>74</v>
      </c>
      <c r="M49" t="s">
        <v>78</v>
      </c>
      <c r="N49" t="s">
        <v>112</v>
      </c>
      <c r="O49" t="s">
        <v>74</v>
      </c>
      <c r="P49" t="s">
        <v>74</v>
      </c>
      <c r="Q49" t="s">
        <v>74</v>
      </c>
      <c r="R49" t="s">
        <v>74</v>
      </c>
      <c r="S49" t="s">
        <v>74</v>
      </c>
      <c r="T49" t="s">
        <v>1194</v>
      </c>
      <c r="U49" t="s">
        <v>1195</v>
      </c>
      <c r="V49" t="s">
        <v>1196</v>
      </c>
      <c r="W49" t="s">
        <v>1197</v>
      </c>
      <c r="X49" t="s">
        <v>1198</v>
      </c>
      <c r="Y49" t="s">
        <v>1199</v>
      </c>
      <c r="Z49" t="s">
        <v>876</v>
      </c>
      <c r="AA49" t="s">
        <v>1200</v>
      </c>
      <c r="AB49" t="s">
        <v>74</v>
      </c>
      <c r="AC49" t="s">
        <v>1201</v>
      </c>
      <c r="AD49" t="s">
        <v>1202</v>
      </c>
      <c r="AE49" t="s">
        <v>1203</v>
      </c>
      <c r="AF49" t="s">
        <v>74</v>
      </c>
      <c r="AG49">
        <v>58</v>
      </c>
      <c r="AH49">
        <v>3</v>
      </c>
      <c r="AI49">
        <v>3</v>
      </c>
      <c r="AJ49">
        <v>16</v>
      </c>
      <c r="AK49">
        <v>39</v>
      </c>
      <c r="AL49" t="s">
        <v>447</v>
      </c>
      <c r="AM49" t="s">
        <v>448</v>
      </c>
      <c r="AN49" t="s">
        <v>449</v>
      </c>
      <c r="AO49" t="s">
        <v>1204</v>
      </c>
      <c r="AP49" t="s">
        <v>1205</v>
      </c>
      <c r="AQ49" t="s">
        <v>74</v>
      </c>
      <c r="AR49" t="s">
        <v>1206</v>
      </c>
      <c r="AS49" t="s">
        <v>1207</v>
      </c>
      <c r="AT49" t="s">
        <v>1208</v>
      </c>
      <c r="AU49">
        <v>2023</v>
      </c>
      <c r="AV49">
        <v>882</v>
      </c>
      <c r="AW49" t="s">
        <v>74</v>
      </c>
      <c r="AX49" t="s">
        <v>74</v>
      </c>
      <c r="AY49" t="s">
        <v>74</v>
      </c>
      <c r="AZ49" t="s">
        <v>74</v>
      </c>
      <c r="BA49" t="s">
        <v>74</v>
      </c>
      <c r="BB49" t="s">
        <v>74</v>
      </c>
      <c r="BC49" t="s">
        <v>74</v>
      </c>
      <c r="BD49">
        <v>163646</v>
      </c>
      <c r="BE49" t="s">
        <v>1209</v>
      </c>
      <c r="BF49" t="str">
        <f>HYPERLINK("http://dx.doi.org/10.1016/j.scitotenv.2023.163646","http://dx.doi.org/10.1016/j.scitotenv.2023.163646")</f>
        <v>http://dx.doi.org/10.1016/j.scitotenv.2023.163646</v>
      </c>
      <c r="BG49" t="s">
        <v>74</v>
      </c>
      <c r="BH49" t="s">
        <v>427</v>
      </c>
      <c r="BI49">
        <v>10</v>
      </c>
      <c r="BJ49" t="s">
        <v>1163</v>
      </c>
      <c r="BK49" t="s">
        <v>103</v>
      </c>
      <c r="BL49" t="s">
        <v>1164</v>
      </c>
      <c r="BM49" t="s">
        <v>1210</v>
      </c>
      <c r="BN49">
        <v>37094685</v>
      </c>
      <c r="BO49" t="s">
        <v>74</v>
      </c>
      <c r="BP49" t="s">
        <v>74</v>
      </c>
      <c r="BQ49" t="s">
        <v>74</v>
      </c>
      <c r="BR49" t="s">
        <v>106</v>
      </c>
      <c r="BS49" t="s">
        <v>1211</v>
      </c>
      <c r="BT49" t="str">
        <f>HYPERLINK("https%3A%2F%2Fwww.webofscience.com%2Fwos%2Fwoscc%2Ffull-record%2FWOS:000989930700001","View Full Record in Web of Science")</f>
        <v>View Full Record in Web of Science</v>
      </c>
    </row>
    <row r="50" spans="1:72" x14ac:dyDescent="0.15">
      <c r="A50" t="s">
        <v>72</v>
      </c>
      <c r="B50" t="s">
        <v>1212</v>
      </c>
      <c r="C50" t="s">
        <v>74</v>
      </c>
      <c r="D50" t="s">
        <v>74</v>
      </c>
      <c r="E50" t="s">
        <v>74</v>
      </c>
      <c r="F50" t="s">
        <v>1213</v>
      </c>
      <c r="G50" t="s">
        <v>74</v>
      </c>
      <c r="H50" t="s">
        <v>74</v>
      </c>
      <c r="I50" t="s">
        <v>1214</v>
      </c>
      <c r="J50" t="s">
        <v>1215</v>
      </c>
      <c r="K50" t="s">
        <v>74</v>
      </c>
      <c r="L50" t="s">
        <v>74</v>
      </c>
      <c r="M50" t="s">
        <v>78</v>
      </c>
      <c r="N50" t="s">
        <v>112</v>
      </c>
      <c r="O50" t="s">
        <v>74</v>
      </c>
      <c r="P50" t="s">
        <v>74</v>
      </c>
      <c r="Q50" t="s">
        <v>74</v>
      </c>
      <c r="R50" t="s">
        <v>74</v>
      </c>
      <c r="S50" t="s">
        <v>74</v>
      </c>
      <c r="T50" t="s">
        <v>1216</v>
      </c>
      <c r="U50" t="s">
        <v>1217</v>
      </c>
      <c r="V50" t="s">
        <v>1218</v>
      </c>
      <c r="W50" t="s">
        <v>1219</v>
      </c>
      <c r="X50" t="s">
        <v>1220</v>
      </c>
      <c r="Y50" t="s">
        <v>1221</v>
      </c>
      <c r="Z50" t="s">
        <v>1222</v>
      </c>
      <c r="AA50" t="s">
        <v>1223</v>
      </c>
      <c r="AB50" t="s">
        <v>1224</v>
      </c>
      <c r="AC50" t="s">
        <v>1225</v>
      </c>
      <c r="AD50" t="s">
        <v>1226</v>
      </c>
      <c r="AE50" t="s">
        <v>1227</v>
      </c>
      <c r="AF50" t="s">
        <v>74</v>
      </c>
      <c r="AG50">
        <v>76</v>
      </c>
      <c r="AH50">
        <v>0</v>
      </c>
      <c r="AI50">
        <v>0</v>
      </c>
      <c r="AJ50">
        <v>4</v>
      </c>
      <c r="AK50">
        <v>6</v>
      </c>
      <c r="AL50" t="s">
        <v>700</v>
      </c>
      <c r="AM50" t="s">
        <v>701</v>
      </c>
      <c r="AN50" t="s">
        <v>702</v>
      </c>
      <c r="AO50" t="s">
        <v>74</v>
      </c>
      <c r="AP50" t="s">
        <v>1228</v>
      </c>
      <c r="AQ50" t="s">
        <v>74</v>
      </c>
      <c r="AR50" t="s">
        <v>1229</v>
      </c>
      <c r="AS50" t="s">
        <v>1230</v>
      </c>
      <c r="AT50" t="s">
        <v>1136</v>
      </c>
      <c r="AU50">
        <v>2023</v>
      </c>
      <c r="AV50">
        <v>10</v>
      </c>
      <c r="AW50" t="s">
        <v>74</v>
      </c>
      <c r="AX50" t="s">
        <v>74</v>
      </c>
      <c r="AY50" t="s">
        <v>74</v>
      </c>
      <c r="AZ50" t="s">
        <v>74</v>
      </c>
      <c r="BA50" t="s">
        <v>74</v>
      </c>
      <c r="BB50" t="s">
        <v>74</v>
      </c>
      <c r="BC50" t="s">
        <v>74</v>
      </c>
      <c r="BD50">
        <v>1078908</v>
      </c>
      <c r="BE50" t="s">
        <v>1231</v>
      </c>
      <c r="BF50" t="str">
        <f>HYPERLINK("http://dx.doi.org/10.3389/fmars.2023.1078908","http://dx.doi.org/10.3389/fmars.2023.1078908")</f>
        <v>http://dx.doi.org/10.3389/fmars.2023.1078908</v>
      </c>
      <c r="BG50" t="s">
        <v>74</v>
      </c>
      <c r="BH50" t="s">
        <v>74</v>
      </c>
      <c r="BI50">
        <v>15</v>
      </c>
      <c r="BJ50" t="s">
        <v>636</v>
      </c>
      <c r="BK50" t="s">
        <v>103</v>
      </c>
      <c r="BL50" t="s">
        <v>637</v>
      </c>
      <c r="BM50" t="s">
        <v>1232</v>
      </c>
      <c r="BN50" t="s">
        <v>74</v>
      </c>
      <c r="BO50" t="s">
        <v>804</v>
      </c>
      <c r="BP50" t="s">
        <v>74</v>
      </c>
      <c r="BQ50" t="s">
        <v>74</v>
      </c>
      <c r="BR50" t="s">
        <v>106</v>
      </c>
      <c r="BS50" t="s">
        <v>1233</v>
      </c>
      <c r="BT50" t="str">
        <f>HYPERLINK("https%3A%2F%2Fwww.webofscience.com%2Fwos%2Fwoscc%2Ffull-record%2FWOS:000984820600001","View Full Record in Web of Science")</f>
        <v>View Full Record in Web of Science</v>
      </c>
    </row>
    <row r="51" spans="1:72" x14ac:dyDescent="0.15">
      <c r="A51" t="s">
        <v>72</v>
      </c>
      <c r="B51" t="s">
        <v>1234</v>
      </c>
      <c r="C51" t="s">
        <v>74</v>
      </c>
      <c r="D51" t="s">
        <v>74</v>
      </c>
      <c r="E51" t="s">
        <v>74</v>
      </c>
      <c r="F51" t="s">
        <v>1235</v>
      </c>
      <c r="G51" t="s">
        <v>74</v>
      </c>
      <c r="H51" t="s">
        <v>74</v>
      </c>
      <c r="I51" t="s">
        <v>1236</v>
      </c>
      <c r="J51" t="s">
        <v>577</v>
      </c>
      <c r="K51" t="s">
        <v>74</v>
      </c>
      <c r="L51" t="s">
        <v>74</v>
      </c>
      <c r="M51" t="s">
        <v>78</v>
      </c>
      <c r="N51" t="s">
        <v>112</v>
      </c>
      <c r="O51" t="s">
        <v>74</v>
      </c>
      <c r="P51" t="s">
        <v>74</v>
      </c>
      <c r="Q51" t="s">
        <v>74</v>
      </c>
      <c r="R51" t="s">
        <v>74</v>
      </c>
      <c r="S51" t="s">
        <v>74</v>
      </c>
      <c r="T51" t="s">
        <v>1237</v>
      </c>
      <c r="U51" t="s">
        <v>1238</v>
      </c>
      <c r="V51" t="s">
        <v>1239</v>
      </c>
      <c r="W51" t="s">
        <v>1240</v>
      </c>
      <c r="X51" t="s">
        <v>1241</v>
      </c>
      <c r="Y51" t="s">
        <v>1242</v>
      </c>
      <c r="Z51" t="s">
        <v>1243</v>
      </c>
      <c r="AA51" t="s">
        <v>1244</v>
      </c>
      <c r="AB51" t="s">
        <v>1245</v>
      </c>
      <c r="AC51" t="s">
        <v>1246</v>
      </c>
      <c r="AD51" t="s">
        <v>1247</v>
      </c>
      <c r="AE51" t="s">
        <v>1248</v>
      </c>
      <c r="AF51" t="s">
        <v>74</v>
      </c>
      <c r="AG51">
        <v>47</v>
      </c>
      <c r="AH51">
        <v>0</v>
      </c>
      <c r="AI51">
        <v>0</v>
      </c>
      <c r="AJ51">
        <v>5</v>
      </c>
      <c r="AK51">
        <v>9</v>
      </c>
      <c r="AL51" t="s">
        <v>125</v>
      </c>
      <c r="AM51" t="s">
        <v>126</v>
      </c>
      <c r="AN51" t="s">
        <v>127</v>
      </c>
      <c r="AO51" t="s">
        <v>74</v>
      </c>
      <c r="AP51" t="s">
        <v>589</v>
      </c>
      <c r="AQ51" t="s">
        <v>74</v>
      </c>
      <c r="AR51" t="s">
        <v>590</v>
      </c>
      <c r="AS51" t="s">
        <v>591</v>
      </c>
      <c r="AT51" t="s">
        <v>1136</v>
      </c>
      <c r="AU51">
        <v>2023</v>
      </c>
      <c r="AV51">
        <v>15</v>
      </c>
      <c r="AW51">
        <v>9</v>
      </c>
      <c r="AX51" t="s">
        <v>74</v>
      </c>
      <c r="AY51" t="s">
        <v>74</v>
      </c>
      <c r="AZ51" t="s">
        <v>74</v>
      </c>
      <c r="BA51" t="s">
        <v>74</v>
      </c>
      <c r="BB51" t="s">
        <v>74</v>
      </c>
      <c r="BC51" t="s">
        <v>74</v>
      </c>
      <c r="BD51">
        <v>7197</v>
      </c>
      <c r="BE51" t="s">
        <v>1249</v>
      </c>
      <c r="BF51" t="str">
        <f>HYPERLINK("http://dx.doi.org/10.3390/su15097197","http://dx.doi.org/10.3390/su15097197")</f>
        <v>http://dx.doi.org/10.3390/su15097197</v>
      </c>
      <c r="BG51" t="s">
        <v>74</v>
      </c>
      <c r="BH51" t="s">
        <v>74</v>
      </c>
      <c r="BI51">
        <v>13</v>
      </c>
      <c r="BJ51" t="s">
        <v>594</v>
      </c>
      <c r="BK51" t="s">
        <v>595</v>
      </c>
      <c r="BL51" t="s">
        <v>596</v>
      </c>
      <c r="BM51" t="s">
        <v>1250</v>
      </c>
      <c r="BN51" t="s">
        <v>74</v>
      </c>
      <c r="BO51" t="s">
        <v>359</v>
      </c>
      <c r="BP51" t="s">
        <v>74</v>
      </c>
      <c r="BQ51" t="s">
        <v>74</v>
      </c>
      <c r="BR51" t="s">
        <v>106</v>
      </c>
      <c r="BS51" t="s">
        <v>1251</v>
      </c>
      <c r="BT51" t="str">
        <f>HYPERLINK("https%3A%2F%2Fwww.webofscience.com%2Fwos%2Fwoscc%2Ffull-record%2FWOS:000987809600001","View Full Record in Web of Science")</f>
        <v>View Full Record in Web of Science</v>
      </c>
    </row>
    <row r="52" spans="1:72" x14ac:dyDescent="0.15">
      <c r="A52" t="s">
        <v>72</v>
      </c>
      <c r="B52" t="s">
        <v>1252</v>
      </c>
      <c r="C52" t="s">
        <v>74</v>
      </c>
      <c r="D52" t="s">
        <v>74</v>
      </c>
      <c r="E52" t="s">
        <v>74</v>
      </c>
      <c r="F52" t="s">
        <v>1253</v>
      </c>
      <c r="G52" t="s">
        <v>74</v>
      </c>
      <c r="H52" t="s">
        <v>74</v>
      </c>
      <c r="I52" t="s">
        <v>1254</v>
      </c>
      <c r="J52" t="s">
        <v>759</v>
      </c>
      <c r="K52" t="s">
        <v>74</v>
      </c>
      <c r="L52" t="s">
        <v>74</v>
      </c>
      <c r="M52" t="s">
        <v>78</v>
      </c>
      <c r="N52" t="s">
        <v>112</v>
      </c>
      <c r="O52" t="s">
        <v>74</v>
      </c>
      <c r="P52" t="s">
        <v>74</v>
      </c>
      <c r="Q52" t="s">
        <v>74</v>
      </c>
      <c r="R52" t="s">
        <v>74</v>
      </c>
      <c r="S52" t="s">
        <v>74</v>
      </c>
      <c r="T52" t="s">
        <v>1255</v>
      </c>
      <c r="U52" t="s">
        <v>1256</v>
      </c>
      <c r="V52" t="s">
        <v>1257</v>
      </c>
      <c r="W52" t="s">
        <v>1258</v>
      </c>
      <c r="X52" t="s">
        <v>74</v>
      </c>
      <c r="Y52" t="s">
        <v>1259</v>
      </c>
      <c r="Z52" t="s">
        <v>1260</v>
      </c>
      <c r="AA52" t="s">
        <v>74</v>
      </c>
      <c r="AB52" t="s">
        <v>74</v>
      </c>
      <c r="AC52" t="s">
        <v>1261</v>
      </c>
      <c r="AD52" t="s">
        <v>1262</v>
      </c>
      <c r="AE52" t="s">
        <v>1263</v>
      </c>
      <c r="AF52" t="s">
        <v>74</v>
      </c>
      <c r="AG52">
        <v>44</v>
      </c>
      <c r="AH52">
        <v>0</v>
      </c>
      <c r="AI52">
        <v>0</v>
      </c>
      <c r="AJ52">
        <v>1</v>
      </c>
      <c r="AK52">
        <v>3</v>
      </c>
      <c r="AL52" t="s">
        <v>768</v>
      </c>
      <c r="AM52" t="s">
        <v>179</v>
      </c>
      <c r="AN52" t="s">
        <v>769</v>
      </c>
      <c r="AO52" t="s">
        <v>770</v>
      </c>
      <c r="AP52" t="s">
        <v>771</v>
      </c>
      <c r="AQ52" t="s">
        <v>74</v>
      </c>
      <c r="AR52" t="s">
        <v>772</v>
      </c>
      <c r="AS52" t="s">
        <v>773</v>
      </c>
      <c r="AT52" t="s">
        <v>98</v>
      </c>
      <c r="AU52">
        <v>2023</v>
      </c>
      <c r="AV52">
        <v>46</v>
      </c>
      <c r="AW52">
        <v>5</v>
      </c>
      <c r="AX52" t="s">
        <v>74</v>
      </c>
      <c r="AY52" t="s">
        <v>74</v>
      </c>
      <c r="AZ52" t="s">
        <v>74</v>
      </c>
      <c r="BA52" t="s">
        <v>74</v>
      </c>
      <c r="BB52">
        <v>489</v>
      </c>
      <c r="BC52">
        <v>496</v>
      </c>
      <c r="BD52" t="s">
        <v>74</v>
      </c>
      <c r="BE52" t="s">
        <v>1264</v>
      </c>
      <c r="BF52" t="str">
        <f>HYPERLINK("http://dx.doi.org/10.1007/s00300-023-03136-6","http://dx.doi.org/10.1007/s00300-023-03136-6")</f>
        <v>http://dx.doi.org/10.1007/s00300-023-03136-6</v>
      </c>
      <c r="BG52" t="s">
        <v>74</v>
      </c>
      <c r="BH52" t="s">
        <v>427</v>
      </c>
      <c r="BI52">
        <v>8</v>
      </c>
      <c r="BJ52" t="s">
        <v>775</v>
      </c>
      <c r="BK52" t="s">
        <v>103</v>
      </c>
      <c r="BL52" t="s">
        <v>776</v>
      </c>
      <c r="BM52" t="s">
        <v>1265</v>
      </c>
      <c r="BN52" t="s">
        <v>74</v>
      </c>
      <c r="BO52" t="s">
        <v>387</v>
      </c>
      <c r="BP52" t="s">
        <v>74</v>
      </c>
      <c r="BQ52" t="s">
        <v>74</v>
      </c>
      <c r="BR52" t="s">
        <v>106</v>
      </c>
      <c r="BS52" t="s">
        <v>1266</v>
      </c>
      <c r="BT52" t="str">
        <f>HYPERLINK("https%3A%2F%2Fwww.webofscience.com%2Fwos%2Fwoscc%2Ffull-record%2FWOS:000976805300001","View Full Record in Web of Science")</f>
        <v>View Full Record in Web of Science</v>
      </c>
    </row>
    <row r="53" spans="1:72" x14ac:dyDescent="0.15">
      <c r="A53" t="s">
        <v>72</v>
      </c>
      <c r="B53" t="s">
        <v>1267</v>
      </c>
      <c r="C53" t="s">
        <v>74</v>
      </c>
      <c r="D53" t="s">
        <v>74</v>
      </c>
      <c r="E53" t="s">
        <v>74</v>
      </c>
      <c r="F53" t="s">
        <v>1268</v>
      </c>
      <c r="G53" t="s">
        <v>74</v>
      </c>
      <c r="H53" t="s">
        <v>74</v>
      </c>
      <c r="I53" t="s">
        <v>1269</v>
      </c>
      <c r="J53" t="s">
        <v>759</v>
      </c>
      <c r="K53" t="s">
        <v>74</v>
      </c>
      <c r="L53" t="s">
        <v>74</v>
      </c>
      <c r="M53" t="s">
        <v>78</v>
      </c>
      <c r="N53" t="s">
        <v>1270</v>
      </c>
      <c r="O53" t="s">
        <v>74</v>
      </c>
      <c r="P53" t="s">
        <v>74</v>
      </c>
      <c r="Q53" t="s">
        <v>74</v>
      </c>
      <c r="R53" t="s">
        <v>74</v>
      </c>
      <c r="S53" t="s">
        <v>74</v>
      </c>
      <c r="T53" t="s">
        <v>1271</v>
      </c>
      <c r="U53" t="s">
        <v>1272</v>
      </c>
      <c r="V53" t="s">
        <v>1273</v>
      </c>
      <c r="W53" t="s">
        <v>1274</v>
      </c>
      <c r="X53" t="s">
        <v>1275</v>
      </c>
      <c r="Y53" t="s">
        <v>1276</v>
      </c>
      <c r="Z53" t="s">
        <v>1277</v>
      </c>
      <c r="AA53" t="s">
        <v>1278</v>
      </c>
      <c r="AB53" t="s">
        <v>1279</v>
      </c>
      <c r="AC53" t="s">
        <v>1280</v>
      </c>
      <c r="AD53" t="s">
        <v>1281</v>
      </c>
      <c r="AE53" t="s">
        <v>1282</v>
      </c>
      <c r="AF53" t="s">
        <v>74</v>
      </c>
      <c r="AG53">
        <v>102</v>
      </c>
      <c r="AH53">
        <v>1</v>
      </c>
      <c r="AI53">
        <v>1</v>
      </c>
      <c r="AJ53">
        <v>4</v>
      </c>
      <c r="AK53">
        <v>9</v>
      </c>
      <c r="AL53" t="s">
        <v>768</v>
      </c>
      <c r="AM53" t="s">
        <v>179</v>
      </c>
      <c r="AN53" t="s">
        <v>769</v>
      </c>
      <c r="AO53" t="s">
        <v>770</v>
      </c>
      <c r="AP53" t="s">
        <v>771</v>
      </c>
      <c r="AQ53" t="s">
        <v>74</v>
      </c>
      <c r="AR53" t="s">
        <v>772</v>
      </c>
      <c r="AS53" t="s">
        <v>773</v>
      </c>
      <c r="AT53" t="s">
        <v>1283</v>
      </c>
      <c r="AU53">
        <v>2023</v>
      </c>
      <c r="AV53" t="s">
        <v>74</v>
      </c>
      <c r="AW53" t="s">
        <v>74</v>
      </c>
      <c r="AX53" t="s">
        <v>74</v>
      </c>
      <c r="AY53" t="s">
        <v>74</v>
      </c>
      <c r="AZ53" t="s">
        <v>74</v>
      </c>
      <c r="BA53" t="s">
        <v>74</v>
      </c>
      <c r="BB53" t="s">
        <v>74</v>
      </c>
      <c r="BC53" t="s">
        <v>74</v>
      </c>
      <c r="BD53" t="s">
        <v>74</v>
      </c>
      <c r="BE53" t="s">
        <v>1284</v>
      </c>
      <c r="BF53" t="str">
        <f>HYPERLINK("http://dx.doi.org/10.1007/s00300-023-03134-8","http://dx.doi.org/10.1007/s00300-023-03134-8")</f>
        <v>http://dx.doi.org/10.1007/s00300-023-03134-8</v>
      </c>
      <c r="BG53" t="s">
        <v>74</v>
      </c>
      <c r="BH53" t="s">
        <v>427</v>
      </c>
      <c r="BI53">
        <v>16</v>
      </c>
      <c r="BJ53" t="s">
        <v>775</v>
      </c>
      <c r="BK53" t="s">
        <v>103</v>
      </c>
      <c r="BL53" t="s">
        <v>776</v>
      </c>
      <c r="BM53" t="s">
        <v>1285</v>
      </c>
      <c r="BN53" t="s">
        <v>74</v>
      </c>
      <c r="BO53" t="s">
        <v>315</v>
      </c>
      <c r="BP53" t="s">
        <v>74</v>
      </c>
      <c r="BQ53" t="s">
        <v>74</v>
      </c>
      <c r="BR53" t="s">
        <v>106</v>
      </c>
      <c r="BS53" t="s">
        <v>1286</v>
      </c>
      <c r="BT53" t="str">
        <f>HYPERLINK("https%3A%2F%2Fwww.webofscience.com%2Fwos%2Fwoscc%2Ffull-record%2FWOS:000976805300002","View Full Record in Web of Science")</f>
        <v>View Full Record in Web of Science</v>
      </c>
    </row>
    <row r="54" spans="1:72" x14ac:dyDescent="0.15">
      <c r="A54" t="s">
        <v>72</v>
      </c>
      <c r="B54" t="s">
        <v>1287</v>
      </c>
      <c r="C54" t="s">
        <v>74</v>
      </c>
      <c r="D54" t="s">
        <v>74</v>
      </c>
      <c r="E54" t="s">
        <v>74</v>
      </c>
      <c r="F54" t="s">
        <v>1288</v>
      </c>
      <c r="G54" t="s">
        <v>74</v>
      </c>
      <c r="H54" t="s">
        <v>74</v>
      </c>
      <c r="I54" t="s">
        <v>1289</v>
      </c>
      <c r="J54" t="s">
        <v>846</v>
      </c>
      <c r="K54" t="s">
        <v>74</v>
      </c>
      <c r="L54" t="s">
        <v>74</v>
      </c>
      <c r="M54" t="s">
        <v>78</v>
      </c>
      <c r="N54" t="s">
        <v>112</v>
      </c>
      <c r="O54" t="s">
        <v>74</v>
      </c>
      <c r="P54" t="s">
        <v>74</v>
      </c>
      <c r="Q54" t="s">
        <v>74</v>
      </c>
      <c r="R54" t="s">
        <v>74</v>
      </c>
      <c r="S54" t="s">
        <v>74</v>
      </c>
      <c r="T54" t="s">
        <v>1290</v>
      </c>
      <c r="U54" t="s">
        <v>1291</v>
      </c>
      <c r="V54" t="s">
        <v>1292</v>
      </c>
      <c r="W54" t="s">
        <v>1293</v>
      </c>
      <c r="X54" t="s">
        <v>1294</v>
      </c>
      <c r="Y54" t="s">
        <v>1295</v>
      </c>
      <c r="Z54" t="s">
        <v>1296</v>
      </c>
      <c r="AA54" t="s">
        <v>74</v>
      </c>
      <c r="AB54" t="s">
        <v>1297</v>
      </c>
      <c r="AC54" t="s">
        <v>1298</v>
      </c>
      <c r="AD54" t="s">
        <v>1299</v>
      </c>
      <c r="AE54" t="s">
        <v>1300</v>
      </c>
      <c r="AF54" t="s">
        <v>74</v>
      </c>
      <c r="AG54">
        <v>80</v>
      </c>
      <c r="AH54">
        <v>0</v>
      </c>
      <c r="AI54">
        <v>0</v>
      </c>
      <c r="AJ54">
        <v>1</v>
      </c>
      <c r="AK54">
        <v>4</v>
      </c>
      <c r="AL54" t="s">
        <v>225</v>
      </c>
      <c r="AM54" t="s">
        <v>226</v>
      </c>
      <c r="AN54" t="s">
        <v>227</v>
      </c>
      <c r="AO54" t="s">
        <v>858</v>
      </c>
      <c r="AP54" t="s">
        <v>859</v>
      </c>
      <c r="AQ54" t="s">
        <v>74</v>
      </c>
      <c r="AR54" t="s">
        <v>860</v>
      </c>
      <c r="AS54" t="s">
        <v>861</v>
      </c>
      <c r="AT54" t="s">
        <v>232</v>
      </c>
      <c r="AU54">
        <v>2023</v>
      </c>
      <c r="AV54">
        <v>196</v>
      </c>
      <c r="AW54" t="s">
        <v>74</v>
      </c>
      <c r="AX54" t="s">
        <v>74</v>
      </c>
      <c r="AY54" t="s">
        <v>74</v>
      </c>
      <c r="AZ54" t="s">
        <v>74</v>
      </c>
      <c r="BA54" t="s">
        <v>74</v>
      </c>
      <c r="BB54" t="s">
        <v>74</v>
      </c>
      <c r="BC54" t="s">
        <v>74</v>
      </c>
      <c r="BD54">
        <v>104050</v>
      </c>
      <c r="BE54" t="s">
        <v>1301</v>
      </c>
      <c r="BF54" t="str">
        <f>HYPERLINK("http://dx.doi.org/10.1016/j.dsr.2023.104050","http://dx.doi.org/10.1016/j.dsr.2023.104050")</f>
        <v>http://dx.doi.org/10.1016/j.dsr.2023.104050</v>
      </c>
      <c r="BG54" t="s">
        <v>74</v>
      </c>
      <c r="BH54" t="s">
        <v>427</v>
      </c>
      <c r="BI54">
        <v>9</v>
      </c>
      <c r="BJ54" t="s">
        <v>863</v>
      </c>
      <c r="BK54" t="s">
        <v>103</v>
      </c>
      <c r="BL54" t="s">
        <v>863</v>
      </c>
      <c r="BM54" t="s">
        <v>1302</v>
      </c>
      <c r="BN54" t="s">
        <v>74</v>
      </c>
      <c r="BO54" t="s">
        <v>1303</v>
      </c>
      <c r="BP54" t="s">
        <v>74</v>
      </c>
      <c r="BQ54" t="s">
        <v>74</v>
      </c>
      <c r="BR54" t="s">
        <v>106</v>
      </c>
      <c r="BS54" t="s">
        <v>1304</v>
      </c>
      <c r="BT54" t="str">
        <f>HYPERLINK("https%3A%2F%2Fwww.webofscience.com%2Fwos%2Fwoscc%2Ffull-record%2FWOS:001002431900001","View Full Record in Web of Science")</f>
        <v>View Full Record in Web of Science</v>
      </c>
    </row>
    <row r="55" spans="1:72" x14ac:dyDescent="0.15">
      <c r="A55" t="s">
        <v>72</v>
      </c>
      <c r="B55" t="s">
        <v>1305</v>
      </c>
      <c r="C55" t="s">
        <v>74</v>
      </c>
      <c r="D55" t="s">
        <v>74</v>
      </c>
      <c r="E55" t="s">
        <v>74</v>
      </c>
      <c r="F55" t="s">
        <v>1306</v>
      </c>
      <c r="G55" t="s">
        <v>74</v>
      </c>
      <c r="H55" t="s">
        <v>74</v>
      </c>
      <c r="I55" t="s">
        <v>1307</v>
      </c>
      <c r="J55" t="s">
        <v>1308</v>
      </c>
      <c r="K55" t="s">
        <v>74</v>
      </c>
      <c r="L55" t="s">
        <v>74</v>
      </c>
      <c r="M55" t="s">
        <v>78</v>
      </c>
      <c r="N55" t="s">
        <v>112</v>
      </c>
      <c r="O55" t="s">
        <v>74</v>
      </c>
      <c r="P55" t="s">
        <v>74</v>
      </c>
      <c r="Q55" t="s">
        <v>74</v>
      </c>
      <c r="R55" t="s">
        <v>74</v>
      </c>
      <c r="S55" t="s">
        <v>74</v>
      </c>
      <c r="T55" t="s">
        <v>1309</v>
      </c>
      <c r="U55" t="s">
        <v>1310</v>
      </c>
      <c r="V55" t="s">
        <v>1311</v>
      </c>
      <c r="W55" t="s">
        <v>1312</v>
      </c>
      <c r="X55" t="s">
        <v>1313</v>
      </c>
      <c r="Y55" t="s">
        <v>1314</v>
      </c>
      <c r="Z55" t="s">
        <v>1315</v>
      </c>
      <c r="AA55" t="s">
        <v>74</v>
      </c>
      <c r="AB55" t="s">
        <v>1316</v>
      </c>
      <c r="AC55" t="s">
        <v>1317</v>
      </c>
      <c r="AD55" t="s">
        <v>1318</v>
      </c>
      <c r="AE55" t="s">
        <v>1319</v>
      </c>
      <c r="AF55" t="s">
        <v>74</v>
      </c>
      <c r="AG55">
        <v>42</v>
      </c>
      <c r="AH55">
        <v>0</v>
      </c>
      <c r="AI55">
        <v>0</v>
      </c>
      <c r="AJ55">
        <v>2</v>
      </c>
      <c r="AK55">
        <v>5</v>
      </c>
      <c r="AL55" t="s">
        <v>447</v>
      </c>
      <c r="AM55" t="s">
        <v>448</v>
      </c>
      <c r="AN55" t="s">
        <v>449</v>
      </c>
      <c r="AO55" t="s">
        <v>1320</v>
      </c>
      <c r="AP55" t="s">
        <v>74</v>
      </c>
      <c r="AQ55" t="s">
        <v>74</v>
      </c>
      <c r="AR55" t="s">
        <v>1321</v>
      </c>
      <c r="AS55" t="s">
        <v>1322</v>
      </c>
      <c r="AT55" t="s">
        <v>98</v>
      </c>
      <c r="AU55">
        <v>2023</v>
      </c>
      <c r="AV55">
        <v>72</v>
      </c>
      <c r="AW55" t="s">
        <v>74</v>
      </c>
      <c r="AX55" t="s">
        <v>74</v>
      </c>
      <c r="AY55" t="s">
        <v>74</v>
      </c>
      <c r="AZ55" t="s">
        <v>74</v>
      </c>
      <c r="BA55" t="s">
        <v>74</v>
      </c>
      <c r="BB55" t="s">
        <v>74</v>
      </c>
      <c r="BC55" t="s">
        <v>74</v>
      </c>
      <c r="BD55">
        <v>103099</v>
      </c>
      <c r="BE55" t="s">
        <v>1323</v>
      </c>
      <c r="BF55" t="str">
        <f>HYPERLINK("http://dx.doi.org/10.1016/j.algal.2023.103099","http://dx.doi.org/10.1016/j.algal.2023.103099")</f>
        <v>http://dx.doi.org/10.1016/j.algal.2023.103099</v>
      </c>
      <c r="BG55" t="s">
        <v>74</v>
      </c>
      <c r="BH55" t="s">
        <v>427</v>
      </c>
      <c r="BI55">
        <v>10</v>
      </c>
      <c r="BJ55" t="s">
        <v>531</v>
      </c>
      <c r="BK55" t="s">
        <v>103</v>
      </c>
      <c r="BL55" t="s">
        <v>531</v>
      </c>
      <c r="BM55" t="s">
        <v>1324</v>
      </c>
      <c r="BN55" t="s">
        <v>74</v>
      </c>
      <c r="BO55" t="s">
        <v>74</v>
      </c>
      <c r="BP55" t="s">
        <v>74</v>
      </c>
      <c r="BQ55" t="s">
        <v>74</v>
      </c>
      <c r="BR55" t="s">
        <v>106</v>
      </c>
      <c r="BS55" t="s">
        <v>1325</v>
      </c>
      <c r="BT55" t="str">
        <f>HYPERLINK("https%3A%2F%2Fwww.webofscience.com%2Fwos%2Fwoscc%2Ffull-record%2FWOS:000988534100001","View Full Record in Web of Science")</f>
        <v>View Full Record in Web of Science</v>
      </c>
    </row>
    <row r="56" spans="1:72" x14ac:dyDescent="0.15">
      <c r="A56" t="s">
        <v>72</v>
      </c>
      <c r="B56" t="s">
        <v>1326</v>
      </c>
      <c r="C56" t="s">
        <v>74</v>
      </c>
      <c r="D56" t="s">
        <v>74</v>
      </c>
      <c r="E56" t="s">
        <v>74</v>
      </c>
      <c r="F56" t="s">
        <v>1327</v>
      </c>
      <c r="G56" t="s">
        <v>74</v>
      </c>
      <c r="H56" t="s">
        <v>74</v>
      </c>
      <c r="I56" t="s">
        <v>1328</v>
      </c>
      <c r="J56" t="s">
        <v>1329</v>
      </c>
      <c r="K56" t="s">
        <v>74</v>
      </c>
      <c r="L56" t="s">
        <v>74</v>
      </c>
      <c r="M56" t="s">
        <v>78</v>
      </c>
      <c r="N56" t="s">
        <v>112</v>
      </c>
      <c r="O56" t="s">
        <v>74</v>
      </c>
      <c r="P56" t="s">
        <v>74</v>
      </c>
      <c r="Q56" t="s">
        <v>74</v>
      </c>
      <c r="R56" t="s">
        <v>74</v>
      </c>
      <c r="S56" t="s">
        <v>74</v>
      </c>
      <c r="T56" t="s">
        <v>1330</v>
      </c>
      <c r="U56" t="s">
        <v>1331</v>
      </c>
      <c r="V56" t="s">
        <v>1332</v>
      </c>
      <c r="W56" t="s">
        <v>1333</v>
      </c>
      <c r="X56" t="s">
        <v>1334</v>
      </c>
      <c r="Y56" t="s">
        <v>1335</v>
      </c>
      <c r="Z56" t="s">
        <v>1336</v>
      </c>
      <c r="AA56" t="s">
        <v>1337</v>
      </c>
      <c r="AB56" t="s">
        <v>1338</v>
      </c>
      <c r="AC56" t="s">
        <v>1339</v>
      </c>
      <c r="AD56" t="s">
        <v>1340</v>
      </c>
      <c r="AE56" t="s">
        <v>1341</v>
      </c>
      <c r="AF56" t="s">
        <v>74</v>
      </c>
      <c r="AG56">
        <v>48</v>
      </c>
      <c r="AH56">
        <v>0</v>
      </c>
      <c r="AI56">
        <v>0</v>
      </c>
      <c r="AJ56">
        <v>8</v>
      </c>
      <c r="AK56">
        <v>19</v>
      </c>
      <c r="AL56" t="s">
        <v>447</v>
      </c>
      <c r="AM56" t="s">
        <v>448</v>
      </c>
      <c r="AN56" t="s">
        <v>449</v>
      </c>
      <c r="AO56" t="s">
        <v>1342</v>
      </c>
      <c r="AP56" t="s">
        <v>1343</v>
      </c>
      <c r="AQ56" t="s">
        <v>74</v>
      </c>
      <c r="AR56" t="s">
        <v>1344</v>
      </c>
      <c r="AS56" t="s">
        <v>1345</v>
      </c>
      <c r="AT56" t="s">
        <v>1208</v>
      </c>
      <c r="AU56">
        <v>2023</v>
      </c>
      <c r="AV56">
        <v>317</v>
      </c>
      <c r="AW56" t="s">
        <v>74</v>
      </c>
      <c r="AX56" t="s">
        <v>74</v>
      </c>
      <c r="AY56" t="s">
        <v>74</v>
      </c>
      <c r="AZ56" t="s">
        <v>74</v>
      </c>
      <c r="BA56" t="s">
        <v>74</v>
      </c>
      <c r="BB56" t="s">
        <v>74</v>
      </c>
      <c r="BC56" t="s">
        <v>74</v>
      </c>
      <c r="BD56">
        <v>123900</v>
      </c>
      <c r="BE56" t="s">
        <v>1346</v>
      </c>
      <c r="BF56" t="str">
        <f>HYPERLINK("http://dx.doi.org/10.1016/j.seppur.2023.123900","http://dx.doi.org/10.1016/j.seppur.2023.123900")</f>
        <v>http://dx.doi.org/10.1016/j.seppur.2023.123900</v>
      </c>
      <c r="BG56" t="s">
        <v>74</v>
      </c>
      <c r="BH56" t="s">
        <v>427</v>
      </c>
      <c r="BI56">
        <v>9</v>
      </c>
      <c r="BJ56" t="s">
        <v>1347</v>
      </c>
      <c r="BK56" t="s">
        <v>103</v>
      </c>
      <c r="BL56" t="s">
        <v>1348</v>
      </c>
      <c r="BM56" t="s">
        <v>1349</v>
      </c>
      <c r="BN56" t="s">
        <v>74</v>
      </c>
      <c r="BO56" t="s">
        <v>74</v>
      </c>
      <c r="BP56" t="s">
        <v>74</v>
      </c>
      <c r="BQ56" t="s">
        <v>74</v>
      </c>
      <c r="BR56" t="s">
        <v>106</v>
      </c>
      <c r="BS56" t="s">
        <v>1350</v>
      </c>
      <c r="BT56" t="str">
        <f>HYPERLINK("https%3A%2F%2Fwww.webofscience.com%2Fwos%2Fwoscc%2Ffull-record%2FWOS:000988015700001","View Full Record in Web of Science")</f>
        <v>View Full Record in Web of Science</v>
      </c>
    </row>
    <row r="57" spans="1:72" x14ac:dyDescent="0.15">
      <c r="A57" t="s">
        <v>72</v>
      </c>
      <c r="B57" t="s">
        <v>1351</v>
      </c>
      <c r="C57" t="s">
        <v>74</v>
      </c>
      <c r="D57" t="s">
        <v>74</v>
      </c>
      <c r="E57" t="s">
        <v>74</v>
      </c>
      <c r="F57" t="s">
        <v>1352</v>
      </c>
      <c r="G57" t="s">
        <v>74</v>
      </c>
      <c r="H57" t="s">
        <v>74</v>
      </c>
      <c r="I57" t="s">
        <v>1353</v>
      </c>
      <c r="J57" t="s">
        <v>1354</v>
      </c>
      <c r="K57" t="s">
        <v>74</v>
      </c>
      <c r="L57" t="s">
        <v>74</v>
      </c>
      <c r="M57" t="s">
        <v>78</v>
      </c>
      <c r="N57" t="s">
        <v>79</v>
      </c>
      <c r="O57" t="s">
        <v>74</v>
      </c>
      <c r="P57" t="s">
        <v>74</v>
      </c>
      <c r="Q57" t="s">
        <v>74</v>
      </c>
      <c r="R57" t="s">
        <v>74</v>
      </c>
      <c r="S57" t="s">
        <v>74</v>
      </c>
      <c r="T57" t="s">
        <v>74</v>
      </c>
      <c r="U57" t="s">
        <v>74</v>
      </c>
      <c r="V57" t="s">
        <v>1355</v>
      </c>
      <c r="W57" t="s">
        <v>74</v>
      </c>
      <c r="X57" t="s">
        <v>74</v>
      </c>
      <c r="Y57" t="s">
        <v>74</v>
      </c>
      <c r="Z57" t="s">
        <v>1356</v>
      </c>
      <c r="AA57" t="s">
        <v>74</v>
      </c>
      <c r="AB57" t="s">
        <v>74</v>
      </c>
      <c r="AC57" t="s">
        <v>74</v>
      </c>
      <c r="AD57" t="s">
        <v>74</v>
      </c>
      <c r="AE57" t="s">
        <v>74</v>
      </c>
      <c r="AF57" t="s">
        <v>74</v>
      </c>
      <c r="AG57">
        <v>2</v>
      </c>
      <c r="AH57">
        <v>0</v>
      </c>
      <c r="AI57">
        <v>0</v>
      </c>
      <c r="AJ57">
        <v>13</v>
      </c>
      <c r="AK57">
        <v>20</v>
      </c>
      <c r="AL57" t="s">
        <v>1357</v>
      </c>
      <c r="AM57" t="s">
        <v>525</v>
      </c>
      <c r="AN57" t="s">
        <v>1358</v>
      </c>
      <c r="AO57" t="s">
        <v>74</v>
      </c>
      <c r="AP57" t="s">
        <v>1359</v>
      </c>
      <c r="AQ57" t="s">
        <v>74</v>
      </c>
      <c r="AR57" t="s">
        <v>1360</v>
      </c>
      <c r="AS57" t="s">
        <v>1361</v>
      </c>
      <c r="AT57" t="s">
        <v>98</v>
      </c>
      <c r="AU57">
        <v>2023</v>
      </c>
      <c r="AV57">
        <v>4</v>
      </c>
      <c r="AW57">
        <v>5</v>
      </c>
      <c r="AX57" t="s">
        <v>74</v>
      </c>
      <c r="AY57" t="s">
        <v>74</v>
      </c>
      <c r="AZ57" t="s">
        <v>74</v>
      </c>
      <c r="BA57" t="s">
        <v>74</v>
      </c>
      <c r="BB57">
        <v>295</v>
      </c>
      <c r="BC57">
        <v>295</v>
      </c>
      <c r="BD57" t="s">
        <v>74</v>
      </c>
      <c r="BE57" t="s">
        <v>1362</v>
      </c>
      <c r="BF57" t="str">
        <f>HYPERLINK("http://dx.doi.org/10.1038/s43017-023-00434-9","http://dx.doi.org/10.1038/s43017-023-00434-9")</f>
        <v>http://dx.doi.org/10.1038/s43017-023-00434-9</v>
      </c>
      <c r="BG57" t="s">
        <v>74</v>
      </c>
      <c r="BH57" t="s">
        <v>427</v>
      </c>
      <c r="BI57">
        <v>1</v>
      </c>
      <c r="BJ57" t="s">
        <v>1363</v>
      </c>
      <c r="BK57" t="s">
        <v>103</v>
      </c>
      <c r="BL57" t="s">
        <v>1364</v>
      </c>
      <c r="BM57" t="s">
        <v>1365</v>
      </c>
      <c r="BN57" t="s">
        <v>74</v>
      </c>
      <c r="BO57" t="s">
        <v>74</v>
      </c>
      <c r="BP57" t="s">
        <v>74</v>
      </c>
      <c r="BQ57" t="s">
        <v>74</v>
      </c>
      <c r="BR57" t="s">
        <v>106</v>
      </c>
      <c r="BS57" t="s">
        <v>1366</v>
      </c>
      <c r="BT57" t="str">
        <f>HYPERLINK("https%3A%2F%2Fwww.webofscience.com%2Fwos%2Fwoscc%2Ffull-record%2FWOS:000976551400001","View Full Record in Web of Science")</f>
        <v>View Full Record in Web of Science</v>
      </c>
    </row>
    <row r="58" spans="1:72" x14ac:dyDescent="0.15">
      <c r="A58" t="s">
        <v>72</v>
      </c>
      <c r="B58" t="s">
        <v>1367</v>
      </c>
      <c r="C58" t="s">
        <v>74</v>
      </c>
      <c r="D58" t="s">
        <v>74</v>
      </c>
      <c r="E58" t="s">
        <v>74</v>
      </c>
      <c r="F58" t="s">
        <v>1368</v>
      </c>
      <c r="G58" t="s">
        <v>74</v>
      </c>
      <c r="H58" t="s">
        <v>74</v>
      </c>
      <c r="I58" t="s">
        <v>1369</v>
      </c>
      <c r="J58" t="s">
        <v>1370</v>
      </c>
      <c r="K58" t="s">
        <v>74</v>
      </c>
      <c r="L58" t="s">
        <v>74</v>
      </c>
      <c r="M58" t="s">
        <v>78</v>
      </c>
      <c r="N58" t="s">
        <v>112</v>
      </c>
      <c r="O58" t="s">
        <v>74</v>
      </c>
      <c r="P58" t="s">
        <v>74</v>
      </c>
      <c r="Q58" t="s">
        <v>74</v>
      </c>
      <c r="R58" t="s">
        <v>74</v>
      </c>
      <c r="S58" t="s">
        <v>74</v>
      </c>
      <c r="T58" t="s">
        <v>74</v>
      </c>
      <c r="U58" t="s">
        <v>1371</v>
      </c>
      <c r="V58" t="s">
        <v>1372</v>
      </c>
      <c r="W58" t="s">
        <v>1373</v>
      </c>
      <c r="X58" t="s">
        <v>1374</v>
      </c>
      <c r="Y58" t="s">
        <v>1375</v>
      </c>
      <c r="Z58" t="s">
        <v>1376</v>
      </c>
      <c r="AA58" t="s">
        <v>1377</v>
      </c>
      <c r="AB58" t="s">
        <v>1378</v>
      </c>
      <c r="AC58" t="s">
        <v>1379</v>
      </c>
      <c r="AD58" t="s">
        <v>1380</v>
      </c>
      <c r="AE58" t="s">
        <v>1381</v>
      </c>
      <c r="AF58" t="s">
        <v>74</v>
      </c>
      <c r="AG58">
        <v>78</v>
      </c>
      <c r="AH58">
        <v>2</v>
      </c>
      <c r="AI58">
        <v>2</v>
      </c>
      <c r="AJ58">
        <v>9</v>
      </c>
      <c r="AK58">
        <v>34</v>
      </c>
      <c r="AL58" t="s">
        <v>203</v>
      </c>
      <c r="AM58" t="s">
        <v>204</v>
      </c>
      <c r="AN58" t="s">
        <v>205</v>
      </c>
      <c r="AO58" t="s">
        <v>1382</v>
      </c>
      <c r="AP58" t="s">
        <v>74</v>
      </c>
      <c r="AQ58" t="s">
        <v>74</v>
      </c>
      <c r="AR58" t="s">
        <v>1383</v>
      </c>
      <c r="AS58" t="s">
        <v>1384</v>
      </c>
      <c r="AT58" t="s">
        <v>232</v>
      </c>
      <c r="AU58">
        <v>2023</v>
      </c>
      <c r="AV58">
        <v>8</v>
      </c>
      <c r="AW58">
        <v>6</v>
      </c>
      <c r="AX58" t="s">
        <v>74</v>
      </c>
      <c r="AY58" t="s">
        <v>74</v>
      </c>
      <c r="AZ58" t="s">
        <v>74</v>
      </c>
      <c r="BA58" t="s">
        <v>74</v>
      </c>
      <c r="BB58">
        <v>1137</v>
      </c>
      <c r="BC58" t="s">
        <v>1385</v>
      </c>
      <c r="BD58" t="s">
        <v>74</v>
      </c>
      <c r="BE58" t="s">
        <v>1386</v>
      </c>
      <c r="BF58" t="str">
        <f>HYPERLINK("http://dx.doi.org/10.1038/s41564-023-01374-2","http://dx.doi.org/10.1038/s41564-023-01374-2")</f>
        <v>http://dx.doi.org/10.1038/s41564-023-01374-2</v>
      </c>
      <c r="BG58" t="s">
        <v>74</v>
      </c>
      <c r="BH58" t="s">
        <v>427</v>
      </c>
      <c r="BI58">
        <v>24</v>
      </c>
      <c r="BJ58" t="s">
        <v>1387</v>
      </c>
      <c r="BK58" t="s">
        <v>103</v>
      </c>
      <c r="BL58" t="s">
        <v>1387</v>
      </c>
      <c r="BM58" t="s">
        <v>1388</v>
      </c>
      <c r="BN58">
        <v>37095175</v>
      </c>
      <c r="BO58" t="s">
        <v>1389</v>
      </c>
      <c r="BP58" t="s">
        <v>74</v>
      </c>
      <c r="BQ58" t="s">
        <v>74</v>
      </c>
      <c r="BR58" t="s">
        <v>106</v>
      </c>
      <c r="BS58" t="s">
        <v>1390</v>
      </c>
      <c r="BT58" t="str">
        <f>HYPERLINK("https%3A%2F%2Fwww.webofscience.com%2Fwos%2Fwoscc%2Ffull-record%2FWOS:000974963600001","View Full Record in Web of Science")</f>
        <v>View Full Record in Web of Science</v>
      </c>
    </row>
    <row r="59" spans="1:72" x14ac:dyDescent="0.15">
      <c r="A59" t="s">
        <v>72</v>
      </c>
      <c r="B59" t="s">
        <v>1391</v>
      </c>
      <c r="C59" t="s">
        <v>74</v>
      </c>
      <c r="D59" t="s">
        <v>74</v>
      </c>
      <c r="E59" t="s">
        <v>74</v>
      </c>
      <c r="F59" t="s">
        <v>1392</v>
      </c>
      <c r="G59" t="s">
        <v>74</v>
      </c>
      <c r="H59" t="s">
        <v>74</v>
      </c>
      <c r="I59" t="s">
        <v>1393</v>
      </c>
      <c r="J59" t="s">
        <v>1394</v>
      </c>
      <c r="K59" t="s">
        <v>74</v>
      </c>
      <c r="L59" t="s">
        <v>74</v>
      </c>
      <c r="M59" t="s">
        <v>78</v>
      </c>
      <c r="N59" t="s">
        <v>112</v>
      </c>
      <c r="O59" t="s">
        <v>74</v>
      </c>
      <c r="P59" t="s">
        <v>74</v>
      </c>
      <c r="Q59" t="s">
        <v>74</v>
      </c>
      <c r="R59" t="s">
        <v>74</v>
      </c>
      <c r="S59" t="s">
        <v>74</v>
      </c>
      <c r="T59" t="s">
        <v>1395</v>
      </c>
      <c r="U59" t="s">
        <v>1396</v>
      </c>
      <c r="V59" t="s">
        <v>1397</v>
      </c>
      <c r="W59" t="s">
        <v>1398</v>
      </c>
      <c r="X59" t="s">
        <v>1399</v>
      </c>
      <c r="Y59" t="s">
        <v>1400</v>
      </c>
      <c r="Z59" t="s">
        <v>1401</v>
      </c>
      <c r="AA59" t="s">
        <v>74</v>
      </c>
      <c r="AB59" t="s">
        <v>74</v>
      </c>
      <c r="AC59" t="s">
        <v>1402</v>
      </c>
      <c r="AD59" t="s">
        <v>1403</v>
      </c>
      <c r="AE59" t="s">
        <v>1404</v>
      </c>
      <c r="AF59" t="s">
        <v>74</v>
      </c>
      <c r="AG59">
        <v>52</v>
      </c>
      <c r="AH59">
        <v>0</v>
      </c>
      <c r="AI59">
        <v>0</v>
      </c>
      <c r="AJ59">
        <v>3</v>
      </c>
      <c r="AK59">
        <v>8</v>
      </c>
      <c r="AL59" t="s">
        <v>1405</v>
      </c>
      <c r="AM59" t="s">
        <v>226</v>
      </c>
      <c r="AN59" t="s">
        <v>1406</v>
      </c>
      <c r="AO59" t="s">
        <v>1407</v>
      </c>
      <c r="AP59" t="s">
        <v>1408</v>
      </c>
      <c r="AQ59" t="s">
        <v>74</v>
      </c>
      <c r="AR59" t="s">
        <v>1409</v>
      </c>
      <c r="AS59" t="s">
        <v>1410</v>
      </c>
      <c r="AT59" t="s">
        <v>232</v>
      </c>
      <c r="AU59">
        <v>2023</v>
      </c>
      <c r="AV59">
        <v>188</v>
      </c>
      <c r="AW59" t="s">
        <v>74</v>
      </c>
      <c r="AX59" t="s">
        <v>74</v>
      </c>
      <c r="AY59" t="s">
        <v>74</v>
      </c>
      <c r="AZ59" t="s">
        <v>74</v>
      </c>
      <c r="BA59" t="s">
        <v>74</v>
      </c>
      <c r="BB59" t="s">
        <v>74</v>
      </c>
      <c r="BC59" t="s">
        <v>74</v>
      </c>
      <c r="BD59">
        <v>105979</v>
      </c>
      <c r="BE59" t="s">
        <v>1411</v>
      </c>
      <c r="BF59" t="str">
        <f>HYPERLINK("http://dx.doi.org/10.1016/j.marenvres.2023.105979","http://dx.doi.org/10.1016/j.marenvres.2023.105979")</f>
        <v>http://dx.doi.org/10.1016/j.marenvres.2023.105979</v>
      </c>
      <c r="BG59" t="s">
        <v>74</v>
      </c>
      <c r="BH59" t="s">
        <v>427</v>
      </c>
      <c r="BI59">
        <v>10</v>
      </c>
      <c r="BJ59" t="s">
        <v>1412</v>
      </c>
      <c r="BK59" t="s">
        <v>103</v>
      </c>
      <c r="BL59" t="s">
        <v>1413</v>
      </c>
      <c r="BM59" t="s">
        <v>1414</v>
      </c>
      <c r="BN59">
        <v>37099993</v>
      </c>
      <c r="BO59" t="s">
        <v>74</v>
      </c>
      <c r="BP59" t="s">
        <v>74</v>
      </c>
      <c r="BQ59" t="s">
        <v>74</v>
      </c>
      <c r="BR59" t="s">
        <v>106</v>
      </c>
      <c r="BS59" t="s">
        <v>1415</v>
      </c>
      <c r="BT59" t="str">
        <f>HYPERLINK("https%3A%2F%2Fwww.webofscience.com%2Fwos%2Fwoscc%2Ffull-record%2FWOS:000989035600001","View Full Record in Web of Science")</f>
        <v>View Full Record in Web of Science</v>
      </c>
    </row>
    <row r="60" spans="1:72" x14ac:dyDescent="0.15">
      <c r="A60" t="s">
        <v>72</v>
      </c>
      <c r="B60" t="s">
        <v>1416</v>
      </c>
      <c r="C60" t="s">
        <v>74</v>
      </c>
      <c r="D60" t="s">
        <v>74</v>
      </c>
      <c r="E60" t="s">
        <v>74</v>
      </c>
      <c r="F60" t="s">
        <v>1417</v>
      </c>
      <c r="G60" t="s">
        <v>74</v>
      </c>
      <c r="H60" t="s">
        <v>74</v>
      </c>
      <c r="I60" t="s">
        <v>1418</v>
      </c>
      <c r="J60" t="s">
        <v>1419</v>
      </c>
      <c r="K60" t="s">
        <v>74</v>
      </c>
      <c r="L60" t="s">
        <v>74</v>
      </c>
      <c r="M60" t="s">
        <v>78</v>
      </c>
      <c r="N60" t="s">
        <v>112</v>
      </c>
      <c r="O60" t="s">
        <v>74</v>
      </c>
      <c r="P60" t="s">
        <v>74</v>
      </c>
      <c r="Q60" t="s">
        <v>74</v>
      </c>
      <c r="R60" t="s">
        <v>74</v>
      </c>
      <c r="S60" t="s">
        <v>74</v>
      </c>
      <c r="T60" t="s">
        <v>1420</v>
      </c>
      <c r="U60" t="s">
        <v>1421</v>
      </c>
      <c r="V60" t="s">
        <v>1422</v>
      </c>
      <c r="W60" t="s">
        <v>1423</v>
      </c>
      <c r="X60" t="s">
        <v>1424</v>
      </c>
      <c r="Y60" t="s">
        <v>1425</v>
      </c>
      <c r="Z60" t="s">
        <v>1426</v>
      </c>
      <c r="AA60" t="s">
        <v>74</v>
      </c>
      <c r="AB60" t="s">
        <v>1427</v>
      </c>
      <c r="AC60" t="s">
        <v>1428</v>
      </c>
      <c r="AD60" t="s">
        <v>1429</v>
      </c>
      <c r="AE60" t="s">
        <v>1430</v>
      </c>
      <c r="AF60" t="s">
        <v>74</v>
      </c>
      <c r="AG60">
        <v>130</v>
      </c>
      <c r="AH60">
        <v>3</v>
      </c>
      <c r="AI60">
        <v>3</v>
      </c>
      <c r="AJ60">
        <v>2</v>
      </c>
      <c r="AK60">
        <v>5</v>
      </c>
      <c r="AL60" t="s">
        <v>1431</v>
      </c>
      <c r="AM60" t="s">
        <v>525</v>
      </c>
      <c r="AN60" t="s">
        <v>1432</v>
      </c>
      <c r="AO60" t="s">
        <v>1433</v>
      </c>
      <c r="AP60" t="s">
        <v>1434</v>
      </c>
      <c r="AQ60" t="s">
        <v>74</v>
      </c>
      <c r="AR60" t="s">
        <v>1435</v>
      </c>
      <c r="AS60" t="s">
        <v>1436</v>
      </c>
      <c r="AT60" t="s">
        <v>1437</v>
      </c>
      <c r="AU60">
        <v>2023</v>
      </c>
      <c r="AV60">
        <v>80</v>
      </c>
      <c r="AW60" t="s">
        <v>74</v>
      </c>
      <c r="AX60" t="s">
        <v>74</v>
      </c>
      <c r="AY60" t="s">
        <v>74</v>
      </c>
      <c r="AZ60" t="s">
        <v>74</v>
      </c>
      <c r="BA60" t="s">
        <v>74</v>
      </c>
      <c r="BB60">
        <v>58</v>
      </c>
      <c r="BC60">
        <v>68</v>
      </c>
      <c r="BD60" t="s">
        <v>74</v>
      </c>
      <c r="BE60" t="s">
        <v>1438</v>
      </c>
      <c r="BF60" t="str">
        <f>HYPERLINK("http://dx.doi.org/10.1016/j.jhg.2023.02.004","http://dx.doi.org/10.1016/j.jhg.2023.02.004")</f>
        <v>http://dx.doi.org/10.1016/j.jhg.2023.02.004</v>
      </c>
      <c r="BG60" t="s">
        <v>74</v>
      </c>
      <c r="BH60" t="s">
        <v>427</v>
      </c>
      <c r="BI60">
        <v>11</v>
      </c>
      <c r="BJ60" t="s">
        <v>1439</v>
      </c>
      <c r="BK60" t="s">
        <v>1440</v>
      </c>
      <c r="BL60" t="s">
        <v>1441</v>
      </c>
      <c r="BM60" t="s">
        <v>1442</v>
      </c>
      <c r="BN60" t="s">
        <v>74</v>
      </c>
      <c r="BO60" t="s">
        <v>387</v>
      </c>
      <c r="BP60" t="s">
        <v>74</v>
      </c>
      <c r="BQ60" t="s">
        <v>74</v>
      </c>
      <c r="BR60" t="s">
        <v>106</v>
      </c>
      <c r="BS60" t="s">
        <v>1443</v>
      </c>
      <c r="BT60" t="str">
        <f>HYPERLINK("https%3A%2F%2Fwww.webofscience.com%2Fwos%2Fwoscc%2Ffull-record%2FWOS:000989032600001","View Full Record in Web of Science")</f>
        <v>View Full Record in Web of Science</v>
      </c>
    </row>
    <row r="61" spans="1:72" x14ac:dyDescent="0.15">
      <c r="A61" t="s">
        <v>72</v>
      </c>
      <c r="B61" t="s">
        <v>1444</v>
      </c>
      <c r="C61" t="s">
        <v>74</v>
      </c>
      <c r="D61" t="s">
        <v>74</v>
      </c>
      <c r="E61" t="s">
        <v>74</v>
      </c>
      <c r="F61" t="s">
        <v>1445</v>
      </c>
      <c r="G61" t="s">
        <v>74</v>
      </c>
      <c r="H61" t="s">
        <v>74</v>
      </c>
      <c r="I61" t="s">
        <v>1446</v>
      </c>
      <c r="J61" t="s">
        <v>1447</v>
      </c>
      <c r="K61" t="s">
        <v>74</v>
      </c>
      <c r="L61" t="s">
        <v>74</v>
      </c>
      <c r="M61" t="s">
        <v>78</v>
      </c>
      <c r="N61" t="s">
        <v>112</v>
      </c>
      <c r="O61" t="s">
        <v>74</v>
      </c>
      <c r="P61" t="s">
        <v>74</v>
      </c>
      <c r="Q61" t="s">
        <v>74</v>
      </c>
      <c r="R61" t="s">
        <v>74</v>
      </c>
      <c r="S61" t="s">
        <v>74</v>
      </c>
      <c r="T61" t="s">
        <v>1448</v>
      </c>
      <c r="U61" t="s">
        <v>1449</v>
      </c>
      <c r="V61" t="s">
        <v>1450</v>
      </c>
      <c r="W61" t="s">
        <v>1451</v>
      </c>
      <c r="X61" t="s">
        <v>1452</v>
      </c>
      <c r="Y61" t="s">
        <v>1453</v>
      </c>
      <c r="Z61" t="s">
        <v>1454</v>
      </c>
      <c r="AA61" t="s">
        <v>74</v>
      </c>
      <c r="AB61" t="s">
        <v>74</v>
      </c>
      <c r="AC61" t="s">
        <v>1455</v>
      </c>
      <c r="AD61" t="s">
        <v>74</v>
      </c>
      <c r="AE61" t="s">
        <v>1456</v>
      </c>
      <c r="AF61" t="s">
        <v>74</v>
      </c>
      <c r="AG61">
        <v>127</v>
      </c>
      <c r="AH61">
        <v>0</v>
      </c>
      <c r="AI61">
        <v>0</v>
      </c>
      <c r="AJ61">
        <v>3</v>
      </c>
      <c r="AK61">
        <v>5</v>
      </c>
      <c r="AL61" t="s">
        <v>225</v>
      </c>
      <c r="AM61" t="s">
        <v>226</v>
      </c>
      <c r="AN61" t="s">
        <v>227</v>
      </c>
      <c r="AO61" t="s">
        <v>1457</v>
      </c>
      <c r="AP61" t="s">
        <v>1458</v>
      </c>
      <c r="AQ61" t="s">
        <v>74</v>
      </c>
      <c r="AR61" t="s">
        <v>1459</v>
      </c>
      <c r="AS61" t="s">
        <v>1460</v>
      </c>
      <c r="AT61" t="s">
        <v>232</v>
      </c>
      <c r="AU61">
        <v>2023</v>
      </c>
      <c r="AV61">
        <v>126</v>
      </c>
      <c r="AW61" t="s">
        <v>74</v>
      </c>
      <c r="AX61" t="s">
        <v>74</v>
      </c>
      <c r="AY61" t="s">
        <v>74</v>
      </c>
      <c r="AZ61" t="s">
        <v>74</v>
      </c>
      <c r="BA61" t="s">
        <v>74</v>
      </c>
      <c r="BB61" t="s">
        <v>74</v>
      </c>
      <c r="BC61" t="s">
        <v>74</v>
      </c>
      <c r="BD61">
        <v>104333</v>
      </c>
      <c r="BE61" t="s">
        <v>1461</v>
      </c>
      <c r="BF61" t="str">
        <f>HYPERLINK("http://dx.doi.org/10.1016/j.jsames.2023.104333","http://dx.doi.org/10.1016/j.jsames.2023.104333")</f>
        <v>http://dx.doi.org/10.1016/j.jsames.2023.104333</v>
      </c>
      <c r="BG61" t="s">
        <v>74</v>
      </c>
      <c r="BH61" t="s">
        <v>427</v>
      </c>
      <c r="BI61">
        <v>17</v>
      </c>
      <c r="BJ61" t="s">
        <v>261</v>
      </c>
      <c r="BK61" t="s">
        <v>103</v>
      </c>
      <c r="BL61" t="s">
        <v>262</v>
      </c>
      <c r="BM61" t="s">
        <v>1462</v>
      </c>
      <c r="BN61" t="s">
        <v>74</v>
      </c>
      <c r="BO61" t="s">
        <v>387</v>
      </c>
      <c r="BP61" t="s">
        <v>74</v>
      </c>
      <c r="BQ61" t="s">
        <v>74</v>
      </c>
      <c r="BR61" t="s">
        <v>106</v>
      </c>
      <c r="BS61" t="s">
        <v>1463</v>
      </c>
      <c r="BT61" t="str">
        <f>HYPERLINK("https%3A%2F%2Fwww.webofscience.com%2Fwos%2Fwoscc%2Ffull-record%2FWOS:000987998400001","View Full Record in Web of Science")</f>
        <v>View Full Record in Web of Science</v>
      </c>
    </row>
    <row r="62" spans="1:72" x14ac:dyDescent="0.15">
      <c r="A62" t="s">
        <v>72</v>
      </c>
      <c r="B62" t="s">
        <v>1464</v>
      </c>
      <c r="C62" t="s">
        <v>74</v>
      </c>
      <c r="D62" t="s">
        <v>74</v>
      </c>
      <c r="E62" t="s">
        <v>74</v>
      </c>
      <c r="F62" t="s">
        <v>1465</v>
      </c>
      <c r="G62" t="s">
        <v>74</v>
      </c>
      <c r="H62" t="s">
        <v>74</v>
      </c>
      <c r="I62" t="s">
        <v>1466</v>
      </c>
      <c r="J62" t="s">
        <v>1467</v>
      </c>
      <c r="K62" t="s">
        <v>74</v>
      </c>
      <c r="L62" t="s">
        <v>74</v>
      </c>
      <c r="M62" t="s">
        <v>78</v>
      </c>
      <c r="N62" t="s">
        <v>112</v>
      </c>
      <c r="O62" t="s">
        <v>74</v>
      </c>
      <c r="P62" t="s">
        <v>74</v>
      </c>
      <c r="Q62" t="s">
        <v>74</v>
      </c>
      <c r="R62" t="s">
        <v>74</v>
      </c>
      <c r="S62" t="s">
        <v>74</v>
      </c>
      <c r="T62" t="s">
        <v>1468</v>
      </c>
      <c r="U62" t="s">
        <v>1469</v>
      </c>
      <c r="V62" t="s">
        <v>1470</v>
      </c>
      <c r="W62" t="s">
        <v>1471</v>
      </c>
      <c r="X62" t="s">
        <v>1472</v>
      </c>
      <c r="Y62" t="s">
        <v>1473</v>
      </c>
      <c r="Z62" t="s">
        <v>1474</v>
      </c>
      <c r="AA62" t="s">
        <v>74</v>
      </c>
      <c r="AB62" t="s">
        <v>1475</v>
      </c>
      <c r="AC62" t="s">
        <v>1476</v>
      </c>
      <c r="AD62" t="s">
        <v>1477</v>
      </c>
      <c r="AE62" t="s">
        <v>1478</v>
      </c>
      <c r="AF62" t="s">
        <v>74</v>
      </c>
      <c r="AG62">
        <v>19</v>
      </c>
      <c r="AH62">
        <v>0</v>
      </c>
      <c r="AI62">
        <v>0</v>
      </c>
      <c r="AJ62">
        <v>0</v>
      </c>
      <c r="AK62">
        <v>0</v>
      </c>
      <c r="AL62" t="s">
        <v>125</v>
      </c>
      <c r="AM62" t="s">
        <v>126</v>
      </c>
      <c r="AN62" t="s">
        <v>127</v>
      </c>
      <c r="AO62" t="s">
        <v>1479</v>
      </c>
      <c r="AP62" t="s">
        <v>74</v>
      </c>
      <c r="AQ62" t="s">
        <v>74</v>
      </c>
      <c r="AR62" t="s">
        <v>1480</v>
      </c>
      <c r="AS62" t="s">
        <v>1481</v>
      </c>
      <c r="AT62" t="s">
        <v>1482</v>
      </c>
      <c r="AU62">
        <v>2023</v>
      </c>
      <c r="AV62">
        <v>13</v>
      </c>
      <c r="AW62">
        <v>9</v>
      </c>
      <c r="AX62" t="s">
        <v>74</v>
      </c>
      <c r="AY62" t="s">
        <v>74</v>
      </c>
      <c r="AZ62" t="s">
        <v>74</v>
      </c>
      <c r="BA62" t="s">
        <v>74</v>
      </c>
      <c r="BB62" t="s">
        <v>74</v>
      </c>
      <c r="BC62" t="s">
        <v>74</v>
      </c>
      <c r="BD62">
        <v>1449</v>
      </c>
      <c r="BE62" t="s">
        <v>1483</v>
      </c>
      <c r="BF62" t="str">
        <f>HYPERLINK("http://dx.doi.org/10.3390/ani13091449","http://dx.doi.org/10.3390/ani13091449")</f>
        <v>http://dx.doi.org/10.3390/ani13091449</v>
      </c>
      <c r="BG62" t="s">
        <v>74</v>
      </c>
      <c r="BH62" t="s">
        <v>74</v>
      </c>
      <c r="BI62">
        <v>6</v>
      </c>
      <c r="BJ62" t="s">
        <v>1484</v>
      </c>
      <c r="BK62" t="s">
        <v>103</v>
      </c>
      <c r="BL62" t="s">
        <v>1485</v>
      </c>
      <c r="BM62" t="s">
        <v>1486</v>
      </c>
      <c r="BN62">
        <v>37174486</v>
      </c>
      <c r="BO62" t="s">
        <v>614</v>
      </c>
      <c r="BP62" t="s">
        <v>74</v>
      </c>
      <c r="BQ62" t="s">
        <v>74</v>
      </c>
      <c r="BR62" t="s">
        <v>106</v>
      </c>
      <c r="BS62" t="s">
        <v>1487</v>
      </c>
      <c r="BT62" t="str">
        <f>HYPERLINK("https%3A%2F%2Fwww.webofscience.com%2Fwos%2Fwoscc%2Ffull-record%2FWOS:000986935900001","View Full Record in Web of Science")</f>
        <v>View Full Record in Web of Science</v>
      </c>
    </row>
    <row r="63" spans="1:72" x14ac:dyDescent="0.15">
      <c r="A63" t="s">
        <v>72</v>
      </c>
      <c r="B63" t="s">
        <v>1488</v>
      </c>
      <c r="C63" t="s">
        <v>74</v>
      </c>
      <c r="D63" t="s">
        <v>74</v>
      </c>
      <c r="E63" t="s">
        <v>74</v>
      </c>
      <c r="F63" t="s">
        <v>1489</v>
      </c>
      <c r="G63" t="s">
        <v>74</v>
      </c>
      <c r="H63" t="s">
        <v>74</v>
      </c>
      <c r="I63" t="s">
        <v>1490</v>
      </c>
      <c r="J63" t="s">
        <v>1491</v>
      </c>
      <c r="K63" t="s">
        <v>74</v>
      </c>
      <c r="L63" t="s">
        <v>74</v>
      </c>
      <c r="M63" t="s">
        <v>78</v>
      </c>
      <c r="N63" t="s">
        <v>112</v>
      </c>
      <c r="O63" t="s">
        <v>74</v>
      </c>
      <c r="P63" t="s">
        <v>74</v>
      </c>
      <c r="Q63" t="s">
        <v>74</v>
      </c>
      <c r="R63" t="s">
        <v>74</v>
      </c>
      <c r="S63" t="s">
        <v>74</v>
      </c>
      <c r="T63" t="s">
        <v>74</v>
      </c>
      <c r="U63" t="s">
        <v>1492</v>
      </c>
      <c r="V63" t="s">
        <v>1493</v>
      </c>
      <c r="W63" t="s">
        <v>1494</v>
      </c>
      <c r="X63" t="s">
        <v>1495</v>
      </c>
      <c r="Y63" t="s">
        <v>1496</v>
      </c>
      <c r="Z63" t="s">
        <v>1497</v>
      </c>
      <c r="AA63" t="s">
        <v>74</v>
      </c>
      <c r="AB63" t="s">
        <v>1498</v>
      </c>
      <c r="AC63" t="s">
        <v>1499</v>
      </c>
      <c r="AD63" t="s">
        <v>1500</v>
      </c>
      <c r="AE63" t="s">
        <v>1501</v>
      </c>
      <c r="AF63" t="s">
        <v>74</v>
      </c>
      <c r="AG63">
        <v>88</v>
      </c>
      <c r="AH63">
        <v>5</v>
      </c>
      <c r="AI63">
        <v>5</v>
      </c>
      <c r="AJ63">
        <v>10</v>
      </c>
      <c r="AK63">
        <v>28</v>
      </c>
      <c r="AL63" t="s">
        <v>203</v>
      </c>
      <c r="AM63" t="s">
        <v>204</v>
      </c>
      <c r="AN63" t="s">
        <v>205</v>
      </c>
      <c r="AO63" t="s">
        <v>1502</v>
      </c>
      <c r="AP63" t="s">
        <v>1503</v>
      </c>
      <c r="AQ63" t="s">
        <v>74</v>
      </c>
      <c r="AR63" t="s">
        <v>1491</v>
      </c>
      <c r="AS63" t="s">
        <v>1504</v>
      </c>
      <c r="AT63" t="s">
        <v>1505</v>
      </c>
      <c r="AU63">
        <v>2023</v>
      </c>
      <c r="AV63">
        <v>617</v>
      </c>
      <c r="AW63">
        <v>7959</v>
      </c>
      <c r="AX63" t="s">
        <v>74</v>
      </c>
      <c r="AY63" t="s">
        <v>74</v>
      </c>
      <c r="AZ63" t="s">
        <v>74</v>
      </c>
      <c r="BA63" t="s">
        <v>74</v>
      </c>
      <c r="BB63">
        <v>100</v>
      </c>
      <c r="BC63" t="s">
        <v>1385</v>
      </c>
      <c r="BD63" t="s">
        <v>1506</v>
      </c>
      <c r="BE63" t="s">
        <v>1507</v>
      </c>
      <c r="BF63" t="str">
        <f>HYPERLINK("http://dx.doi.org/10.1038/s41586-023-05875-2","http://dx.doi.org/10.1038/s41586-023-05875-2")</f>
        <v>http://dx.doi.org/10.1038/s41586-023-05875-2</v>
      </c>
      <c r="BG63" t="s">
        <v>74</v>
      </c>
      <c r="BH63" t="s">
        <v>427</v>
      </c>
      <c r="BI63">
        <v>19</v>
      </c>
      <c r="BJ63" t="s">
        <v>210</v>
      </c>
      <c r="BK63" t="s">
        <v>103</v>
      </c>
      <c r="BL63" t="s">
        <v>211</v>
      </c>
      <c r="BM63" t="s">
        <v>1508</v>
      </c>
      <c r="BN63">
        <v>37095266</v>
      </c>
      <c r="BO63" t="s">
        <v>74</v>
      </c>
      <c r="BP63" t="s">
        <v>74</v>
      </c>
      <c r="BQ63" t="s">
        <v>74</v>
      </c>
      <c r="BR63" t="s">
        <v>106</v>
      </c>
      <c r="BS63" t="s">
        <v>1509</v>
      </c>
      <c r="BT63" t="str">
        <f>HYPERLINK("https%3A%2F%2Fwww.webofscience.com%2Fwos%2Fwoscc%2Ffull-record%2FWOS:000978095300003","View Full Record in Web of Science")</f>
        <v>View Full Record in Web of Science</v>
      </c>
    </row>
    <row r="64" spans="1:72" x14ac:dyDescent="0.15">
      <c r="A64" t="s">
        <v>72</v>
      </c>
      <c r="B64" t="s">
        <v>1510</v>
      </c>
      <c r="C64" t="s">
        <v>74</v>
      </c>
      <c r="D64" t="s">
        <v>74</v>
      </c>
      <c r="E64" t="s">
        <v>74</v>
      </c>
      <c r="F64" t="s">
        <v>1511</v>
      </c>
      <c r="G64" t="s">
        <v>74</v>
      </c>
      <c r="H64" t="s">
        <v>74</v>
      </c>
      <c r="I64" t="s">
        <v>1512</v>
      </c>
      <c r="J64" t="s">
        <v>1513</v>
      </c>
      <c r="K64" t="s">
        <v>74</v>
      </c>
      <c r="L64" t="s">
        <v>74</v>
      </c>
      <c r="M64" t="s">
        <v>78</v>
      </c>
      <c r="N64" t="s">
        <v>112</v>
      </c>
      <c r="O64" t="s">
        <v>74</v>
      </c>
      <c r="P64" t="s">
        <v>74</v>
      </c>
      <c r="Q64" t="s">
        <v>74</v>
      </c>
      <c r="R64" t="s">
        <v>74</v>
      </c>
      <c r="S64" t="s">
        <v>74</v>
      </c>
      <c r="T64" t="s">
        <v>1514</v>
      </c>
      <c r="U64" t="s">
        <v>74</v>
      </c>
      <c r="V64" t="s">
        <v>1515</v>
      </c>
      <c r="W64" t="s">
        <v>1516</v>
      </c>
      <c r="X64" t="s">
        <v>1517</v>
      </c>
      <c r="Y64" t="s">
        <v>1518</v>
      </c>
      <c r="Z64" t="s">
        <v>1519</v>
      </c>
      <c r="AA64" t="s">
        <v>1520</v>
      </c>
      <c r="AB64" t="s">
        <v>74</v>
      </c>
      <c r="AC64" t="s">
        <v>1521</v>
      </c>
      <c r="AD64" t="s">
        <v>1522</v>
      </c>
      <c r="AE64" t="s">
        <v>1523</v>
      </c>
      <c r="AF64" t="s">
        <v>74</v>
      </c>
      <c r="AG64">
        <v>58</v>
      </c>
      <c r="AH64">
        <v>0</v>
      </c>
      <c r="AI64">
        <v>0</v>
      </c>
      <c r="AJ64">
        <v>7</v>
      </c>
      <c r="AK64">
        <v>21</v>
      </c>
      <c r="AL64" t="s">
        <v>700</v>
      </c>
      <c r="AM64" t="s">
        <v>701</v>
      </c>
      <c r="AN64" t="s">
        <v>702</v>
      </c>
      <c r="AO64" t="s">
        <v>74</v>
      </c>
      <c r="AP64" t="s">
        <v>1524</v>
      </c>
      <c r="AQ64" t="s">
        <v>74</v>
      </c>
      <c r="AR64" t="s">
        <v>1525</v>
      </c>
      <c r="AS64" t="s">
        <v>1526</v>
      </c>
      <c r="AT64" t="s">
        <v>1482</v>
      </c>
      <c r="AU64">
        <v>2023</v>
      </c>
      <c r="AV64">
        <v>7</v>
      </c>
      <c r="AW64" t="s">
        <v>74</v>
      </c>
      <c r="AX64" t="s">
        <v>74</v>
      </c>
      <c r="AY64" t="s">
        <v>74</v>
      </c>
      <c r="AZ64" t="s">
        <v>74</v>
      </c>
      <c r="BA64" t="s">
        <v>74</v>
      </c>
      <c r="BB64" t="s">
        <v>74</v>
      </c>
      <c r="BC64" t="s">
        <v>74</v>
      </c>
      <c r="BD64">
        <v>1134687</v>
      </c>
      <c r="BE64" t="s">
        <v>1527</v>
      </c>
      <c r="BF64" t="str">
        <f>HYPERLINK("http://dx.doi.org/10.3389/fsufs.2023.1134687","http://dx.doi.org/10.3389/fsufs.2023.1134687")</f>
        <v>http://dx.doi.org/10.3389/fsufs.2023.1134687</v>
      </c>
      <c r="BG64" t="s">
        <v>74</v>
      </c>
      <c r="BH64" t="s">
        <v>74</v>
      </c>
      <c r="BI64">
        <v>12</v>
      </c>
      <c r="BJ64" t="s">
        <v>1528</v>
      </c>
      <c r="BK64" t="s">
        <v>103</v>
      </c>
      <c r="BL64" t="s">
        <v>1528</v>
      </c>
      <c r="BM64" t="s">
        <v>1529</v>
      </c>
      <c r="BN64" t="s">
        <v>74</v>
      </c>
      <c r="BO64" t="s">
        <v>359</v>
      </c>
      <c r="BP64" t="s">
        <v>74</v>
      </c>
      <c r="BQ64" t="s">
        <v>74</v>
      </c>
      <c r="BR64" t="s">
        <v>106</v>
      </c>
      <c r="BS64" t="s">
        <v>1530</v>
      </c>
      <c r="BT64" t="str">
        <f>HYPERLINK("https%3A%2F%2Fwww.webofscience.com%2Fwos%2Fwoscc%2Ffull-record%2FWOS:000982688800001","View Full Record in Web of Science")</f>
        <v>View Full Record in Web of Science</v>
      </c>
    </row>
    <row r="65" spans="1:72" x14ac:dyDescent="0.15">
      <c r="A65" t="s">
        <v>72</v>
      </c>
      <c r="B65" t="s">
        <v>1531</v>
      </c>
      <c r="C65" t="s">
        <v>74</v>
      </c>
      <c r="D65" t="s">
        <v>74</v>
      </c>
      <c r="E65" t="s">
        <v>74</v>
      </c>
      <c r="F65" t="s">
        <v>1532</v>
      </c>
      <c r="G65" t="s">
        <v>74</v>
      </c>
      <c r="H65" t="s">
        <v>74</v>
      </c>
      <c r="I65" t="s">
        <v>1533</v>
      </c>
      <c r="J65" t="s">
        <v>1534</v>
      </c>
      <c r="K65" t="s">
        <v>74</v>
      </c>
      <c r="L65" t="s">
        <v>74</v>
      </c>
      <c r="M65" t="s">
        <v>78</v>
      </c>
      <c r="N65" t="s">
        <v>112</v>
      </c>
      <c r="O65" t="s">
        <v>74</v>
      </c>
      <c r="P65" t="s">
        <v>74</v>
      </c>
      <c r="Q65" t="s">
        <v>74</v>
      </c>
      <c r="R65" t="s">
        <v>74</v>
      </c>
      <c r="S65" t="s">
        <v>74</v>
      </c>
      <c r="T65" t="s">
        <v>1535</v>
      </c>
      <c r="U65" t="s">
        <v>1536</v>
      </c>
      <c r="V65" t="s">
        <v>1537</v>
      </c>
      <c r="W65" t="s">
        <v>1538</v>
      </c>
      <c r="X65" t="s">
        <v>1539</v>
      </c>
      <c r="Y65" t="s">
        <v>1540</v>
      </c>
      <c r="Z65" t="s">
        <v>1541</v>
      </c>
      <c r="AA65" t="s">
        <v>74</v>
      </c>
      <c r="AB65" t="s">
        <v>1542</v>
      </c>
      <c r="AC65" t="s">
        <v>74</v>
      </c>
      <c r="AD65" t="s">
        <v>74</v>
      </c>
      <c r="AE65" t="s">
        <v>74</v>
      </c>
      <c r="AF65" t="s">
        <v>74</v>
      </c>
      <c r="AG65">
        <v>48</v>
      </c>
      <c r="AH65">
        <v>1</v>
      </c>
      <c r="AI65">
        <v>1</v>
      </c>
      <c r="AJ65">
        <v>3</v>
      </c>
      <c r="AK65">
        <v>3</v>
      </c>
      <c r="AL65" t="s">
        <v>1101</v>
      </c>
      <c r="AM65" t="s">
        <v>179</v>
      </c>
      <c r="AN65" t="s">
        <v>1543</v>
      </c>
      <c r="AO65" t="s">
        <v>1544</v>
      </c>
      <c r="AP65" t="s">
        <v>1545</v>
      </c>
      <c r="AQ65" t="s">
        <v>74</v>
      </c>
      <c r="AR65" t="s">
        <v>1546</v>
      </c>
      <c r="AS65" t="s">
        <v>1547</v>
      </c>
      <c r="AT65" t="s">
        <v>232</v>
      </c>
      <c r="AU65">
        <v>2023</v>
      </c>
      <c r="AV65">
        <v>35</v>
      </c>
      <c r="AW65">
        <v>3</v>
      </c>
      <c r="AX65" t="s">
        <v>74</v>
      </c>
      <c r="AY65" t="s">
        <v>74</v>
      </c>
      <c r="AZ65" t="s">
        <v>74</v>
      </c>
      <c r="BA65" t="s">
        <v>74</v>
      </c>
      <c r="BB65">
        <v>176</v>
      </c>
      <c r="BC65">
        <v>193</v>
      </c>
      <c r="BD65" t="s">
        <v>1548</v>
      </c>
      <c r="BE65" t="s">
        <v>1549</v>
      </c>
      <c r="BF65" t="str">
        <f>HYPERLINK("http://dx.doi.org/10.1017/S0954102022000517","http://dx.doi.org/10.1017/S0954102022000517")</f>
        <v>http://dx.doi.org/10.1017/S0954102022000517</v>
      </c>
      <c r="BG65" t="s">
        <v>74</v>
      </c>
      <c r="BH65" t="s">
        <v>427</v>
      </c>
      <c r="BI65">
        <v>18</v>
      </c>
      <c r="BJ65" t="s">
        <v>1550</v>
      </c>
      <c r="BK65" t="s">
        <v>103</v>
      </c>
      <c r="BL65" t="s">
        <v>1551</v>
      </c>
      <c r="BM65" t="s">
        <v>1552</v>
      </c>
      <c r="BN65" t="s">
        <v>74</v>
      </c>
      <c r="BO65" t="s">
        <v>1303</v>
      </c>
      <c r="BP65" t="s">
        <v>74</v>
      </c>
      <c r="BQ65" t="s">
        <v>74</v>
      </c>
      <c r="BR65" t="s">
        <v>106</v>
      </c>
      <c r="BS65" t="s">
        <v>1553</v>
      </c>
      <c r="BT65" t="str">
        <f>HYPERLINK("https%3A%2F%2Fwww.webofscience.com%2Fwos%2Fwoscc%2Ffull-record%2FWOS:000973847700001","View Full Record in Web of Science")</f>
        <v>View Full Record in Web of Science</v>
      </c>
    </row>
    <row r="66" spans="1:72" x14ac:dyDescent="0.15">
      <c r="A66" t="s">
        <v>72</v>
      </c>
      <c r="B66" t="s">
        <v>1554</v>
      </c>
      <c r="C66" t="s">
        <v>74</v>
      </c>
      <c r="D66" t="s">
        <v>74</v>
      </c>
      <c r="E66" t="s">
        <v>74</v>
      </c>
      <c r="F66" t="s">
        <v>1555</v>
      </c>
      <c r="G66" t="s">
        <v>74</v>
      </c>
      <c r="H66" t="s">
        <v>74</v>
      </c>
      <c r="I66" t="s">
        <v>1556</v>
      </c>
      <c r="J66" t="s">
        <v>759</v>
      </c>
      <c r="K66" t="s">
        <v>74</v>
      </c>
      <c r="L66" t="s">
        <v>74</v>
      </c>
      <c r="M66" t="s">
        <v>78</v>
      </c>
      <c r="N66" t="s">
        <v>365</v>
      </c>
      <c r="O66" t="s">
        <v>74</v>
      </c>
      <c r="P66" t="s">
        <v>74</v>
      </c>
      <c r="Q66" t="s">
        <v>74</v>
      </c>
      <c r="R66" t="s">
        <v>74</v>
      </c>
      <c r="S66" t="s">
        <v>74</v>
      </c>
      <c r="T66" t="s">
        <v>1557</v>
      </c>
      <c r="U66" t="s">
        <v>1558</v>
      </c>
      <c r="V66" t="s">
        <v>1559</v>
      </c>
      <c r="W66" t="s">
        <v>1560</v>
      </c>
      <c r="X66" t="s">
        <v>74</v>
      </c>
      <c r="Y66" t="s">
        <v>1561</v>
      </c>
      <c r="Z66" t="s">
        <v>1562</v>
      </c>
      <c r="AA66" t="s">
        <v>74</v>
      </c>
      <c r="AB66" t="s">
        <v>74</v>
      </c>
      <c r="AC66" t="s">
        <v>1563</v>
      </c>
      <c r="AD66" t="s">
        <v>1564</v>
      </c>
      <c r="AE66" t="s">
        <v>1565</v>
      </c>
      <c r="AF66" t="s">
        <v>74</v>
      </c>
      <c r="AG66">
        <v>96</v>
      </c>
      <c r="AH66">
        <v>2</v>
      </c>
      <c r="AI66">
        <v>2</v>
      </c>
      <c r="AJ66">
        <v>6</v>
      </c>
      <c r="AK66">
        <v>8</v>
      </c>
      <c r="AL66" t="s">
        <v>768</v>
      </c>
      <c r="AM66" t="s">
        <v>179</v>
      </c>
      <c r="AN66" t="s">
        <v>769</v>
      </c>
      <c r="AO66" t="s">
        <v>770</v>
      </c>
      <c r="AP66" t="s">
        <v>771</v>
      </c>
      <c r="AQ66" t="s">
        <v>74</v>
      </c>
      <c r="AR66" t="s">
        <v>772</v>
      </c>
      <c r="AS66" t="s">
        <v>773</v>
      </c>
      <c r="AT66" t="s">
        <v>98</v>
      </c>
      <c r="AU66">
        <v>2023</v>
      </c>
      <c r="AV66">
        <v>46</v>
      </c>
      <c r="AW66">
        <v>5</v>
      </c>
      <c r="AX66" t="s">
        <v>74</v>
      </c>
      <c r="AY66" t="s">
        <v>74</v>
      </c>
      <c r="AZ66" t="s">
        <v>74</v>
      </c>
      <c r="BA66" t="s">
        <v>74</v>
      </c>
      <c r="BB66">
        <v>397</v>
      </c>
      <c r="BC66">
        <v>407</v>
      </c>
      <c r="BD66" t="s">
        <v>74</v>
      </c>
      <c r="BE66" t="s">
        <v>1566</v>
      </c>
      <c r="BF66" t="str">
        <f>HYPERLINK("http://dx.doi.org/10.1007/s00300-023-03139-3","http://dx.doi.org/10.1007/s00300-023-03139-3")</f>
        <v>http://dx.doi.org/10.1007/s00300-023-03139-3</v>
      </c>
      <c r="BG66" t="s">
        <v>74</v>
      </c>
      <c r="BH66" t="s">
        <v>427</v>
      </c>
      <c r="BI66">
        <v>11</v>
      </c>
      <c r="BJ66" t="s">
        <v>775</v>
      </c>
      <c r="BK66" t="s">
        <v>103</v>
      </c>
      <c r="BL66" t="s">
        <v>776</v>
      </c>
      <c r="BM66" t="s">
        <v>1265</v>
      </c>
      <c r="BN66" t="s">
        <v>74</v>
      </c>
      <c r="BO66" t="s">
        <v>74</v>
      </c>
      <c r="BP66" t="s">
        <v>74</v>
      </c>
      <c r="BQ66" t="s">
        <v>74</v>
      </c>
      <c r="BR66" t="s">
        <v>106</v>
      </c>
      <c r="BS66" t="s">
        <v>1567</v>
      </c>
      <c r="BT66" t="str">
        <f>HYPERLINK("https%3A%2F%2Fwww.webofscience.com%2Fwos%2Fwoscc%2Ffull-record%2FWOS:000974971700001","View Full Record in Web of Science")</f>
        <v>View Full Record in Web of Science</v>
      </c>
    </row>
    <row r="67" spans="1:72" x14ac:dyDescent="0.15">
      <c r="A67" t="s">
        <v>72</v>
      </c>
      <c r="B67" t="s">
        <v>1568</v>
      </c>
      <c r="C67" t="s">
        <v>74</v>
      </c>
      <c r="D67" t="s">
        <v>74</v>
      </c>
      <c r="E67" t="s">
        <v>74</v>
      </c>
      <c r="F67" t="s">
        <v>1569</v>
      </c>
      <c r="G67" t="s">
        <v>74</v>
      </c>
      <c r="H67" t="s">
        <v>74</v>
      </c>
      <c r="I67" t="s">
        <v>1570</v>
      </c>
      <c r="J67" t="s">
        <v>1534</v>
      </c>
      <c r="K67" t="s">
        <v>74</v>
      </c>
      <c r="L67" t="s">
        <v>74</v>
      </c>
      <c r="M67" t="s">
        <v>78</v>
      </c>
      <c r="N67" t="s">
        <v>112</v>
      </c>
      <c r="O67" t="s">
        <v>74</v>
      </c>
      <c r="P67" t="s">
        <v>74</v>
      </c>
      <c r="Q67" t="s">
        <v>74</v>
      </c>
      <c r="R67" t="s">
        <v>74</v>
      </c>
      <c r="S67" t="s">
        <v>74</v>
      </c>
      <c r="T67" t="s">
        <v>1571</v>
      </c>
      <c r="U67" t="s">
        <v>1572</v>
      </c>
      <c r="V67" t="s">
        <v>1573</v>
      </c>
      <c r="W67" t="s">
        <v>1574</v>
      </c>
      <c r="X67" t="s">
        <v>1575</v>
      </c>
      <c r="Y67" t="s">
        <v>1576</v>
      </c>
      <c r="Z67" t="s">
        <v>1577</v>
      </c>
      <c r="AA67" t="s">
        <v>74</v>
      </c>
      <c r="AB67" t="s">
        <v>1578</v>
      </c>
      <c r="AC67" t="s">
        <v>74</v>
      </c>
      <c r="AD67" t="s">
        <v>74</v>
      </c>
      <c r="AE67" t="s">
        <v>74</v>
      </c>
      <c r="AF67" t="s">
        <v>74</v>
      </c>
      <c r="AG67">
        <v>47</v>
      </c>
      <c r="AH67">
        <v>2</v>
      </c>
      <c r="AI67">
        <v>2</v>
      </c>
      <c r="AJ67">
        <v>9</v>
      </c>
      <c r="AK67">
        <v>18</v>
      </c>
      <c r="AL67" t="s">
        <v>1101</v>
      </c>
      <c r="AM67" t="s">
        <v>179</v>
      </c>
      <c r="AN67" t="s">
        <v>1543</v>
      </c>
      <c r="AO67" t="s">
        <v>1544</v>
      </c>
      <c r="AP67" t="s">
        <v>1545</v>
      </c>
      <c r="AQ67" t="s">
        <v>74</v>
      </c>
      <c r="AR67" t="s">
        <v>1546</v>
      </c>
      <c r="AS67" t="s">
        <v>1547</v>
      </c>
      <c r="AT67" t="s">
        <v>1437</v>
      </c>
      <c r="AU67">
        <v>2023</v>
      </c>
      <c r="AV67">
        <v>35</v>
      </c>
      <c r="AW67">
        <v>2</v>
      </c>
      <c r="AX67" t="s">
        <v>74</v>
      </c>
      <c r="AY67" t="s">
        <v>74</v>
      </c>
      <c r="AZ67" t="s">
        <v>74</v>
      </c>
      <c r="BA67" t="s">
        <v>74</v>
      </c>
      <c r="BB67">
        <v>89</v>
      </c>
      <c r="BC67">
        <v>102</v>
      </c>
      <c r="BD67" t="s">
        <v>1579</v>
      </c>
      <c r="BE67" t="s">
        <v>1580</v>
      </c>
      <c r="BF67" t="str">
        <f>HYPERLINK("http://dx.doi.org/10.1017/S0954102023000068","http://dx.doi.org/10.1017/S0954102023000068")</f>
        <v>http://dx.doi.org/10.1017/S0954102023000068</v>
      </c>
      <c r="BG67" t="s">
        <v>74</v>
      </c>
      <c r="BH67" t="s">
        <v>427</v>
      </c>
      <c r="BI67">
        <v>14</v>
      </c>
      <c r="BJ67" t="s">
        <v>1550</v>
      </c>
      <c r="BK67" t="s">
        <v>103</v>
      </c>
      <c r="BL67" t="s">
        <v>1551</v>
      </c>
      <c r="BM67" t="s">
        <v>1581</v>
      </c>
      <c r="BN67" t="s">
        <v>74</v>
      </c>
      <c r="BO67" t="s">
        <v>387</v>
      </c>
      <c r="BP67" t="s">
        <v>74</v>
      </c>
      <c r="BQ67" t="s">
        <v>74</v>
      </c>
      <c r="BR67" t="s">
        <v>106</v>
      </c>
      <c r="BS67" t="s">
        <v>1582</v>
      </c>
      <c r="BT67" t="str">
        <f>HYPERLINK("https%3A%2F%2Fwww.webofscience.com%2Fwos%2Fwoscc%2Ffull-record%2FWOS:000973846800001","View Full Record in Web of Science")</f>
        <v>View Full Record in Web of Science</v>
      </c>
    </row>
    <row r="68" spans="1:72" x14ac:dyDescent="0.15">
      <c r="A68" t="s">
        <v>72</v>
      </c>
      <c r="B68" t="s">
        <v>1583</v>
      </c>
      <c r="C68" t="s">
        <v>74</v>
      </c>
      <c r="D68" t="s">
        <v>74</v>
      </c>
      <c r="E68" t="s">
        <v>74</v>
      </c>
      <c r="F68" t="s">
        <v>1584</v>
      </c>
      <c r="G68" t="s">
        <v>74</v>
      </c>
      <c r="H68" t="s">
        <v>74</v>
      </c>
      <c r="I68" t="s">
        <v>1585</v>
      </c>
      <c r="J68" t="s">
        <v>1586</v>
      </c>
      <c r="K68" t="s">
        <v>74</v>
      </c>
      <c r="L68" t="s">
        <v>74</v>
      </c>
      <c r="M68" t="s">
        <v>78</v>
      </c>
      <c r="N68" t="s">
        <v>112</v>
      </c>
      <c r="O68" t="s">
        <v>74</v>
      </c>
      <c r="P68" t="s">
        <v>74</v>
      </c>
      <c r="Q68" t="s">
        <v>74</v>
      </c>
      <c r="R68" t="s">
        <v>74</v>
      </c>
      <c r="S68" t="s">
        <v>74</v>
      </c>
      <c r="T68" t="s">
        <v>1587</v>
      </c>
      <c r="U68" t="s">
        <v>1588</v>
      </c>
      <c r="V68" t="s">
        <v>1589</v>
      </c>
      <c r="W68" t="s">
        <v>1590</v>
      </c>
      <c r="X68" t="s">
        <v>1591</v>
      </c>
      <c r="Y68" t="s">
        <v>1592</v>
      </c>
      <c r="Z68" t="s">
        <v>1593</v>
      </c>
      <c r="AA68" t="s">
        <v>1594</v>
      </c>
      <c r="AB68" t="s">
        <v>1595</v>
      </c>
      <c r="AC68" t="s">
        <v>1596</v>
      </c>
      <c r="AD68" t="s">
        <v>1597</v>
      </c>
      <c r="AE68" t="s">
        <v>1598</v>
      </c>
      <c r="AF68" t="s">
        <v>74</v>
      </c>
      <c r="AG68">
        <v>123</v>
      </c>
      <c r="AH68">
        <v>2</v>
      </c>
      <c r="AI68">
        <v>2</v>
      </c>
      <c r="AJ68">
        <v>17</v>
      </c>
      <c r="AK68">
        <v>32</v>
      </c>
      <c r="AL68" t="s">
        <v>1599</v>
      </c>
      <c r="AM68" t="s">
        <v>306</v>
      </c>
      <c r="AN68" t="s">
        <v>1600</v>
      </c>
      <c r="AO68" t="s">
        <v>74</v>
      </c>
      <c r="AP68" t="s">
        <v>1601</v>
      </c>
      <c r="AQ68" t="s">
        <v>74</v>
      </c>
      <c r="AR68" t="s">
        <v>1586</v>
      </c>
      <c r="AS68" t="s">
        <v>1602</v>
      </c>
      <c r="AT68" t="s">
        <v>1603</v>
      </c>
      <c r="AU68">
        <v>2023</v>
      </c>
      <c r="AV68">
        <v>8</v>
      </c>
      <c r="AW68">
        <v>3</v>
      </c>
      <c r="AX68" t="s">
        <v>74</v>
      </c>
      <c r="AY68" t="s">
        <v>74</v>
      </c>
      <c r="AZ68" t="s">
        <v>74</v>
      </c>
      <c r="BA68" t="s">
        <v>74</v>
      </c>
      <c r="BB68" t="s">
        <v>74</v>
      </c>
      <c r="BC68" t="s">
        <v>74</v>
      </c>
      <c r="BD68" t="s">
        <v>74</v>
      </c>
      <c r="BE68" t="s">
        <v>1604</v>
      </c>
      <c r="BF68" t="str">
        <f>HYPERLINK("http://dx.doi.org/10.1128/msphere.00420-22","http://dx.doi.org/10.1128/msphere.00420-22")</f>
        <v>http://dx.doi.org/10.1128/msphere.00420-22</v>
      </c>
      <c r="BG68" t="s">
        <v>74</v>
      </c>
      <c r="BH68" t="s">
        <v>427</v>
      </c>
      <c r="BI68">
        <v>17</v>
      </c>
      <c r="BJ68" t="s">
        <v>1387</v>
      </c>
      <c r="BK68" t="s">
        <v>103</v>
      </c>
      <c r="BL68" t="s">
        <v>1387</v>
      </c>
      <c r="BM68" t="s">
        <v>1605</v>
      </c>
      <c r="BN68">
        <v>37093039</v>
      </c>
      <c r="BO68" t="s">
        <v>136</v>
      </c>
      <c r="BP68" t="s">
        <v>74</v>
      </c>
      <c r="BQ68" t="s">
        <v>74</v>
      </c>
      <c r="BR68" t="s">
        <v>106</v>
      </c>
      <c r="BS68" t="s">
        <v>1606</v>
      </c>
      <c r="BT68" t="str">
        <f>HYPERLINK("https%3A%2F%2Fwww.webofscience.com%2Fwos%2Fwoscc%2Ffull-record%2FWOS:000974617200001","View Full Record in Web of Science")</f>
        <v>View Full Record in Web of Science</v>
      </c>
    </row>
    <row r="69" spans="1:72" x14ac:dyDescent="0.15">
      <c r="A69" t="s">
        <v>72</v>
      </c>
      <c r="B69" t="s">
        <v>1607</v>
      </c>
      <c r="C69" t="s">
        <v>74</v>
      </c>
      <c r="D69" t="s">
        <v>74</v>
      </c>
      <c r="E69" t="s">
        <v>74</v>
      </c>
      <c r="F69" t="s">
        <v>1608</v>
      </c>
      <c r="G69" t="s">
        <v>74</v>
      </c>
      <c r="H69" t="s">
        <v>74</v>
      </c>
      <c r="I69" t="s">
        <v>1609</v>
      </c>
      <c r="J69" t="s">
        <v>1534</v>
      </c>
      <c r="K69" t="s">
        <v>74</v>
      </c>
      <c r="L69" t="s">
        <v>74</v>
      </c>
      <c r="M69" t="s">
        <v>78</v>
      </c>
      <c r="N69" t="s">
        <v>112</v>
      </c>
      <c r="O69" t="s">
        <v>74</v>
      </c>
      <c r="P69" t="s">
        <v>74</v>
      </c>
      <c r="Q69" t="s">
        <v>74</v>
      </c>
      <c r="R69" t="s">
        <v>74</v>
      </c>
      <c r="S69" t="s">
        <v>74</v>
      </c>
      <c r="T69" t="s">
        <v>1610</v>
      </c>
      <c r="U69" t="s">
        <v>1611</v>
      </c>
      <c r="V69" t="s">
        <v>74</v>
      </c>
      <c r="W69" t="s">
        <v>1612</v>
      </c>
      <c r="X69" t="s">
        <v>1613</v>
      </c>
      <c r="Y69" t="s">
        <v>1614</v>
      </c>
      <c r="Z69" t="s">
        <v>1615</v>
      </c>
      <c r="AA69" t="s">
        <v>74</v>
      </c>
      <c r="AB69" t="s">
        <v>1616</v>
      </c>
      <c r="AC69" t="s">
        <v>74</v>
      </c>
      <c r="AD69" t="s">
        <v>74</v>
      </c>
      <c r="AE69" t="s">
        <v>74</v>
      </c>
      <c r="AF69" t="s">
        <v>74</v>
      </c>
      <c r="AG69">
        <v>15</v>
      </c>
      <c r="AH69">
        <v>2</v>
      </c>
      <c r="AI69">
        <v>2</v>
      </c>
      <c r="AJ69">
        <v>2</v>
      </c>
      <c r="AK69">
        <v>6</v>
      </c>
      <c r="AL69" t="s">
        <v>1101</v>
      </c>
      <c r="AM69" t="s">
        <v>179</v>
      </c>
      <c r="AN69" t="s">
        <v>1543</v>
      </c>
      <c r="AO69" t="s">
        <v>1544</v>
      </c>
      <c r="AP69" t="s">
        <v>1545</v>
      </c>
      <c r="AQ69" t="s">
        <v>74</v>
      </c>
      <c r="AR69" t="s">
        <v>1546</v>
      </c>
      <c r="AS69" t="s">
        <v>1547</v>
      </c>
      <c r="AT69" t="s">
        <v>1437</v>
      </c>
      <c r="AU69">
        <v>2023</v>
      </c>
      <c r="AV69">
        <v>35</v>
      </c>
      <c r="AW69">
        <v>2</v>
      </c>
      <c r="AX69" t="s">
        <v>74</v>
      </c>
      <c r="AY69" t="s">
        <v>74</v>
      </c>
      <c r="AZ69" t="s">
        <v>74</v>
      </c>
      <c r="BA69" t="s">
        <v>74</v>
      </c>
      <c r="BB69">
        <v>124</v>
      </c>
      <c r="BC69">
        <v>126</v>
      </c>
      <c r="BD69" t="s">
        <v>1617</v>
      </c>
      <c r="BE69" t="s">
        <v>1618</v>
      </c>
      <c r="BF69" t="str">
        <f>HYPERLINK("http://dx.doi.org/10.1017/S0954102023000056","http://dx.doi.org/10.1017/S0954102023000056")</f>
        <v>http://dx.doi.org/10.1017/S0954102023000056</v>
      </c>
      <c r="BG69" t="s">
        <v>74</v>
      </c>
      <c r="BH69" t="s">
        <v>427</v>
      </c>
      <c r="BI69">
        <v>3</v>
      </c>
      <c r="BJ69" t="s">
        <v>1550</v>
      </c>
      <c r="BK69" t="s">
        <v>103</v>
      </c>
      <c r="BL69" t="s">
        <v>1551</v>
      </c>
      <c r="BM69" t="s">
        <v>1581</v>
      </c>
      <c r="BN69" t="s">
        <v>74</v>
      </c>
      <c r="BO69" t="s">
        <v>387</v>
      </c>
      <c r="BP69" t="s">
        <v>74</v>
      </c>
      <c r="BQ69" t="s">
        <v>74</v>
      </c>
      <c r="BR69" t="s">
        <v>106</v>
      </c>
      <c r="BS69" t="s">
        <v>1619</v>
      </c>
      <c r="BT69" t="str">
        <f>HYPERLINK("https%3A%2F%2Fwww.webofscience.com%2Fwos%2Fwoscc%2Ffull-record%2FWOS:000972916100001","View Full Record in Web of Science")</f>
        <v>View Full Record in Web of Science</v>
      </c>
    </row>
    <row r="70" spans="1:72" x14ac:dyDescent="0.15">
      <c r="A70" t="s">
        <v>72</v>
      </c>
      <c r="B70" t="s">
        <v>1620</v>
      </c>
      <c r="C70" t="s">
        <v>74</v>
      </c>
      <c r="D70" t="s">
        <v>74</v>
      </c>
      <c r="E70" t="s">
        <v>74</v>
      </c>
      <c r="F70" t="s">
        <v>1621</v>
      </c>
      <c r="G70" t="s">
        <v>74</v>
      </c>
      <c r="H70" t="s">
        <v>74</v>
      </c>
      <c r="I70" t="s">
        <v>1622</v>
      </c>
      <c r="J70" t="s">
        <v>487</v>
      </c>
      <c r="K70" t="s">
        <v>74</v>
      </c>
      <c r="L70" t="s">
        <v>74</v>
      </c>
      <c r="M70" t="s">
        <v>78</v>
      </c>
      <c r="N70" t="s">
        <v>112</v>
      </c>
      <c r="O70" t="s">
        <v>74</v>
      </c>
      <c r="P70" t="s">
        <v>74</v>
      </c>
      <c r="Q70" t="s">
        <v>74</v>
      </c>
      <c r="R70" t="s">
        <v>74</v>
      </c>
      <c r="S70" t="s">
        <v>74</v>
      </c>
      <c r="T70" t="s">
        <v>1623</v>
      </c>
      <c r="U70" t="s">
        <v>1624</v>
      </c>
      <c r="V70" t="s">
        <v>1625</v>
      </c>
      <c r="W70" t="s">
        <v>1626</v>
      </c>
      <c r="X70" t="s">
        <v>1627</v>
      </c>
      <c r="Y70" t="s">
        <v>1628</v>
      </c>
      <c r="Z70" t="s">
        <v>1629</v>
      </c>
      <c r="AA70" t="s">
        <v>1630</v>
      </c>
      <c r="AB70" t="s">
        <v>1631</v>
      </c>
      <c r="AC70" t="s">
        <v>1632</v>
      </c>
      <c r="AD70" t="s">
        <v>1633</v>
      </c>
      <c r="AE70" t="s">
        <v>1634</v>
      </c>
      <c r="AF70" t="s">
        <v>74</v>
      </c>
      <c r="AG70">
        <v>42</v>
      </c>
      <c r="AH70">
        <v>0</v>
      </c>
      <c r="AI70">
        <v>0</v>
      </c>
      <c r="AJ70">
        <v>1</v>
      </c>
      <c r="AK70">
        <v>1</v>
      </c>
      <c r="AL70" t="s">
        <v>500</v>
      </c>
      <c r="AM70" t="s">
        <v>501</v>
      </c>
      <c r="AN70" t="s">
        <v>502</v>
      </c>
      <c r="AO70" t="s">
        <v>503</v>
      </c>
      <c r="AP70" t="s">
        <v>504</v>
      </c>
      <c r="AQ70" t="s">
        <v>74</v>
      </c>
      <c r="AR70" t="s">
        <v>505</v>
      </c>
      <c r="AS70" t="s">
        <v>506</v>
      </c>
      <c r="AT70" t="s">
        <v>1108</v>
      </c>
      <c r="AU70">
        <v>2023</v>
      </c>
      <c r="AV70">
        <v>40</v>
      </c>
      <c r="AW70">
        <v>9</v>
      </c>
      <c r="AX70" t="s">
        <v>74</v>
      </c>
      <c r="AY70" t="s">
        <v>74</v>
      </c>
      <c r="AZ70" t="s">
        <v>74</v>
      </c>
      <c r="BA70" t="s">
        <v>74</v>
      </c>
      <c r="BB70">
        <v>1662</v>
      </c>
      <c r="BC70">
        <v>1670</v>
      </c>
      <c r="BD70" t="s">
        <v>74</v>
      </c>
      <c r="BE70" t="s">
        <v>1635</v>
      </c>
      <c r="BF70" t="str">
        <f>HYPERLINK("http://dx.doi.org/10.1007/s00376-023-2287-3","http://dx.doi.org/10.1007/s00376-023-2287-3")</f>
        <v>http://dx.doi.org/10.1007/s00376-023-2287-3</v>
      </c>
      <c r="BG70" t="s">
        <v>74</v>
      </c>
      <c r="BH70" t="s">
        <v>427</v>
      </c>
      <c r="BI70">
        <v>9</v>
      </c>
      <c r="BJ70" t="s">
        <v>102</v>
      </c>
      <c r="BK70" t="s">
        <v>103</v>
      </c>
      <c r="BL70" t="s">
        <v>102</v>
      </c>
      <c r="BM70" t="s">
        <v>1636</v>
      </c>
      <c r="BN70" t="s">
        <v>74</v>
      </c>
      <c r="BO70" t="s">
        <v>74</v>
      </c>
      <c r="BP70" t="s">
        <v>74</v>
      </c>
      <c r="BQ70" t="s">
        <v>74</v>
      </c>
      <c r="BR70" t="s">
        <v>106</v>
      </c>
      <c r="BS70" t="s">
        <v>1637</v>
      </c>
      <c r="BT70" t="str">
        <f>HYPERLINK("https%3A%2F%2Fwww.webofscience.com%2Fwos%2Fwoscc%2Ffull-record%2FWOS:000973042700002","View Full Record in Web of Science")</f>
        <v>View Full Record in Web of Science</v>
      </c>
    </row>
    <row r="71" spans="1:72" x14ac:dyDescent="0.15">
      <c r="A71" t="s">
        <v>72</v>
      </c>
      <c r="B71" t="s">
        <v>1638</v>
      </c>
      <c r="C71" t="s">
        <v>74</v>
      </c>
      <c r="D71" t="s">
        <v>74</v>
      </c>
      <c r="E71" t="s">
        <v>74</v>
      </c>
      <c r="F71" t="s">
        <v>1639</v>
      </c>
      <c r="G71" t="s">
        <v>74</v>
      </c>
      <c r="H71" t="s">
        <v>74</v>
      </c>
      <c r="I71" t="s">
        <v>1640</v>
      </c>
      <c r="J71" t="s">
        <v>735</v>
      </c>
      <c r="K71" t="s">
        <v>74</v>
      </c>
      <c r="L71" t="s">
        <v>74</v>
      </c>
      <c r="M71" t="s">
        <v>78</v>
      </c>
      <c r="N71" t="s">
        <v>112</v>
      </c>
      <c r="O71" t="s">
        <v>74</v>
      </c>
      <c r="P71" t="s">
        <v>74</v>
      </c>
      <c r="Q71" t="s">
        <v>74</v>
      </c>
      <c r="R71" t="s">
        <v>74</v>
      </c>
      <c r="S71" t="s">
        <v>74</v>
      </c>
      <c r="T71" t="s">
        <v>1641</v>
      </c>
      <c r="U71" t="s">
        <v>1642</v>
      </c>
      <c r="V71" t="s">
        <v>1643</v>
      </c>
      <c r="W71" t="s">
        <v>1644</v>
      </c>
      <c r="X71" t="s">
        <v>1645</v>
      </c>
      <c r="Y71" t="s">
        <v>1646</v>
      </c>
      <c r="Z71" t="s">
        <v>1647</v>
      </c>
      <c r="AA71" t="s">
        <v>1648</v>
      </c>
      <c r="AB71" t="s">
        <v>1649</v>
      </c>
      <c r="AC71" t="s">
        <v>1650</v>
      </c>
      <c r="AD71" t="s">
        <v>1651</v>
      </c>
      <c r="AE71" t="s">
        <v>1652</v>
      </c>
      <c r="AF71" t="s">
        <v>74</v>
      </c>
      <c r="AG71">
        <v>37</v>
      </c>
      <c r="AH71">
        <v>0</v>
      </c>
      <c r="AI71">
        <v>0</v>
      </c>
      <c r="AJ71">
        <v>0</v>
      </c>
      <c r="AK71">
        <v>1</v>
      </c>
      <c r="AL71" t="s">
        <v>125</v>
      </c>
      <c r="AM71" t="s">
        <v>126</v>
      </c>
      <c r="AN71" t="s">
        <v>127</v>
      </c>
      <c r="AO71" t="s">
        <v>74</v>
      </c>
      <c r="AP71" t="s">
        <v>748</v>
      </c>
      <c r="AQ71" t="s">
        <v>74</v>
      </c>
      <c r="AR71" t="s">
        <v>749</v>
      </c>
      <c r="AS71" t="s">
        <v>750</v>
      </c>
      <c r="AT71" t="s">
        <v>1653</v>
      </c>
      <c r="AU71">
        <v>2023</v>
      </c>
      <c r="AV71">
        <v>15</v>
      </c>
      <c r="AW71">
        <v>9</v>
      </c>
      <c r="AX71" t="s">
        <v>74</v>
      </c>
      <c r="AY71" t="s">
        <v>74</v>
      </c>
      <c r="AZ71" t="s">
        <v>74</v>
      </c>
      <c r="BA71" t="s">
        <v>74</v>
      </c>
      <c r="BB71" t="s">
        <v>74</v>
      </c>
      <c r="BC71" t="s">
        <v>74</v>
      </c>
      <c r="BD71">
        <v>1642</v>
      </c>
      <c r="BE71" t="s">
        <v>1654</v>
      </c>
      <c r="BF71" t="str">
        <f>HYPERLINK("http://dx.doi.org/10.3390/w15091642","http://dx.doi.org/10.3390/w15091642")</f>
        <v>http://dx.doi.org/10.3390/w15091642</v>
      </c>
      <c r="BG71" t="s">
        <v>74</v>
      </c>
      <c r="BH71" t="s">
        <v>74</v>
      </c>
      <c r="BI71">
        <v>14</v>
      </c>
      <c r="BJ71" t="s">
        <v>752</v>
      </c>
      <c r="BK71" t="s">
        <v>103</v>
      </c>
      <c r="BL71" t="s">
        <v>753</v>
      </c>
      <c r="BM71" t="s">
        <v>1655</v>
      </c>
      <c r="BN71" t="s">
        <v>74</v>
      </c>
      <c r="BO71" t="s">
        <v>359</v>
      </c>
      <c r="BP71" t="s">
        <v>74</v>
      </c>
      <c r="BQ71" t="s">
        <v>74</v>
      </c>
      <c r="BR71" t="s">
        <v>106</v>
      </c>
      <c r="BS71" t="s">
        <v>1656</v>
      </c>
      <c r="BT71" t="str">
        <f>HYPERLINK("https%3A%2F%2Fwww.webofscience.com%2Fwos%2Fwoscc%2Ffull-record%2FWOS:000987876900001","View Full Record in Web of Science")</f>
        <v>View Full Record in Web of Science</v>
      </c>
    </row>
    <row r="72" spans="1:72" x14ac:dyDescent="0.15">
      <c r="A72" t="s">
        <v>72</v>
      </c>
      <c r="B72" t="s">
        <v>1657</v>
      </c>
      <c r="C72" t="s">
        <v>74</v>
      </c>
      <c r="D72" t="s">
        <v>74</v>
      </c>
      <c r="E72" t="s">
        <v>74</v>
      </c>
      <c r="F72" t="s">
        <v>1658</v>
      </c>
      <c r="G72" t="s">
        <v>74</v>
      </c>
      <c r="H72" t="s">
        <v>74</v>
      </c>
      <c r="I72" t="s">
        <v>1659</v>
      </c>
      <c r="J72" t="s">
        <v>1660</v>
      </c>
      <c r="K72" t="s">
        <v>74</v>
      </c>
      <c r="L72" t="s">
        <v>74</v>
      </c>
      <c r="M72" t="s">
        <v>78</v>
      </c>
      <c r="N72" t="s">
        <v>112</v>
      </c>
      <c r="O72" t="s">
        <v>74</v>
      </c>
      <c r="P72" t="s">
        <v>74</v>
      </c>
      <c r="Q72" t="s">
        <v>74</v>
      </c>
      <c r="R72" t="s">
        <v>74</v>
      </c>
      <c r="S72" t="s">
        <v>74</v>
      </c>
      <c r="T72" t="s">
        <v>1661</v>
      </c>
      <c r="U72" t="s">
        <v>1662</v>
      </c>
      <c r="V72" t="s">
        <v>1663</v>
      </c>
      <c r="W72" t="s">
        <v>1664</v>
      </c>
      <c r="X72" t="s">
        <v>1665</v>
      </c>
      <c r="Y72" t="s">
        <v>1666</v>
      </c>
      <c r="Z72" t="s">
        <v>1667</v>
      </c>
      <c r="AA72" t="s">
        <v>1668</v>
      </c>
      <c r="AB72" t="s">
        <v>1669</v>
      </c>
      <c r="AC72" t="s">
        <v>1670</v>
      </c>
      <c r="AD72" t="s">
        <v>1671</v>
      </c>
      <c r="AE72" t="s">
        <v>1672</v>
      </c>
      <c r="AF72" t="s">
        <v>74</v>
      </c>
      <c r="AG72">
        <v>82</v>
      </c>
      <c r="AH72">
        <v>0</v>
      </c>
      <c r="AI72">
        <v>0</v>
      </c>
      <c r="AJ72">
        <v>2</v>
      </c>
      <c r="AK72">
        <v>8</v>
      </c>
      <c r="AL72" t="s">
        <v>1673</v>
      </c>
      <c r="AM72" t="s">
        <v>1674</v>
      </c>
      <c r="AN72" t="s">
        <v>1675</v>
      </c>
      <c r="AO72" t="s">
        <v>1676</v>
      </c>
      <c r="AP72" t="s">
        <v>1677</v>
      </c>
      <c r="AQ72" t="s">
        <v>74</v>
      </c>
      <c r="AR72" t="s">
        <v>1660</v>
      </c>
      <c r="AS72" t="s">
        <v>1678</v>
      </c>
      <c r="AT72" t="s">
        <v>507</v>
      </c>
      <c r="AU72">
        <v>2023</v>
      </c>
      <c r="AV72">
        <v>400</v>
      </c>
      <c r="AW72" t="s">
        <v>74</v>
      </c>
      <c r="AX72" t="s">
        <v>74</v>
      </c>
      <c r="AY72" t="s">
        <v>74</v>
      </c>
      <c r="AZ72" t="s">
        <v>74</v>
      </c>
      <c r="BA72" t="s">
        <v>74</v>
      </c>
      <c r="BB72" t="s">
        <v>74</v>
      </c>
      <c r="BC72" t="s">
        <v>74</v>
      </c>
      <c r="BD72">
        <v>115582</v>
      </c>
      <c r="BE72" t="s">
        <v>1679</v>
      </c>
      <c r="BF72" t="str">
        <f>HYPERLINK("http://dx.doi.org/10.1016/j.icarus.2023.115582","http://dx.doi.org/10.1016/j.icarus.2023.115582")</f>
        <v>http://dx.doi.org/10.1016/j.icarus.2023.115582</v>
      </c>
      <c r="BG72" t="s">
        <v>74</v>
      </c>
      <c r="BH72" t="s">
        <v>427</v>
      </c>
      <c r="BI72">
        <v>12</v>
      </c>
      <c r="BJ72" t="s">
        <v>159</v>
      </c>
      <c r="BK72" t="s">
        <v>103</v>
      </c>
      <c r="BL72" t="s">
        <v>159</v>
      </c>
      <c r="BM72" t="s">
        <v>1680</v>
      </c>
      <c r="BN72" t="s">
        <v>74</v>
      </c>
      <c r="BO72" t="s">
        <v>387</v>
      </c>
      <c r="BP72" t="s">
        <v>74</v>
      </c>
      <c r="BQ72" t="s">
        <v>74</v>
      </c>
      <c r="BR72" t="s">
        <v>106</v>
      </c>
      <c r="BS72" t="s">
        <v>1681</v>
      </c>
      <c r="BT72" t="str">
        <f>HYPERLINK("https%3A%2F%2Fwww.webofscience.com%2Fwos%2Fwoscc%2Ffull-record%2FWOS:000990034000001","View Full Record in Web of Science")</f>
        <v>View Full Record in Web of Science</v>
      </c>
    </row>
    <row r="73" spans="1:72" x14ac:dyDescent="0.15">
      <c r="A73" t="s">
        <v>72</v>
      </c>
      <c r="B73" t="s">
        <v>1682</v>
      </c>
      <c r="C73" t="s">
        <v>74</v>
      </c>
      <c r="D73" t="s">
        <v>74</v>
      </c>
      <c r="E73" t="s">
        <v>74</v>
      </c>
      <c r="F73" t="s">
        <v>1683</v>
      </c>
      <c r="G73" t="s">
        <v>74</v>
      </c>
      <c r="H73" t="s">
        <v>74</v>
      </c>
      <c r="I73" t="s">
        <v>1684</v>
      </c>
      <c r="J73" t="s">
        <v>1685</v>
      </c>
      <c r="K73" t="s">
        <v>74</v>
      </c>
      <c r="L73" t="s">
        <v>74</v>
      </c>
      <c r="M73" t="s">
        <v>78</v>
      </c>
      <c r="N73" t="s">
        <v>112</v>
      </c>
      <c r="O73" t="s">
        <v>74</v>
      </c>
      <c r="P73" t="s">
        <v>74</v>
      </c>
      <c r="Q73" t="s">
        <v>74</v>
      </c>
      <c r="R73" t="s">
        <v>74</v>
      </c>
      <c r="S73" t="s">
        <v>74</v>
      </c>
      <c r="T73" t="s">
        <v>74</v>
      </c>
      <c r="U73" t="s">
        <v>1686</v>
      </c>
      <c r="V73" t="s">
        <v>1687</v>
      </c>
      <c r="W73" t="s">
        <v>1688</v>
      </c>
      <c r="X73" t="s">
        <v>1689</v>
      </c>
      <c r="Y73" t="s">
        <v>1690</v>
      </c>
      <c r="Z73" t="s">
        <v>1691</v>
      </c>
      <c r="AA73" t="s">
        <v>74</v>
      </c>
      <c r="AB73" t="s">
        <v>1692</v>
      </c>
      <c r="AC73" t="s">
        <v>1693</v>
      </c>
      <c r="AD73" t="s">
        <v>1694</v>
      </c>
      <c r="AE73" t="s">
        <v>1695</v>
      </c>
      <c r="AF73" t="s">
        <v>74</v>
      </c>
      <c r="AG73">
        <v>133</v>
      </c>
      <c r="AH73">
        <v>5</v>
      </c>
      <c r="AI73">
        <v>5</v>
      </c>
      <c r="AJ73">
        <v>4</v>
      </c>
      <c r="AK73">
        <v>11</v>
      </c>
      <c r="AL73" t="s">
        <v>203</v>
      </c>
      <c r="AM73" t="s">
        <v>204</v>
      </c>
      <c r="AN73" t="s">
        <v>205</v>
      </c>
      <c r="AO73" t="s">
        <v>74</v>
      </c>
      <c r="AP73" t="s">
        <v>1696</v>
      </c>
      <c r="AQ73" t="s">
        <v>74</v>
      </c>
      <c r="AR73" t="s">
        <v>1697</v>
      </c>
      <c r="AS73" t="s">
        <v>1698</v>
      </c>
      <c r="AT73" t="s">
        <v>1699</v>
      </c>
      <c r="AU73">
        <v>2023</v>
      </c>
      <c r="AV73">
        <v>14</v>
      </c>
      <c r="AW73">
        <v>1</v>
      </c>
      <c r="AX73" t="s">
        <v>74</v>
      </c>
      <c r="AY73" t="s">
        <v>74</v>
      </c>
      <c r="AZ73" t="s">
        <v>74</v>
      </c>
      <c r="BA73" t="s">
        <v>74</v>
      </c>
      <c r="BB73" t="s">
        <v>74</v>
      </c>
      <c r="BC73" t="s">
        <v>74</v>
      </c>
      <c r="BD73">
        <v>2324</v>
      </c>
      <c r="BE73" t="s">
        <v>1700</v>
      </c>
      <c r="BF73" t="str">
        <f>HYPERLINK("http://dx.doi.org/10.1038/s41467-023-37643-1","http://dx.doi.org/10.1038/s41467-023-37643-1")</f>
        <v>http://dx.doi.org/10.1038/s41467-023-37643-1</v>
      </c>
      <c r="BG73" t="s">
        <v>74</v>
      </c>
      <c r="BH73" t="s">
        <v>74</v>
      </c>
      <c r="BI73">
        <v>14</v>
      </c>
      <c r="BJ73" t="s">
        <v>210</v>
      </c>
      <c r="BK73" t="s">
        <v>103</v>
      </c>
      <c r="BL73" t="s">
        <v>211</v>
      </c>
      <c r="BM73" t="s">
        <v>1701</v>
      </c>
      <c r="BN73">
        <v>37087516</v>
      </c>
      <c r="BO73" t="s">
        <v>1702</v>
      </c>
      <c r="BP73" t="s">
        <v>74</v>
      </c>
      <c r="BQ73" t="s">
        <v>74</v>
      </c>
      <c r="BR73" t="s">
        <v>106</v>
      </c>
      <c r="BS73" t="s">
        <v>1703</v>
      </c>
      <c r="BT73" t="str">
        <f>HYPERLINK("https%3A%2F%2Fwww.webofscience.com%2Fwos%2Fwoscc%2Ffull-record%2FWOS:000984264200014","View Full Record in Web of Science")</f>
        <v>View Full Record in Web of Science</v>
      </c>
    </row>
    <row r="74" spans="1:72" x14ac:dyDescent="0.15">
      <c r="A74" t="s">
        <v>72</v>
      </c>
      <c r="B74" t="s">
        <v>1704</v>
      </c>
      <c r="C74" t="s">
        <v>74</v>
      </c>
      <c r="D74" t="s">
        <v>74</v>
      </c>
      <c r="E74" t="s">
        <v>74</v>
      </c>
      <c r="F74" t="s">
        <v>1705</v>
      </c>
      <c r="G74" t="s">
        <v>74</v>
      </c>
      <c r="H74" t="s">
        <v>74</v>
      </c>
      <c r="I74" t="s">
        <v>1706</v>
      </c>
      <c r="J74" t="s">
        <v>1707</v>
      </c>
      <c r="K74" t="s">
        <v>74</v>
      </c>
      <c r="L74" t="s">
        <v>74</v>
      </c>
      <c r="M74" t="s">
        <v>78</v>
      </c>
      <c r="N74" t="s">
        <v>365</v>
      </c>
      <c r="O74" t="s">
        <v>74</v>
      </c>
      <c r="P74" t="s">
        <v>74</v>
      </c>
      <c r="Q74" t="s">
        <v>74</v>
      </c>
      <c r="R74" t="s">
        <v>74</v>
      </c>
      <c r="S74" t="s">
        <v>74</v>
      </c>
      <c r="T74" t="s">
        <v>74</v>
      </c>
      <c r="U74" t="s">
        <v>1708</v>
      </c>
      <c r="V74" t="s">
        <v>1709</v>
      </c>
      <c r="W74" t="s">
        <v>1710</v>
      </c>
      <c r="X74" t="s">
        <v>1711</v>
      </c>
      <c r="Y74" t="s">
        <v>1712</v>
      </c>
      <c r="Z74" t="s">
        <v>1713</v>
      </c>
      <c r="AA74" t="s">
        <v>1714</v>
      </c>
      <c r="AB74" t="s">
        <v>1715</v>
      </c>
      <c r="AC74" t="s">
        <v>1716</v>
      </c>
      <c r="AD74" t="s">
        <v>1717</v>
      </c>
      <c r="AE74" t="s">
        <v>1718</v>
      </c>
      <c r="AF74" t="s">
        <v>74</v>
      </c>
      <c r="AG74">
        <v>53</v>
      </c>
      <c r="AH74">
        <v>0</v>
      </c>
      <c r="AI74">
        <v>0</v>
      </c>
      <c r="AJ74">
        <v>6</v>
      </c>
      <c r="AK74">
        <v>7</v>
      </c>
      <c r="AL74" t="s">
        <v>225</v>
      </c>
      <c r="AM74" t="s">
        <v>226</v>
      </c>
      <c r="AN74" t="s">
        <v>227</v>
      </c>
      <c r="AO74" t="s">
        <v>1719</v>
      </c>
      <c r="AP74" t="s">
        <v>1720</v>
      </c>
      <c r="AQ74" t="s">
        <v>74</v>
      </c>
      <c r="AR74" t="s">
        <v>1721</v>
      </c>
      <c r="AS74" t="s">
        <v>1722</v>
      </c>
      <c r="AT74" t="s">
        <v>232</v>
      </c>
      <c r="AU74">
        <v>2023</v>
      </c>
      <c r="AV74">
        <v>214</v>
      </c>
      <c r="AW74" t="s">
        <v>74</v>
      </c>
      <c r="AX74" t="s">
        <v>74</v>
      </c>
      <c r="AY74" t="s">
        <v>74</v>
      </c>
      <c r="AZ74" t="s">
        <v>74</v>
      </c>
      <c r="BA74" t="s">
        <v>74</v>
      </c>
      <c r="BB74" t="s">
        <v>74</v>
      </c>
      <c r="BC74" t="s">
        <v>74</v>
      </c>
      <c r="BD74">
        <v>103023</v>
      </c>
      <c r="BE74" t="s">
        <v>1723</v>
      </c>
      <c r="BF74" t="str">
        <f>HYPERLINK("http://dx.doi.org/10.1016/j.pocean.2023.103023","http://dx.doi.org/10.1016/j.pocean.2023.103023")</f>
        <v>http://dx.doi.org/10.1016/j.pocean.2023.103023</v>
      </c>
      <c r="BG74" t="s">
        <v>74</v>
      </c>
      <c r="BH74" t="s">
        <v>427</v>
      </c>
      <c r="BI74">
        <v>11</v>
      </c>
      <c r="BJ74" t="s">
        <v>863</v>
      </c>
      <c r="BK74" t="s">
        <v>103</v>
      </c>
      <c r="BL74" t="s">
        <v>863</v>
      </c>
      <c r="BM74" t="s">
        <v>1724</v>
      </c>
      <c r="BN74" t="s">
        <v>74</v>
      </c>
      <c r="BO74" t="s">
        <v>74</v>
      </c>
      <c r="BP74" t="s">
        <v>74</v>
      </c>
      <c r="BQ74" t="s">
        <v>74</v>
      </c>
      <c r="BR74" t="s">
        <v>106</v>
      </c>
      <c r="BS74" t="s">
        <v>1725</v>
      </c>
      <c r="BT74" t="str">
        <f>HYPERLINK("https%3A%2F%2Fwww.webofscience.com%2Fwos%2Fwoscc%2Ffull-record%2FWOS:000989353200001","View Full Record in Web of Science")</f>
        <v>View Full Record in Web of Science</v>
      </c>
    </row>
    <row r="75" spans="1:72" x14ac:dyDescent="0.15">
      <c r="A75" t="s">
        <v>72</v>
      </c>
      <c r="B75" t="s">
        <v>1726</v>
      </c>
      <c r="C75" t="s">
        <v>74</v>
      </c>
      <c r="D75" t="s">
        <v>74</v>
      </c>
      <c r="E75" t="s">
        <v>74</v>
      </c>
      <c r="F75" t="s">
        <v>1727</v>
      </c>
      <c r="G75" t="s">
        <v>74</v>
      </c>
      <c r="H75" t="s">
        <v>74</v>
      </c>
      <c r="I75" t="s">
        <v>1728</v>
      </c>
      <c r="J75" t="s">
        <v>1729</v>
      </c>
      <c r="K75" t="s">
        <v>74</v>
      </c>
      <c r="L75" t="s">
        <v>74</v>
      </c>
      <c r="M75" t="s">
        <v>78</v>
      </c>
      <c r="N75" t="s">
        <v>112</v>
      </c>
      <c r="O75" t="s">
        <v>74</v>
      </c>
      <c r="P75" t="s">
        <v>74</v>
      </c>
      <c r="Q75" t="s">
        <v>74</v>
      </c>
      <c r="R75" t="s">
        <v>74</v>
      </c>
      <c r="S75" t="s">
        <v>74</v>
      </c>
      <c r="T75" t="s">
        <v>1730</v>
      </c>
      <c r="U75" t="s">
        <v>1731</v>
      </c>
      <c r="V75" t="s">
        <v>1732</v>
      </c>
      <c r="W75" t="s">
        <v>1733</v>
      </c>
      <c r="X75" t="s">
        <v>1734</v>
      </c>
      <c r="Y75" t="s">
        <v>1735</v>
      </c>
      <c r="Z75" t="s">
        <v>1736</v>
      </c>
      <c r="AA75" t="s">
        <v>1737</v>
      </c>
      <c r="AB75" t="s">
        <v>1738</v>
      </c>
      <c r="AC75" t="s">
        <v>1739</v>
      </c>
      <c r="AD75" t="s">
        <v>1740</v>
      </c>
      <c r="AE75" t="s">
        <v>1741</v>
      </c>
      <c r="AF75" t="s">
        <v>74</v>
      </c>
      <c r="AG75">
        <v>93</v>
      </c>
      <c r="AH75">
        <v>4</v>
      </c>
      <c r="AI75">
        <v>4</v>
      </c>
      <c r="AJ75">
        <v>5</v>
      </c>
      <c r="AK75">
        <v>10</v>
      </c>
      <c r="AL75" t="s">
        <v>1405</v>
      </c>
      <c r="AM75" t="s">
        <v>226</v>
      </c>
      <c r="AN75" t="s">
        <v>1406</v>
      </c>
      <c r="AO75" t="s">
        <v>1742</v>
      </c>
      <c r="AP75" t="s">
        <v>1743</v>
      </c>
      <c r="AQ75" t="s">
        <v>74</v>
      </c>
      <c r="AR75" t="s">
        <v>1744</v>
      </c>
      <c r="AS75" t="s">
        <v>1745</v>
      </c>
      <c r="AT75" t="s">
        <v>1208</v>
      </c>
      <c r="AU75">
        <v>2023</v>
      </c>
      <c r="AV75">
        <v>329</v>
      </c>
      <c r="AW75" t="s">
        <v>74</v>
      </c>
      <c r="AX75" t="s">
        <v>74</v>
      </c>
      <c r="AY75" t="s">
        <v>74</v>
      </c>
      <c r="AZ75" t="s">
        <v>74</v>
      </c>
      <c r="BA75" t="s">
        <v>74</v>
      </c>
      <c r="BB75" t="s">
        <v>74</v>
      </c>
      <c r="BC75" t="s">
        <v>74</v>
      </c>
      <c r="BD75">
        <v>121661</v>
      </c>
      <c r="BE75" t="s">
        <v>1746</v>
      </c>
      <c r="BF75" t="str">
        <f>HYPERLINK("http://dx.doi.org/10.1016/j.envpol.2023.121661","http://dx.doi.org/10.1016/j.envpol.2023.121661")</f>
        <v>http://dx.doi.org/10.1016/j.envpol.2023.121661</v>
      </c>
      <c r="BG75" t="s">
        <v>74</v>
      </c>
      <c r="BH75" t="s">
        <v>427</v>
      </c>
      <c r="BI75">
        <v>9</v>
      </c>
      <c r="BJ75" t="s">
        <v>1163</v>
      </c>
      <c r="BK75" t="s">
        <v>103</v>
      </c>
      <c r="BL75" t="s">
        <v>1164</v>
      </c>
      <c r="BM75" t="s">
        <v>1747</v>
      </c>
      <c r="BN75">
        <v>37085102</v>
      </c>
      <c r="BO75" t="s">
        <v>1748</v>
      </c>
      <c r="BP75" t="s">
        <v>74</v>
      </c>
      <c r="BQ75" t="s">
        <v>74</v>
      </c>
      <c r="BR75" t="s">
        <v>106</v>
      </c>
      <c r="BS75" t="s">
        <v>1749</v>
      </c>
      <c r="BT75" t="str">
        <f>HYPERLINK("https%3A%2F%2Fwww.webofscience.com%2Fwos%2Fwoscc%2Ffull-record%2FWOS:000988580400001","View Full Record in Web of Science")</f>
        <v>View Full Record in Web of Science</v>
      </c>
    </row>
    <row r="76" spans="1:72" x14ac:dyDescent="0.15">
      <c r="A76" t="s">
        <v>72</v>
      </c>
      <c r="B76" t="s">
        <v>1750</v>
      </c>
      <c r="C76" t="s">
        <v>74</v>
      </c>
      <c r="D76" t="s">
        <v>74</v>
      </c>
      <c r="E76" t="s">
        <v>74</v>
      </c>
      <c r="F76" t="s">
        <v>1751</v>
      </c>
      <c r="G76" t="s">
        <v>74</v>
      </c>
      <c r="H76" t="s">
        <v>74</v>
      </c>
      <c r="I76" t="s">
        <v>1752</v>
      </c>
      <c r="J76" t="s">
        <v>1753</v>
      </c>
      <c r="K76" t="s">
        <v>74</v>
      </c>
      <c r="L76" t="s">
        <v>74</v>
      </c>
      <c r="M76" t="s">
        <v>78</v>
      </c>
      <c r="N76" t="s">
        <v>1754</v>
      </c>
      <c r="O76" t="s">
        <v>74</v>
      </c>
      <c r="P76" t="s">
        <v>74</v>
      </c>
      <c r="Q76" t="s">
        <v>74</v>
      </c>
      <c r="R76" t="s">
        <v>74</v>
      </c>
      <c r="S76" t="s">
        <v>74</v>
      </c>
      <c r="T76" t="s">
        <v>1755</v>
      </c>
      <c r="U76" t="s">
        <v>1756</v>
      </c>
      <c r="V76" t="s">
        <v>1757</v>
      </c>
      <c r="W76" t="s">
        <v>1758</v>
      </c>
      <c r="X76" t="s">
        <v>1759</v>
      </c>
      <c r="Y76" t="s">
        <v>1760</v>
      </c>
      <c r="Z76" t="s">
        <v>1761</v>
      </c>
      <c r="AA76" t="s">
        <v>74</v>
      </c>
      <c r="AB76" t="s">
        <v>1762</v>
      </c>
      <c r="AC76" t="s">
        <v>1763</v>
      </c>
      <c r="AD76" t="s">
        <v>1764</v>
      </c>
      <c r="AE76" t="s">
        <v>1765</v>
      </c>
      <c r="AF76" t="s">
        <v>74</v>
      </c>
      <c r="AG76">
        <v>62</v>
      </c>
      <c r="AH76">
        <v>0</v>
      </c>
      <c r="AI76">
        <v>0</v>
      </c>
      <c r="AJ76">
        <v>1</v>
      </c>
      <c r="AK76">
        <v>2</v>
      </c>
      <c r="AL76" t="s">
        <v>768</v>
      </c>
      <c r="AM76" t="s">
        <v>179</v>
      </c>
      <c r="AN76" t="s">
        <v>769</v>
      </c>
      <c r="AO76" t="s">
        <v>1766</v>
      </c>
      <c r="AP76" t="s">
        <v>1767</v>
      </c>
      <c r="AQ76" t="s">
        <v>74</v>
      </c>
      <c r="AR76" t="s">
        <v>1768</v>
      </c>
      <c r="AS76" t="s">
        <v>1769</v>
      </c>
      <c r="AT76" t="s">
        <v>1770</v>
      </c>
      <c r="AU76">
        <v>2023</v>
      </c>
      <c r="AV76" t="s">
        <v>74</v>
      </c>
      <c r="AW76" t="s">
        <v>74</v>
      </c>
      <c r="AX76" t="s">
        <v>74</v>
      </c>
      <c r="AY76" t="s">
        <v>74</v>
      </c>
      <c r="AZ76" t="s">
        <v>74</v>
      </c>
      <c r="BA76" t="s">
        <v>74</v>
      </c>
      <c r="BB76" t="s">
        <v>74</v>
      </c>
      <c r="BC76" t="s">
        <v>74</v>
      </c>
      <c r="BD76" t="s">
        <v>74</v>
      </c>
      <c r="BE76" t="s">
        <v>1771</v>
      </c>
      <c r="BF76" t="str">
        <f>HYPERLINK("http://dx.doi.org/10.1007/s00382-023-06780-0","http://dx.doi.org/10.1007/s00382-023-06780-0")</f>
        <v>http://dx.doi.org/10.1007/s00382-023-06780-0</v>
      </c>
      <c r="BG76" t="s">
        <v>74</v>
      </c>
      <c r="BH76" t="s">
        <v>427</v>
      </c>
      <c r="BI76">
        <v>21</v>
      </c>
      <c r="BJ76" t="s">
        <v>102</v>
      </c>
      <c r="BK76" t="s">
        <v>103</v>
      </c>
      <c r="BL76" t="s">
        <v>102</v>
      </c>
      <c r="BM76" t="s">
        <v>1772</v>
      </c>
      <c r="BN76" t="s">
        <v>74</v>
      </c>
      <c r="BO76" t="s">
        <v>1389</v>
      </c>
      <c r="BP76" t="s">
        <v>74</v>
      </c>
      <c r="BQ76" t="s">
        <v>74</v>
      </c>
      <c r="BR76" t="s">
        <v>106</v>
      </c>
      <c r="BS76" t="s">
        <v>1773</v>
      </c>
      <c r="BT76" t="str">
        <f>HYPERLINK("https%3A%2F%2Fwww.webofscience.com%2Fwos%2Fwoscc%2Ffull-record%2FWOS:000974462600001","View Full Record in Web of Science")</f>
        <v>View Full Record in Web of Science</v>
      </c>
    </row>
    <row r="77" spans="1:72" x14ac:dyDescent="0.15">
      <c r="A77" t="s">
        <v>72</v>
      </c>
      <c r="B77" t="s">
        <v>1774</v>
      </c>
      <c r="C77" t="s">
        <v>74</v>
      </c>
      <c r="D77" t="s">
        <v>74</v>
      </c>
      <c r="E77" t="s">
        <v>74</v>
      </c>
      <c r="F77" t="s">
        <v>1775</v>
      </c>
      <c r="G77" t="s">
        <v>74</v>
      </c>
      <c r="H77" t="s">
        <v>74</v>
      </c>
      <c r="I77" t="s">
        <v>1776</v>
      </c>
      <c r="J77" t="s">
        <v>1777</v>
      </c>
      <c r="K77" t="s">
        <v>74</v>
      </c>
      <c r="L77" t="s">
        <v>74</v>
      </c>
      <c r="M77" t="s">
        <v>78</v>
      </c>
      <c r="N77" t="s">
        <v>112</v>
      </c>
      <c r="O77" t="s">
        <v>74</v>
      </c>
      <c r="P77" t="s">
        <v>74</v>
      </c>
      <c r="Q77" t="s">
        <v>74</v>
      </c>
      <c r="R77" t="s">
        <v>74</v>
      </c>
      <c r="S77" t="s">
        <v>74</v>
      </c>
      <c r="T77" t="s">
        <v>1778</v>
      </c>
      <c r="U77" t="s">
        <v>1779</v>
      </c>
      <c r="V77" t="s">
        <v>1780</v>
      </c>
      <c r="W77" t="s">
        <v>1781</v>
      </c>
      <c r="X77" t="s">
        <v>1782</v>
      </c>
      <c r="Y77" t="s">
        <v>1783</v>
      </c>
      <c r="Z77" t="s">
        <v>1784</v>
      </c>
      <c r="AA77" t="s">
        <v>74</v>
      </c>
      <c r="AB77" t="s">
        <v>1785</v>
      </c>
      <c r="AC77" t="s">
        <v>74</v>
      </c>
      <c r="AD77" t="s">
        <v>74</v>
      </c>
      <c r="AE77" t="s">
        <v>74</v>
      </c>
      <c r="AF77" t="s">
        <v>74</v>
      </c>
      <c r="AG77">
        <v>20</v>
      </c>
      <c r="AH77">
        <v>0</v>
      </c>
      <c r="AI77">
        <v>0</v>
      </c>
      <c r="AJ77">
        <v>1</v>
      </c>
      <c r="AK77">
        <v>2</v>
      </c>
      <c r="AL77" t="s">
        <v>1405</v>
      </c>
      <c r="AM77" t="s">
        <v>226</v>
      </c>
      <c r="AN77" t="s">
        <v>1406</v>
      </c>
      <c r="AO77" t="s">
        <v>1786</v>
      </c>
      <c r="AP77" t="s">
        <v>1787</v>
      </c>
      <c r="AQ77" t="s">
        <v>74</v>
      </c>
      <c r="AR77" t="s">
        <v>1788</v>
      </c>
      <c r="AS77" t="s">
        <v>1789</v>
      </c>
      <c r="AT77" t="s">
        <v>1790</v>
      </c>
      <c r="AU77">
        <v>2023</v>
      </c>
      <c r="AV77">
        <v>71</v>
      </c>
      <c r="AW77">
        <v>10</v>
      </c>
      <c r="AX77" t="s">
        <v>74</v>
      </c>
      <c r="AY77" t="s">
        <v>74</v>
      </c>
      <c r="AZ77" t="s">
        <v>74</v>
      </c>
      <c r="BA77" t="s">
        <v>74</v>
      </c>
      <c r="BB77">
        <v>3995</v>
      </c>
      <c r="BC77">
        <v>4005</v>
      </c>
      <c r="BD77" t="s">
        <v>74</v>
      </c>
      <c r="BE77" t="s">
        <v>1791</v>
      </c>
      <c r="BF77" t="str">
        <f>HYPERLINK("http://dx.doi.org/10.1016/j.asr.2022.12.040","http://dx.doi.org/10.1016/j.asr.2022.12.040")</f>
        <v>http://dx.doi.org/10.1016/j.asr.2022.12.040</v>
      </c>
      <c r="BG77" t="s">
        <v>74</v>
      </c>
      <c r="BH77" t="s">
        <v>427</v>
      </c>
      <c r="BI77">
        <v>11</v>
      </c>
      <c r="BJ77" t="s">
        <v>1792</v>
      </c>
      <c r="BK77" t="s">
        <v>103</v>
      </c>
      <c r="BL77" t="s">
        <v>1793</v>
      </c>
      <c r="BM77" t="s">
        <v>1794</v>
      </c>
      <c r="BN77" t="s">
        <v>74</v>
      </c>
      <c r="BO77" t="s">
        <v>387</v>
      </c>
      <c r="BP77" t="s">
        <v>74</v>
      </c>
      <c r="BQ77" t="s">
        <v>74</v>
      </c>
      <c r="BR77" t="s">
        <v>106</v>
      </c>
      <c r="BS77" t="s">
        <v>1795</v>
      </c>
      <c r="BT77" t="str">
        <f>HYPERLINK("https%3A%2F%2Fwww.webofscience.com%2Fwos%2Fwoscc%2Ffull-record%2FWOS:000984678800001","View Full Record in Web of Science")</f>
        <v>View Full Record in Web of Science</v>
      </c>
    </row>
    <row r="78" spans="1:72" x14ac:dyDescent="0.15">
      <c r="A78" t="s">
        <v>72</v>
      </c>
      <c r="B78" t="s">
        <v>1796</v>
      </c>
      <c r="C78" t="s">
        <v>74</v>
      </c>
      <c r="D78" t="s">
        <v>74</v>
      </c>
      <c r="E78" t="s">
        <v>74</v>
      </c>
      <c r="F78" t="s">
        <v>1797</v>
      </c>
      <c r="G78" t="s">
        <v>74</v>
      </c>
      <c r="H78" t="s">
        <v>74</v>
      </c>
      <c r="I78" t="s">
        <v>1798</v>
      </c>
      <c r="J78" t="s">
        <v>1777</v>
      </c>
      <c r="K78" t="s">
        <v>74</v>
      </c>
      <c r="L78" t="s">
        <v>74</v>
      </c>
      <c r="M78" t="s">
        <v>78</v>
      </c>
      <c r="N78" t="s">
        <v>112</v>
      </c>
      <c r="O78" t="s">
        <v>74</v>
      </c>
      <c r="P78" t="s">
        <v>74</v>
      </c>
      <c r="Q78" t="s">
        <v>74</v>
      </c>
      <c r="R78" t="s">
        <v>74</v>
      </c>
      <c r="S78" t="s">
        <v>74</v>
      </c>
      <c r="T78" t="s">
        <v>1799</v>
      </c>
      <c r="U78" t="s">
        <v>1800</v>
      </c>
      <c r="V78" t="s">
        <v>1801</v>
      </c>
      <c r="W78" t="s">
        <v>1802</v>
      </c>
      <c r="X78" t="s">
        <v>1803</v>
      </c>
      <c r="Y78" t="s">
        <v>1804</v>
      </c>
      <c r="Z78" t="s">
        <v>1805</v>
      </c>
      <c r="AA78" t="s">
        <v>1806</v>
      </c>
      <c r="AB78" t="s">
        <v>1807</v>
      </c>
      <c r="AC78" t="s">
        <v>1808</v>
      </c>
      <c r="AD78" t="s">
        <v>1809</v>
      </c>
      <c r="AE78" t="s">
        <v>1810</v>
      </c>
      <c r="AF78" t="s">
        <v>74</v>
      </c>
      <c r="AG78">
        <v>30</v>
      </c>
      <c r="AH78">
        <v>2</v>
      </c>
      <c r="AI78">
        <v>2</v>
      </c>
      <c r="AJ78">
        <v>4</v>
      </c>
      <c r="AK78">
        <v>6</v>
      </c>
      <c r="AL78" t="s">
        <v>1405</v>
      </c>
      <c r="AM78" t="s">
        <v>226</v>
      </c>
      <c r="AN78" t="s">
        <v>1406</v>
      </c>
      <c r="AO78" t="s">
        <v>1786</v>
      </c>
      <c r="AP78" t="s">
        <v>1787</v>
      </c>
      <c r="AQ78" t="s">
        <v>74</v>
      </c>
      <c r="AR78" t="s">
        <v>1788</v>
      </c>
      <c r="AS78" t="s">
        <v>1789</v>
      </c>
      <c r="AT78" t="s">
        <v>1790</v>
      </c>
      <c r="AU78">
        <v>2023</v>
      </c>
      <c r="AV78">
        <v>71</v>
      </c>
      <c r="AW78">
        <v>10</v>
      </c>
      <c r="AX78" t="s">
        <v>74</v>
      </c>
      <c r="AY78" t="s">
        <v>74</v>
      </c>
      <c r="AZ78" t="s">
        <v>74</v>
      </c>
      <c r="BA78" t="s">
        <v>74</v>
      </c>
      <c r="BB78">
        <v>4351</v>
      </c>
      <c r="BC78">
        <v>4360</v>
      </c>
      <c r="BD78" t="s">
        <v>74</v>
      </c>
      <c r="BE78" t="s">
        <v>1811</v>
      </c>
      <c r="BF78" t="str">
        <f>HYPERLINK("http://dx.doi.org/10.1016/j.asr.2022.12.039","http://dx.doi.org/10.1016/j.asr.2022.12.039")</f>
        <v>http://dx.doi.org/10.1016/j.asr.2022.12.039</v>
      </c>
      <c r="BG78" t="s">
        <v>74</v>
      </c>
      <c r="BH78" t="s">
        <v>427</v>
      </c>
      <c r="BI78">
        <v>10</v>
      </c>
      <c r="BJ78" t="s">
        <v>1792</v>
      </c>
      <c r="BK78" t="s">
        <v>103</v>
      </c>
      <c r="BL78" t="s">
        <v>1793</v>
      </c>
      <c r="BM78" t="s">
        <v>1812</v>
      </c>
      <c r="BN78" t="s">
        <v>74</v>
      </c>
      <c r="BO78" t="s">
        <v>74</v>
      </c>
      <c r="BP78" t="s">
        <v>74</v>
      </c>
      <c r="BQ78" t="s">
        <v>74</v>
      </c>
      <c r="BR78" t="s">
        <v>106</v>
      </c>
      <c r="BS78" t="s">
        <v>1813</v>
      </c>
      <c r="BT78" t="str">
        <f>HYPERLINK("https%3A%2F%2Fwww.webofscience.com%2Fwos%2Fwoscc%2Ffull-record%2FWOS:000984667400001","View Full Record in Web of Science")</f>
        <v>View Full Record in Web of Science</v>
      </c>
    </row>
    <row r="79" spans="1:72" x14ac:dyDescent="0.15">
      <c r="A79" t="s">
        <v>72</v>
      </c>
      <c r="B79" t="s">
        <v>1814</v>
      </c>
      <c r="C79" t="s">
        <v>74</v>
      </c>
      <c r="D79" t="s">
        <v>74</v>
      </c>
      <c r="E79" t="s">
        <v>74</v>
      </c>
      <c r="F79" t="s">
        <v>1815</v>
      </c>
      <c r="G79" t="s">
        <v>74</v>
      </c>
      <c r="H79" t="s">
        <v>74</v>
      </c>
      <c r="I79" t="s">
        <v>1816</v>
      </c>
      <c r="J79" t="s">
        <v>194</v>
      </c>
      <c r="K79" t="s">
        <v>74</v>
      </c>
      <c r="L79" t="s">
        <v>74</v>
      </c>
      <c r="M79" t="s">
        <v>78</v>
      </c>
      <c r="N79" t="s">
        <v>112</v>
      </c>
      <c r="O79" t="s">
        <v>74</v>
      </c>
      <c r="P79" t="s">
        <v>74</v>
      </c>
      <c r="Q79" t="s">
        <v>74</v>
      </c>
      <c r="R79" t="s">
        <v>74</v>
      </c>
      <c r="S79" t="s">
        <v>74</v>
      </c>
      <c r="T79" t="s">
        <v>74</v>
      </c>
      <c r="U79" t="s">
        <v>1817</v>
      </c>
      <c r="V79" t="s">
        <v>1818</v>
      </c>
      <c r="W79" t="s">
        <v>1819</v>
      </c>
      <c r="X79" t="s">
        <v>1820</v>
      </c>
      <c r="Y79" t="s">
        <v>1821</v>
      </c>
      <c r="Z79" t="s">
        <v>1822</v>
      </c>
      <c r="AA79" t="s">
        <v>1823</v>
      </c>
      <c r="AB79" t="s">
        <v>1824</v>
      </c>
      <c r="AC79" t="s">
        <v>74</v>
      </c>
      <c r="AD79" t="s">
        <v>74</v>
      </c>
      <c r="AE79" t="s">
        <v>74</v>
      </c>
      <c r="AF79" t="s">
        <v>74</v>
      </c>
      <c r="AG79">
        <v>24</v>
      </c>
      <c r="AH79">
        <v>0</v>
      </c>
      <c r="AI79">
        <v>0</v>
      </c>
      <c r="AJ79">
        <v>0</v>
      </c>
      <c r="AK79">
        <v>2</v>
      </c>
      <c r="AL79" t="s">
        <v>203</v>
      </c>
      <c r="AM79" t="s">
        <v>204</v>
      </c>
      <c r="AN79" t="s">
        <v>205</v>
      </c>
      <c r="AO79" t="s">
        <v>206</v>
      </c>
      <c r="AP79" t="s">
        <v>74</v>
      </c>
      <c r="AQ79" t="s">
        <v>74</v>
      </c>
      <c r="AR79" t="s">
        <v>207</v>
      </c>
      <c r="AS79" t="s">
        <v>208</v>
      </c>
      <c r="AT79" t="s">
        <v>1825</v>
      </c>
      <c r="AU79">
        <v>2023</v>
      </c>
      <c r="AV79">
        <v>13</v>
      </c>
      <c r="AW79">
        <v>1</v>
      </c>
      <c r="AX79" t="s">
        <v>74</v>
      </c>
      <c r="AY79" t="s">
        <v>74</v>
      </c>
      <c r="AZ79" t="s">
        <v>74</v>
      </c>
      <c r="BA79" t="s">
        <v>74</v>
      </c>
      <c r="BB79" t="s">
        <v>74</v>
      </c>
      <c r="BC79" t="s">
        <v>74</v>
      </c>
      <c r="BD79">
        <v>6529</v>
      </c>
      <c r="BE79" t="s">
        <v>1826</v>
      </c>
      <c r="BF79" t="str">
        <f>HYPERLINK("http://dx.doi.org/10.1038/s41598-023-33849-x","http://dx.doi.org/10.1038/s41598-023-33849-x")</f>
        <v>http://dx.doi.org/10.1038/s41598-023-33849-x</v>
      </c>
      <c r="BG79" t="s">
        <v>74</v>
      </c>
      <c r="BH79" t="s">
        <v>74</v>
      </c>
      <c r="BI79">
        <v>5</v>
      </c>
      <c r="BJ79" t="s">
        <v>210</v>
      </c>
      <c r="BK79" t="s">
        <v>103</v>
      </c>
      <c r="BL79" t="s">
        <v>211</v>
      </c>
      <c r="BM79" t="s">
        <v>1827</v>
      </c>
      <c r="BN79">
        <v>37085561</v>
      </c>
      <c r="BO79" t="s">
        <v>804</v>
      </c>
      <c r="BP79" t="s">
        <v>74</v>
      </c>
      <c r="BQ79" t="s">
        <v>74</v>
      </c>
      <c r="BR79" t="s">
        <v>106</v>
      </c>
      <c r="BS79" t="s">
        <v>1828</v>
      </c>
      <c r="BT79" t="str">
        <f>HYPERLINK("https%3A%2F%2Fwww.webofscience.com%2Fwos%2Fwoscc%2Ffull-record%2FWOS:000989734900018","View Full Record in Web of Science")</f>
        <v>View Full Record in Web of Science</v>
      </c>
    </row>
    <row r="80" spans="1:72" x14ac:dyDescent="0.15">
      <c r="A80" t="s">
        <v>72</v>
      </c>
      <c r="B80" t="s">
        <v>1829</v>
      </c>
      <c r="C80" t="s">
        <v>74</v>
      </c>
      <c r="D80" t="s">
        <v>74</v>
      </c>
      <c r="E80" t="s">
        <v>74</v>
      </c>
      <c r="F80" t="s">
        <v>1830</v>
      </c>
      <c r="G80" t="s">
        <v>74</v>
      </c>
      <c r="H80" t="s">
        <v>74</v>
      </c>
      <c r="I80" t="s">
        <v>1831</v>
      </c>
      <c r="J80" t="s">
        <v>1832</v>
      </c>
      <c r="K80" t="s">
        <v>74</v>
      </c>
      <c r="L80" t="s">
        <v>74</v>
      </c>
      <c r="M80" t="s">
        <v>78</v>
      </c>
      <c r="N80" t="s">
        <v>365</v>
      </c>
      <c r="O80" t="s">
        <v>74</v>
      </c>
      <c r="P80" t="s">
        <v>74</v>
      </c>
      <c r="Q80" t="s">
        <v>74</v>
      </c>
      <c r="R80" t="s">
        <v>74</v>
      </c>
      <c r="S80" t="s">
        <v>74</v>
      </c>
      <c r="T80" t="s">
        <v>74</v>
      </c>
      <c r="U80" t="s">
        <v>1833</v>
      </c>
      <c r="V80" t="s">
        <v>1834</v>
      </c>
      <c r="W80" t="s">
        <v>1835</v>
      </c>
      <c r="X80" t="s">
        <v>1836</v>
      </c>
      <c r="Y80" t="s">
        <v>1837</v>
      </c>
      <c r="Z80" t="s">
        <v>1838</v>
      </c>
      <c r="AA80" t="s">
        <v>1839</v>
      </c>
      <c r="AB80" t="s">
        <v>1840</v>
      </c>
      <c r="AC80" t="s">
        <v>74</v>
      </c>
      <c r="AD80" t="s">
        <v>74</v>
      </c>
      <c r="AE80" t="s">
        <v>74</v>
      </c>
      <c r="AF80" t="s">
        <v>74</v>
      </c>
      <c r="AG80">
        <v>167</v>
      </c>
      <c r="AH80">
        <v>38</v>
      </c>
      <c r="AI80">
        <v>42</v>
      </c>
      <c r="AJ80">
        <v>215</v>
      </c>
      <c r="AK80">
        <v>287</v>
      </c>
      <c r="AL80" t="s">
        <v>1841</v>
      </c>
      <c r="AM80" t="s">
        <v>306</v>
      </c>
      <c r="AN80" t="s">
        <v>1842</v>
      </c>
      <c r="AO80" t="s">
        <v>1843</v>
      </c>
      <c r="AP80" t="s">
        <v>1844</v>
      </c>
      <c r="AQ80" t="s">
        <v>74</v>
      </c>
      <c r="AR80" t="s">
        <v>1832</v>
      </c>
      <c r="AS80" t="s">
        <v>1845</v>
      </c>
      <c r="AT80" t="s">
        <v>1825</v>
      </c>
      <c r="AU80">
        <v>2023</v>
      </c>
      <c r="AV80">
        <v>380</v>
      </c>
      <c r="AW80">
        <v>6642</v>
      </c>
      <c r="AX80" t="s">
        <v>74</v>
      </c>
      <c r="AY80" t="s">
        <v>74</v>
      </c>
      <c r="AZ80" t="s">
        <v>74</v>
      </c>
      <c r="BA80" t="s">
        <v>74</v>
      </c>
      <c r="BB80" t="s">
        <v>74</v>
      </c>
      <c r="BC80" t="s">
        <v>74</v>
      </c>
      <c r="BD80" t="s">
        <v>1846</v>
      </c>
      <c r="BE80" t="s">
        <v>1847</v>
      </c>
      <c r="BF80" t="str">
        <f>HYPERLINK("http://dx.doi.org/10.1126/science.abl4881","http://dx.doi.org/10.1126/science.abl4881")</f>
        <v>http://dx.doi.org/10.1126/science.abl4881</v>
      </c>
      <c r="BG80" t="s">
        <v>74</v>
      </c>
      <c r="BH80" t="s">
        <v>74</v>
      </c>
      <c r="BI80">
        <v>12</v>
      </c>
      <c r="BJ80" t="s">
        <v>210</v>
      </c>
      <c r="BK80" t="s">
        <v>103</v>
      </c>
      <c r="BL80" t="s">
        <v>211</v>
      </c>
      <c r="BM80" t="s">
        <v>1848</v>
      </c>
      <c r="BN80">
        <v>37079687</v>
      </c>
      <c r="BO80" t="s">
        <v>74</v>
      </c>
      <c r="BP80" t="s">
        <v>1849</v>
      </c>
      <c r="BQ80" t="s">
        <v>1850</v>
      </c>
      <c r="BR80" t="s">
        <v>106</v>
      </c>
      <c r="BS80" t="s">
        <v>1851</v>
      </c>
      <c r="BT80" t="str">
        <f>HYPERLINK("https%3A%2F%2Fwww.webofscience.com%2Fwos%2Fwoscc%2Ffull-record%2FWOS:000989671000004","View Full Record in Web of Science")</f>
        <v>View Full Record in Web of Science</v>
      </c>
    </row>
    <row r="81" spans="1:72" x14ac:dyDescent="0.15">
      <c r="A81" t="s">
        <v>72</v>
      </c>
      <c r="B81" t="s">
        <v>1852</v>
      </c>
      <c r="C81" t="s">
        <v>74</v>
      </c>
      <c r="D81" t="s">
        <v>74</v>
      </c>
      <c r="E81" t="s">
        <v>74</v>
      </c>
      <c r="F81" t="s">
        <v>1853</v>
      </c>
      <c r="G81" t="s">
        <v>74</v>
      </c>
      <c r="H81" t="s">
        <v>74</v>
      </c>
      <c r="I81" t="s">
        <v>1854</v>
      </c>
      <c r="J81" t="s">
        <v>1855</v>
      </c>
      <c r="K81" t="s">
        <v>74</v>
      </c>
      <c r="L81" t="s">
        <v>74</v>
      </c>
      <c r="M81" t="s">
        <v>78</v>
      </c>
      <c r="N81" t="s">
        <v>1754</v>
      </c>
      <c r="O81" t="s">
        <v>74</v>
      </c>
      <c r="P81" t="s">
        <v>74</v>
      </c>
      <c r="Q81" t="s">
        <v>74</v>
      </c>
      <c r="R81" t="s">
        <v>74</v>
      </c>
      <c r="S81" t="s">
        <v>74</v>
      </c>
      <c r="T81" t="s">
        <v>1856</v>
      </c>
      <c r="U81" t="s">
        <v>1857</v>
      </c>
      <c r="V81" t="s">
        <v>1858</v>
      </c>
      <c r="W81" t="s">
        <v>1859</v>
      </c>
      <c r="X81" t="s">
        <v>1860</v>
      </c>
      <c r="Y81" t="s">
        <v>1861</v>
      </c>
      <c r="Z81" t="s">
        <v>1862</v>
      </c>
      <c r="AA81" t="s">
        <v>1863</v>
      </c>
      <c r="AB81" t="s">
        <v>1864</v>
      </c>
      <c r="AC81" t="s">
        <v>1865</v>
      </c>
      <c r="AD81" t="s">
        <v>1866</v>
      </c>
      <c r="AE81" t="s">
        <v>1867</v>
      </c>
      <c r="AF81" t="s">
        <v>74</v>
      </c>
      <c r="AG81">
        <v>64</v>
      </c>
      <c r="AH81">
        <v>5</v>
      </c>
      <c r="AI81">
        <v>5</v>
      </c>
      <c r="AJ81">
        <v>7</v>
      </c>
      <c r="AK81">
        <v>10</v>
      </c>
      <c r="AL81" t="s">
        <v>768</v>
      </c>
      <c r="AM81" t="s">
        <v>179</v>
      </c>
      <c r="AN81" t="s">
        <v>769</v>
      </c>
      <c r="AO81" t="s">
        <v>1868</v>
      </c>
      <c r="AP81" t="s">
        <v>1869</v>
      </c>
      <c r="AQ81" t="s">
        <v>74</v>
      </c>
      <c r="AR81" t="s">
        <v>1870</v>
      </c>
      <c r="AS81" t="s">
        <v>1871</v>
      </c>
      <c r="AT81" t="s">
        <v>1872</v>
      </c>
      <c r="AU81">
        <v>2023</v>
      </c>
      <c r="AV81" t="s">
        <v>74</v>
      </c>
      <c r="AW81" t="s">
        <v>74</v>
      </c>
      <c r="AX81" t="s">
        <v>74</v>
      </c>
      <c r="AY81" t="s">
        <v>74</v>
      </c>
      <c r="AZ81" t="s">
        <v>74</v>
      </c>
      <c r="BA81" t="s">
        <v>74</v>
      </c>
      <c r="BB81" t="s">
        <v>74</v>
      </c>
      <c r="BC81" t="s">
        <v>74</v>
      </c>
      <c r="BD81" t="s">
        <v>74</v>
      </c>
      <c r="BE81" t="s">
        <v>1873</v>
      </c>
      <c r="BF81" t="str">
        <f>HYPERLINK("http://dx.doi.org/10.1007/s00775-023-01999-y","http://dx.doi.org/10.1007/s00775-023-01999-y")</f>
        <v>http://dx.doi.org/10.1007/s00775-023-01999-y</v>
      </c>
      <c r="BG81" t="s">
        <v>74</v>
      </c>
      <c r="BH81" t="s">
        <v>427</v>
      </c>
      <c r="BI81">
        <v>12</v>
      </c>
      <c r="BJ81" t="s">
        <v>1874</v>
      </c>
      <c r="BK81" t="s">
        <v>103</v>
      </c>
      <c r="BL81" t="s">
        <v>1875</v>
      </c>
      <c r="BM81" t="s">
        <v>1876</v>
      </c>
      <c r="BN81">
        <v>37083842</v>
      </c>
      <c r="BO81" t="s">
        <v>430</v>
      </c>
      <c r="BP81" t="s">
        <v>74</v>
      </c>
      <c r="BQ81" t="s">
        <v>74</v>
      </c>
      <c r="BR81" t="s">
        <v>106</v>
      </c>
      <c r="BS81" t="s">
        <v>1877</v>
      </c>
      <c r="BT81" t="str">
        <f>HYPERLINK("https%3A%2F%2Fwww.webofscience.com%2Fwos%2Fwoscc%2Ffull-record%2FWOS:000978102900001","View Full Record in Web of Science")</f>
        <v>View Full Record in Web of Science</v>
      </c>
    </row>
    <row r="82" spans="1:72" x14ac:dyDescent="0.15">
      <c r="A82" t="s">
        <v>72</v>
      </c>
      <c r="B82" t="s">
        <v>1878</v>
      </c>
      <c r="C82" t="s">
        <v>74</v>
      </c>
      <c r="D82" t="s">
        <v>74</v>
      </c>
      <c r="E82" t="s">
        <v>74</v>
      </c>
      <c r="F82" t="s">
        <v>1879</v>
      </c>
      <c r="G82" t="s">
        <v>74</v>
      </c>
      <c r="H82" t="s">
        <v>74</v>
      </c>
      <c r="I82" t="s">
        <v>1880</v>
      </c>
      <c r="J82" t="s">
        <v>1881</v>
      </c>
      <c r="K82" t="s">
        <v>74</v>
      </c>
      <c r="L82" t="s">
        <v>74</v>
      </c>
      <c r="M82" t="s">
        <v>78</v>
      </c>
      <c r="N82" t="s">
        <v>112</v>
      </c>
      <c r="O82" t="s">
        <v>74</v>
      </c>
      <c r="P82" t="s">
        <v>74</v>
      </c>
      <c r="Q82" t="s">
        <v>74</v>
      </c>
      <c r="R82" t="s">
        <v>74</v>
      </c>
      <c r="S82" t="s">
        <v>74</v>
      </c>
      <c r="T82" t="s">
        <v>74</v>
      </c>
      <c r="U82" t="s">
        <v>1882</v>
      </c>
      <c r="V82" t="s">
        <v>1883</v>
      </c>
      <c r="W82" t="s">
        <v>1884</v>
      </c>
      <c r="X82" t="s">
        <v>1885</v>
      </c>
      <c r="Y82" t="s">
        <v>1886</v>
      </c>
      <c r="Z82" t="s">
        <v>1887</v>
      </c>
      <c r="AA82" t="s">
        <v>1888</v>
      </c>
      <c r="AB82" t="s">
        <v>1889</v>
      </c>
      <c r="AC82" t="s">
        <v>1890</v>
      </c>
      <c r="AD82" t="s">
        <v>1891</v>
      </c>
      <c r="AE82" t="s">
        <v>1892</v>
      </c>
      <c r="AF82" t="s">
        <v>74</v>
      </c>
      <c r="AG82">
        <v>67</v>
      </c>
      <c r="AH82">
        <v>0</v>
      </c>
      <c r="AI82">
        <v>0</v>
      </c>
      <c r="AJ82">
        <v>6</v>
      </c>
      <c r="AK82">
        <v>9</v>
      </c>
      <c r="AL82" t="s">
        <v>794</v>
      </c>
      <c r="AM82" t="s">
        <v>795</v>
      </c>
      <c r="AN82" t="s">
        <v>796</v>
      </c>
      <c r="AO82" t="s">
        <v>1893</v>
      </c>
      <c r="AP82" t="s">
        <v>1894</v>
      </c>
      <c r="AQ82" t="s">
        <v>74</v>
      </c>
      <c r="AR82" t="s">
        <v>1881</v>
      </c>
      <c r="AS82" t="s">
        <v>1895</v>
      </c>
      <c r="AT82" t="s">
        <v>1825</v>
      </c>
      <c r="AU82">
        <v>2023</v>
      </c>
      <c r="AV82">
        <v>20</v>
      </c>
      <c r="AW82">
        <v>8</v>
      </c>
      <c r="AX82" t="s">
        <v>74</v>
      </c>
      <c r="AY82" t="s">
        <v>74</v>
      </c>
      <c r="AZ82" t="s">
        <v>74</v>
      </c>
      <c r="BA82" t="s">
        <v>74</v>
      </c>
      <c r="BB82">
        <v>1605</v>
      </c>
      <c r="BC82">
        <v>1619</v>
      </c>
      <c r="BD82" t="s">
        <v>74</v>
      </c>
      <c r="BE82" t="s">
        <v>1896</v>
      </c>
      <c r="BF82" t="str">
        <f>HYPERLINK("http://dx.doi.org/10.5194/bg-20-1605-2023","http://dx.doi.org/10.5194/bg-20-1605-2023")</f>
        <v>http://dx.doi.org/10.5194/bg-20-1605-2023</v>
      </c>
      <c r="BG82" t="s">
        <v>74</v>
      </c>
      <c r="BH82" t="s">
        <v>74</v>
      </c>
      <c r="BI82">
        <v>15</v>
      </c>
      <c r="BJ82" t="s">
        <v>1897</v>
      </c>
      <c r="BK82" t="s">
        <v>103</v>
      </c>
      <c r="BL82" t="s">
        <v>1364</v>
      </c>
      <c r="BM82" t="s">
        <v>1898</v>
      </c>
      <c r="BN82" t="s">
        <v>74</v>
      </c>
      <c r="BO82" t="s">
        <v>359</v>
      </c>
      <c r="BP82" t="s">
        <v>74</v>
      </c>
      <c r="BQ82" t="s">
        <v>74</v>
      </c>
      <c r="BR82" t="s">
        <v>106</v>
      </c>
      <c r="BS82" t="s">
        <v>1899</v>
      </c>
      <c r="BT82" t="str">
        <f>HYPERLINK("https%3A%2F%2Fwww.webofscience.com%2Fwos%2Fwoscc%2Ffull-record%2FWOS:000976006000001","View Full Record in Web of Science")</f>
        <v>View Full Record in Web of Science</v>
      </c>
    </row>
    <row r="83" spans="1:72" x14ac:dyDescent="0.15">
      <c r="A83" t="s">
        <v>72</v>
      </c>
      <c r="B83" t="s">
        <v>1900</v>
      </c>
      <c r="C83" t="s">
        <v>74</v>
      </c>
      <c r="D83" t="s">
        <v>74</v>
      </c>
      <c r="E83" t="s">
        <v>74</v>
      </c>
      <c r="F83" t="s">
        <v>1901</v>
      </c>
      <c r="G83" t="s">
        <v>74</v>
      </c>
      <c r="H83" t="s">
        <v>74</v>
      </c>
      <c r="I83" t="s">
        <v>1902</v>
      </c>
      <c r="J83" t="s">
        <v>1308</v>
      </c>
      <c r="K83" t="s">
        <v>74</v>
      </c>
      <c r="L83" t="s">
        <v>74</v>
      </c>
      <c r="M83" t="s">
        <v>78</v>
      </c>
      <c r="N83" t="s">
        <v>112</v>
      </c>
      <c r="O83" t="s">
        <v>74</v>
      </c>
      <c r="P83" t="s">
        <v>74</v>
      </c>
      <c r="Q83" t="s">
        <v>74</v>
      </c>
      <c r="R83" t="s">
        <v>74</v>
      </c>
      <c r="S83" t="s">
        <v>74</v>
      </c>
      <c r="T83" t="s">
        <v>1903</v>
      </c>
      <c r="U83" t="s">
        <v>1904</v>
      </c>
      <c r="V83" t="s">
        <v>1905</v>
      </c>
      <c r="W83" t="s">
        <v>1906</v>
      </c>
      <c r="X83" t="s">
        <v>1907</v>
      </c>
      <c r="Y83" t="s">
        <v>1908</v>
      </c>
      <c r="Z83" t="s">
        <v>1909</v>
      </c>
      <c r="AA83" t="s">
        <v>1910</v>
      </c>
      <c r="AB83" t="s">
        <v>1911</v>
      </c>
      <c r="AC83" t="s">
        <v>1912</v>
      </c>
      <c r="AD83" t="s">
        <v>1913</v>
      </c>
      <c r="AE83" t="s">
        <v>1914</v>
      </c>
      <c r="AF83" t="s">
        <v>74</v>
      </c>
      <c r="AG83">
        <v>90</v>
      </c>
      <c r="AH83">
        <v>2</v>
      </c>
      <c r="AI83">
        <v>2</v>
      </c>
      <c r="AJ83">
        <v>5</v>
      </c>
      <c r="AK83">
        <v>20</v>
      </c>
      <c r="AL83" t="s">
        <v>447</v>
      </c>
      <c r="AM83" t="s">
        <v>448</v>
      </c>
      <c r="AN83" t="s">
        <v>449</v>
      </c>
      <c r="AO83" t="s">
        <v>1320</v>
      </c>
      <c r="AP83" t="s">
        <v>74</v>
      </c>
      <c r="AQ83" t="s">
        <v>74</v>
      </c>
      <c r="AR83" t="s">
        <v>1321</v>
      </c>
      <c r="AS83" t="s">
        <v>1322</v>
      </c>
      <c r="AT83" t="s">
        <v>98</v>
      </c>
      <c r="AU83">
        <v>2023</v>
      </c>
      <c r="AV83">
        <v>72</v>
      </c>
      <c r="AW83" t="s">
        <v>74</v>
      </c>
      <c r="AX83" t="s">
        <v>74</v>
      </c>
      <c r="AY83" t="s">
        <v>74</v>
      </c>
      <c r="AZ83" t="s">
        <v>74</v>
      </c>
      <c r="BA83" t="s">
        <v>74</v>
      </c>
      <c r="BB83" t="s">
        <v>74</v>
      </c>
      <c r="BC83" t="s">
        <v>74</v>
      </c>
      <c r="BD83">
        <v>103114</v>
      </c>
      <c r="BE83" t="s">
        <v>1915</v>
      </c>
      <c r="BF83" t="str">
        <f>HYPERLINK("http://dx.doi.org/10.1016/j.algal.2023.103114","http://dx.doi.org/10.1016/j.algal.2023.103114")</f>
        <v>http://dx.doi.org/10.1016/j.algal.2023.103114</v>
      </c>
      <c r="BG83" t="s">
        <v>74</v>
      </c>
      <c r="BH83" t="s">
        <v>427</v>
      </c>
      <c r="BI83">
        <v>8</v>
      </c>
      <c r="BJ83" t="s">
        <v>531</v>
      </c>
      <c r="BK83" t="s">
        <v>103</v>
      </c>
      <c r="BL83" t="s">
        <v>531</v>
      </c>
      <c r="BM83" t="s">
        <v>1916</v>
      </c>
      <c r="BN83" t="s">
        <v>74</v>
      </c>
      <c r="BO83" t="s">
        <v>74</v>
      </c>
      <c r="BP83" t="s">
        <v>74</v>
      </c>
      <c r="BQ83" t="s">
        <v>74</v>
      </c>
      <c r="BR83" t="s">
        <v>106</v>
      </c>
      <c r="BS83" t="s">
        <v>1917</v>
      </c>
      <c r="BT83" t="str">
        <f>HYPERLINK("https%3A%2F%2Fwww.webofscience.com%2Fwos%2Fwoscc%2Ffull-record%2FWOS:000984626300001","View Full Record in Web of Science")</f>
        <v>View Full Record in Web of Science</v>
      </c>
    </row>
    <row r="84" spans="1:72" x14ac:dyDescent="0.15">
      <c r="A84" t="s">
        <v>72</v>
      </c>
      <c r="B84" t="s">
        <v>1918</v>
      </c>
      <c r="C84" t="s">
        <v>74</v>
      </c>
      <c r="D84" t="s">
        <v>74</v>
      </c>
      <c r="E84" t="s">
        <v>74</v>
      </c>
      <c r="F84" t="s">
        <v>1919</v>
      </c>
      <c r="G84" t="s">
        <v>74</v>
      </c>
      <c r="H84" t="s">
        <v>74</v>
      </c>
      <c r="I84" t="s">
        <v>1920</v>
      </c>
      <c r="J84" t="s">
        <v>1921</v>
      </c>
      <c r="K84" t="s">
        <v>74</v>
      </c>
      <c r="L84" t="s">
        <v>74</v>
      </c>
      <c r="M84" t="s">
        <v>78</v>
      </c>
      <c r="N84" t="s">
        <v>112</v>
      </c>
      <c r="O84" t="s">
        <v>74</v>
      </c>
      <c r="P84" t="s">
        <v>74</v>
      </c>
      <c r="Q84" t="s">
        <v>74</v>
      </c>
      <c r="R84" t="s">
        <v>74</v>
      </c>
      <c r="S84" t="s">
        <v>74</v>
      </c>
      <c r="T84" t="s">
        <v>1922</v>
      </c>
      <c r="U84" t="s">
        <v>1923</v>
      </c>
      <c r="V84" t="s">
        <v>1924</v>
      </c>
      <c r="W84" t="s">
        <v>1925</v>
      </c>
      <c r="X84" t="s">
        <v>1926</v>
      </c>
      <c r="Y84" t="s">
        <v>1927</v>
      </c>
      <c r="Z84" t="s">
        <v>1928</v>
      </c>
      <c r="AA84" t="s">
        <v>74</v>
      </c>
      <c r="AB84" t="s">
        <v>1929</v>
      </c>
      <c r="AC84" t="s">
        <v>1930</v>
      </c>
      <c r="AD84" t="s">
        <v>1931</v>
      </c>
      <c r="AE84" t="s">
        <v>1932</v>
      </c>
      <c r="AF84" t="s">
        <v>74</v>
      </c>
      <c r="AG84">
        <v>26</v>
      </c>
      <c r="AH84">
        <v>1</v>
      </c>
      <c r="AI84">
        <v>1</v>
      </c>
      <c r="AJ84">
        <v>2</v>
      </c>
      <c r="AK84">
        <v>5</v>
      </c>
      <c r="AL84" t="s">
        <v>225</v>
      </c>
      <c r="AM84" t="s">
        <v>226</v>
      </c>
      <c r="AN84" t="s">
        <v>227</v>
      </c>
      <c r="AO84" t="s">
        <v>1933</v>
      </c>
      <c r="AP84" t="s">
        <v>1934</v>
      </c>
      <c r="AQ84" t="s">
        <v>74</v>
      </c>
      <c r="AR84" t="s">
        <v>1921</v>
      </c>
      <c r="AS84" t="s">
        <v>1935</v>
      </c>
      <c r="AT84" t="s">
        <v>1936</v>
      </c>
      <c r="AU84">
        <v>2023</v>
      </c>
      <c r="AV84">
        <v>137</v>
      </c>
      <c r="AW84" t="s">
        <v>74</v>
      </c>
      <c r="AX84" t="s">
        <v>74</v>
      </c>
      <c r="AY84" t="s">
        <v>74</v>
      </c>
      <c r="AZ84" t="s">
        <v>74</v>
      </c>
      <c r="BA84" t="s">
        <v>74</v>
      </c>
      <c r="BB84" t="s">
        <v>74</v>
      </c>
      <c r="BC84" t="s">
        <v>74</v>
      </c>
      <c r="BD84">
        <v>133382</v>
      </c>
      <c r="BE84" t="s">
        <v>1937</v>
      </c>
      <c r="BF84" t="str">
        <f>HYPERLINK("http://dx.doi.org/10.1016/j.tet.2023.133382","http://dx.doi.org/10.1016/j.tet.2023.133382")</f>
        <v>http://dx.doi.org/10.1016/j.tet.2023.133382</v>
      </c>
      <c r="BG84" t="s">
        <v>74</v>
      </c>
      <c r="BH84" t="s">
        <v>427</v>
      </c>
      <c r="BI84">
        <v>9</v>
      </c>
      <c r="BJ84" t="s">
        <v>1938</v>
      </c>
      <c r="BK84" t="s">
        <v>1939</v>
      </c>
      <c r="BL84" t="s">
        <v>1940</v>
      </c>
      <c r="BM84" t="s">
        <v>1941</v>
      </c>
      <c r="BN84" t="s">
        <v>74</v>
      </c>
      <c r="BO84" t="s">
        <v>74</v>
      </c>
      <c r="BP84" t="s">
        <v>74</v>
      </c>
      <c r="BQ84" t="s">
        <v>74</v>
      </c>
      <c r="BR84" t="s">
        <v>106</v>
      </c>
      <c r="BS84" t="s">
        <v>1942</v>
      </c>
      <c r="BT84" t="str">
        <f>HYPERLINK("https%3A%2F%2Fwww.webofscience.com%2Fwos%2Fwoscc%2Ffull-record%2FWOS:000986834700001","View Full Record in Web of Science")</f>
        <v>View Full Record in Web of Science</v>
      </c>
    </row>
    <row r="85" spans="1:72" x14ac:dyDescent="0.15">
      <c r="A85" t="s">
        <v>72</v>
      </c>
      <c r="B85" t="s">
        <v>1943</v>
      </c>
      <c r="C85" t="s">
        <v>74</v>
      </c>
      <c r="D85" t="s">
        <v>74</v>
      </c>
      <c r="E85" t="s">
        <v>74</v>
      </c>
      <c r="F85" t="s">
        <v>1944</v>
      </c>
      <c r="G85" t="s">
        <v>74</v>
      </c>
      <c r="H85" t="s">
        <v>74</v>
      </c>
      <c r="I85" t="s">
        <v>1945</v>
      </c>
      <c r="J85" t="s">
        <v>1946</v>
      </c>
      <c r="K85" t="s">
        <v>74</v>
      </c>
      <c r="L85" t="s">
        <v>74</v>
      </c>
      <c r="M85" t="s">
        <v>78</v>
      </c>
      <c r="N85" t="s">
        <v>112</v>
      </c>
      <c r="O85" t="s">
        <v>74</v>
      </c>
      <c r="P85" t="s">
        <v>74</v>
      </c>
      <c r="Q85" t="s">
        <v>74</v>
      </c>
      <c r="R85" t="s">
        <v>74</v>
      </c>
      <c r="S85" t="s">
        <v>74</v>
      </c>
      <c r="T85" t="s">
        <v>1947</v>
      </c>
      <c r="U85" t="s">
        <v>1948</v>
      </c>
      <c r="V85" t="s">
        <v>1949</v>
      </c>
      <c r="W85" t="s">
        <v>1950</v>
      </c>
      <c r="X85" t="s">
        <v>1951</v>
      </c>
      <c r="Y85" t="s">
        <v>1952</v>
      </c>
      <c r="Z85" t="s">
        <v>1953</v>
      </c>
      <c r="AA85" t="s">
        <v>1954</v>
      </c>
      <c r="AB85" t="s">
        <v>1955</v>
      </c>
      <c r="AC85" t="s">
        <v>74</v>
      </c>
      <c r="AD85" t="s">
        <v>74</v>
      </c>
      <c r="AE85" t="s">
        <v>74</v>
      </c>
      <c r="AF85" t="s">
        <v>74</v>
      </c>
      <c r="AG85">
        <v>175</v>
      </c>
      <c r="AH85">
        <v>2</v>
      </c>
      <c r="AI85">
        <v>2</v>
      </c>
      <c r="AJ85">
        <v>3</v>
      </c>
      <c r="AK85">
        <v>8</v>
      </c>
      <c r="AL85" t="s">
        <v>447</v>
      </c>
      <c r="AM85" t="s">
        <v>448</v>
      </c>
      <c r="AN85" t="s">
        <v>449</v>
      </c>
      <c r="AO85" t="s">
        <v>1956</v>
      </c>
      <c r="AP85" t="s">
        <v>1957</v>
      </c>
      <c r="AQ85" t="s">
        <v>74</v>
      </c>
      <c r="AR85" t="s">
        <v>1958</v>
      </c>
      <c r="AS85" t="s">
        <v>1959</v>
      </c>
      <c r="AT85" t="s">
        <v>232</v>
      </c>
      <c r="AU85">
        <v>2023</v>
      </c>
      <c r="AV85">
        <v>225</v>
      </c>
      <c r="AW85" t="s">
        <v>74</v>
      </c>
      <c r="AX85" t="s">
        <v>74</v>
      </c>
      <c r="AY85" t="s">
        <v>74</v>
      </c>
      <c r="AZ85" t="s">
        <v>74</v>
      </c>
      <c r="BA85" t="s">
        <v>74</v>
      </c>
      <c r="BB85" t="s">
        <v>74</v>
      </c>
      <c r="BC85" t="s">
        <v>74</v>
      </c>
      <c r="BD85">
        <v>104118</v>
      </c>
      <c r="BE85" t="s">
        <v>1960</v>
      </c>
      <c r="BF85" t="str">
        <f>HYPERLINK("http://dx.doi.org/10.1016/j.gloplacha.2023.104118","http://dx.doi.org/10.1016/j.gloplacha.2023.104118")</f>
        <v>http://dx.doi.org/10.1016/j.gloplacha.2023.104118</v>
      </c>
      <c r="BG85" t="s">
        <v>74</v>
      </c>
      <c r="BH85" t="s">
        <v>427</v>
      </c>
      <c r="BI85">
        <v>21</v>
      </c>
      <c r="BJ85" t="s">
        <v>801</v>
      </c>
      <c r="BK85" t="s">
        <v>103</v>
      </c>
      <c r="BL85" t="s">
        <v>802</v>
      </c>
      <c r="BM85" t="s">
        <v>1961</v>
      </c>
      <c r="BN85" t="s">
        <v>74</v>
      </c>
      <c r="BO85" t="s">
        <v>74</v>
      </c>
      <c r="BP85" t="s">
        <v>74</v>
      </c>
      <c r="BQ85" t="s">
        <v>74</v>
      </c>
      <c r="BR85" t="s">
        <v>106</v>
      </c>
      <c r="BS85" t="s">
        <v>1962</v>
      </c>
      <c r="BT85" t="str">
        <f>HYPERLINK("https%3A%2F%2Fwww.webofscience.com%2Fwos%2Fwoscc%2Ffull-record%2FWOS:000983722200001","View Full Record in Web of Science")</f>
        <v>View Full Record in Web of Science</v>
      </c>
    </row>
    <row r="86" spans="1:72" x14ac:dyDescent="0.15">
      <c r="A86" t="s">
        <v>72</v>
      </c>
      <c r="B86" t="s">
        <v>1963</v>
      </c>
      <c r="C86" t="s">
        <v>74</v>
      </c>
      <c r="D86" t="s">
        <v>74</v>
      </c>
      <c r="E86" t="s">
        <v>74</v>
      </c>
      <c r="F86" t="s">
        <v>1964</v>
      </c>
      <c r="G86" t="s">
        <v>74</v>
      </c>
      <c r="H86" t="s">
        <v>74</v>
      </c>
      <c r="I86" t="s">
        <v>1965</v>
      </c>
      <c r="J86" t="s">
        <v>1966</v>
      </c>
      <c r="K86" t="s">
        <v>74</v>
      </c>
      <c r="L86" t="s">
        <v>74</v>
      </c>
      <c r="M86" t="s">
        <v>78</v>
      </c>
      <c r="N86" t="s">
        <v>112</v>
      </c>
      <c r="O86" t="s">
        <v>74</v>
      </c>
      <c r="P86" t="s">
        <v>74</v>
      </c>
      <c r="Q86" t="s">
        <v>74</v>
      </c>
      <c r="R86" t="s">
        <v>74</v>
      </c>
      <c r="S86" t="s">
        <v>74</v>
      </c>
      <c r="T86" t="s">
        <v>1967</v>
      </c>
      <c r="U86" t="s">
        <v>1968</v>
      </c>
      <c r="V86" t="s">
        <v>1969</v>
      </c>
      <c r="W86" t="s">
        <v>1970</v>
      </c>
      <c r="X86" t="s">
        <v>1971</v>
      </c>
      <c r="Y86" t="s">
        <v>1972</v>
      </c>
      <c r="Z86" t="s">
        <v>1973</v>
      </c>
      <c r="AA86" t="s">
        <v>1974</v>
      </c>
      <c r="AB86" t="s">
        <v>1975</v>
      </c>
      <c r="AC86" t="s">
        <v>1976</v>
      </c>
      <c r="AD86" t="s">
        <v>1977</v>
      </c>
      <c r="AE86" t="s">
        <v>1978</v>
      </c>
      <c r="AF86" t="s">
        <v>74</v>
      </c>
      <c r="AG86">
        <v>55</v>
      </c>
      <c r="AH86">
        <v>1</v>
      </c>
      <c r="AI86">
        <v>1</v>
      </c>
      <c r="AJ86">
        <v>9</v>
      </c>
      <c r="AK86">
        <v>14</v>
      </c>
      <c r="AL86" t="s">
        <v>447</v>
      </c>
      <c r="AM86" t="s">
        <v>448</v>
      </c>
      <c r="AN86" t="s">
        <v>449</v>
      </c>
      <c r="AO86" t="s">
        <v>1979</v>
      </c>
      <c r="AP86" t="s">
        <v>1980</v>
      </c>
      <c r="AQ86" t="s">
        <v>74</v>
      </c>
      <c r="AR86" t="s">
        <v>1981</v>
      </c>
      <c r="AS86" t="s">
        <v>1982</v>
      </c>
      <c r="AT86" t="s">
        <v>1983</v>
      </c>
      <c r="AU86">
        <v>2023</v>
      </c>
      <c r="AV86">
        <v>453</v>
      </c>
      <c r="AW86" t="s">
        <v>74</v>
      </c>
      <c r="AX86" t="s">
        <v>74</v>
      </c>
      <c r="AY86" t="s">
        <v>74</v>
      </c>
      <c r="AZ86" t="s">
        <v>74</v>
      </c>
      <c r="BA86" t="s">
        <v>74</v>
      </c>
      <c r="BB86" t="s">
        <v>74</v>
      </c>
      <c r="BC86" t="s">
        <v>74</v>
      </c>
      <c r="BD86">
        <v>131394</v>
      </c>
      <c r="BE86" t="s">
        <v>1984</v>
      </c>
      <c r="BF86" t="str">
        <f>HYPERLINK("http://dx.doi.org/10.1016/j.jhazmat.2023.131394","http://dx.doi.org/10.1016/j.jhazmat.2023.131394")</f>
        <v>http://dx.doi.org/10.1016/j.jhazmat.2023.131394</v>
      </c>
      <c r="BG86" t="s">
        <v>74</v>
      </c>
      <c r="BH86" t="s">
        <v>427</v>
      </c>
      <c r="BI86">
        <v>13</v>
      </c>
      <c r="BJ86" t="s">
        <v>1985</v>
      </c>
      <c r="BK86" t="s">
        <v>103</v>
      </c>
      <c r="BL86" t="s">
        <v>1986</v>
      </c>
      <c r="BM86" t="s">
        <v>1987</v>
      </c>
      <c r="BN86">
        <v>37086669</v>
      </c>
      <c r="BO86" t="s">
        <v>1748</v>
      </c>
      <c r="BP86" t="s">
        <v>74</v>
      </c>
      <c r="BQ86" t="s">
        <v>74</v>
      </c>
      <c r="BR86" t="s">
        <v>106</v>
      </c>
      <c r="BS86" t="s">
        <v>1988</v>
      </c>
      <c r="BT86" t="str">
        <f>HYPERLINK("https%3A%2F%2Fwww.webofscience.com%2Fwos%2Fwoscc%2Ffull-record%2FWOS:000984068300001","View Full Record in Web of Science")</f>
        <v>View Full Record in Web of Science</v>
      </c>
    </row>
    <row r="87" spans="1:72" x14ac:dyDescent="0.15">
      <c r="A87" t="s">
        <v>72</v>
      </c>
      <c r="B87" t="s">
        <v>1989</v>
      </c>
      <c r="C87" t="s">
        <v>74</v>
      </c>
      <c r="D87" t="s">
        <v>74</v>
      </c>
      <c r="E87" t="s">
        <v>74</v>
      </c>
      <c r="F87" t="s">
        <v>1990</v>
      </c>
      <c r="G87" t="s">
        <v>74</v>
      </c>
      <c r="H87" t="s">
        <v>74</v>
      </c>
      <c r="I87" t="s">
        <v>1991</v>
      </c>
      <c r="J87" t="s">
        <v>1048</v>
      </c>
      <c r="K87" t="s">
        <v>74</v>
      </c>
      <c r="L87" t="s">
        <v>74</v>
      </c>
      <c r="M87" t="s">
        <v>78</v>
      </c>
      <c r="N87" t="s">
        <v>112</v>
      </c>
      <c r="O87" t="s">
        <v>74</v>
      </c>
      <c r="P87" t="s">
        <v>74</v>
      </c>
      <c r="Q87" t="s">
        <v>74</v>
      </c>
      <c r="R87" t="s">
        <v>74</v>
      </c>
      <c r="S87" t="s">
        <v>74</v>
      </c>
      <c r="T87" t="s">
        <v>1992</v>
      </c>
      <c r="U87" t="s">
        <v>1993</v>
      </c>
      <c r="V87" t="s">
        <v>1994</v>
      </c>
      <c r="W87" t="s">
        <v>1995</v>
      </c>
      <c r="X87" t="s">
        <v>1996</v>
      </c>
      <c r="Y87" t="s">
        <v>1997</v>
      </c>
      <c r="Z87" t="s">
        <v>1998</v>
      </c>
      <c r="AA87" t="s">
        <v>1999</v>
      </c>
      <c r="AB87" t="s">
        <v>2000</v>
      </c>
      <c r="AC87" t="s">
        <v>2001</v>
      </c>
      <c r="AD87" t="s">
        <v>2001</v>
      </c>
      <c r="AE87" t="s">
        <v>2002</v>
      </c>
      <c r="AF87" t="s">
        <v>74</v>
      </c>
      <c r="AG87">
        <v>99</v>
      </c>
      <c r="AH87">
        <v>0</v>
      </c>
      <c r="AI87">
        <v>0</v>
      </c>
      <c r="AJ87">
        <v>3</v>
      </c>
      <c r="AK87">
        <v>6</v>
      </c>
      <c r="AL87" t="s">
        <v>447</v>
      </c>
      <c r="AM87" t="s">
        <v>448</v>
      </c>
      <c r="AN87" t="s">
        <v>449</v>
      </c>
      <c r="AO87" t="s">
        <v>1060</v>
      </c>
      <c r="AP87" t="s">
        <v>1061</v>
      </c>
      <c r="AQ87" t="s">
        <v>74</v>
      </c>
      <c r="AR87" t="s">
        <v>1048</v>
      </c>
      <c r="AS87" t="s">
        <v>1062</v>
      </c>
      <c r="AT87" t="s">
        <v>1063</v>
      </c>
      <c r="AU87">
        <v>2023</v>
      </c>
      <c r="AV87">
        <v>573</v>
      </c>
      <c r="AW87" t="s">
        <v>74</v>
      </c>
      <c r="AX87" t="s">
        <v>74</v>
      </c>
      <c r="AY87" t="s">
        <v>74</v>
      </c>
      <c r="AZ87" t="s">
        <v>74</v>
      </c>
      <c r="BA87" t="s">
        <v>74</v>
      </c>
      <c r="BB87" t="s">
        <v>74</v>
      </c>
      <c r="BC87" t="s">
        <v>74</v>
      </c>
      <c r="BD87">
        <v>739590</v>
      </c>
      <c r="BE87" t="s">
        <v>2003</v>
      </c>
      <c r="BF87" t="str">
        <f>HYPERLINK("http://dx.doi.org/10.1016/j.aquaculture.2023.739590","http://dx.doi.org/10.1016/j.aquaculture.2023.739590")</f>
        <v>http://dx.doi.org/10.1016/j.aquaculture.2023.739590</v>
      </c>
      <c r="BG87" t="s">
        <v>74</v>
      </c>
      <c r="BH87" t="s">
        <v>427</v>
      </c>
      <c r="BI87">
        <v>14</v>
      </c>
      <c r="BJ87" t="s">
        <v>1065</v>
      </c>
      <c r="BK87" t="s">
        <v>103</v>
      </c>
      <c r="BL87" t="s">
        <v>1065</v>
      </c>
      <c r="BM87" t="s">
        <v>2004</v>
      </c>
      <c r="BN87" t="s">
        <v>74</v>
      </c>
      <c r="BO87" t="s">
        <v>74</v>
      </c>
      <c r="BP87" t="s">
        <v>74</v>
      </c>
      <c r="BQ87" t="s">
        <v>74</v>
      </c>
      <c r="BR87" t="s">
        <v>106</v>
      </c>
      <c r="BS87" t="s">
        <v>2005</v>
      </c>
      <c r="BT87" t="str">
        <f>HYPERLINK("https%3A%2F%2Fwww.webofscience.com%2Fwos%2Fwoscc%2Ffull-record%2FWOS:000984566700001","View Full Record in Web of Science")</f>
        <v>View Full Record in Web of Science</v>
      </c>
    </row>
    <row r="88" spans="1:72" x14ac:dyDescent="0.15">
      <c r="A88" t="s">
        <v>72</v>
      </c>
      <c r="B88" t="s">
        <v>2006</v>
      </c>
      <c r="C88" t="s">
        <v>74</v>
      </c>
      <c r="D88" t="s">
        <v>74</v>
      </c>
      <c r="E88" t="s">
        <v>74</v>
      </c>
      <c r="F88" t="s">
        <v>2007</v>
      </c>
      <c r="G88" t="s">
        <v>74</v>
      </c>
      <c r="H88" t="s">
        <v>74</v>
      </c>
      <c r="I88" t="s">
        <v>2008</v>
      </c>
      <c r="J88" t="s">
        <v>2009</v>
      </c>
      <c r="K88" t="s">
        <v>74</v>
      </c>
      <c r="L88" t="s">
        <v>74</v>
      </c>
      <c r="M88" t="s">
        <v>78</v>
      </c>
      <c r="N88" t="s">
        <v>112</v>
      </c>
      <c r="O88" t="s">
        <v>74</v>
      </c>
      <c r="P88" t="s">
        <v>74</v>
      </c>
      <c r="Q88" t="s">
        <v>74</v>
      </c>
      <c r="R88" t="s">
        <v>74</v>
      </c>
      <c r="S88" t="s">
        <v>74</v>
      </c>
      <c r="T88" t="s">
        <v>74</v>
      </c>
      <c r="U88" t="s">
        <v>2010</v>
      </c>
      <c r="V88" t="s">
        <v>2011</v>
      </c>
      <c r="W88" t="s">
        <v>2012</v>
      </c>
      <c r="X88" t="s">
        <v>2013</v>
      </c>
      <c r="Y88" t="s">
        <v>2014</v>
      </c>
      <c r="Z88" t="s">
        <v>2015</v>
      </c>
      <c r="AA88" t="s">
        <v>2016</v>
      </c>
      <c r="AB88" t="s">
        <v>2017</v>
      </c>
      <c r="AC88" t="s">
        <v>2018</v>
      </c>
      <c r="AD88" t="s">
        <v>2018</v>
      </c>
      <c r="AE88" t="s">
        <v>2019</v>
      </c>
      <c r="AF88" t="s">
        <v>74</v>
      </c>
      <c r="AG88">
        <v>369</v>
      </c>
      <c r="AH88">
        <v>16</v>
      </c>
      <c r="AI88">
        <v>16</v>
      </c>
      <c r="AJ88">
        <v>27</v>
      </c>
      <c r="AK88">
        <v>48</v>
      </c>
      <c r="AL88" t="s">
        <v>1357</v>
      </c>
      <c r="AM88" t="s">
        <v>525</v>
      </c>
      <c r="AN88" t="s">
        <v>1358</v>
      </c>
      <c r="AO88" t="s">
        <v>2020</v>
      </c>
      <c r="AP88" t="s">
        <v>2021</v>
      </c>
      <c r="AQ88" t="s">
        <v>74</v>
      </c>
      <c r="AR88" t="s">
        <v>2022</v>
      </c>
      <c r="AS88" t="s">
        <v>2023</v>
      </c>
      <c r="AT88" t="s">
        <v>98</v>
      </c>
      <c r="AU88">
        <v>2023</v>
      </c>
      <c r="AV88">
        <v>22</v>
      </c>
      <c r="AW88">
        <v>5</v>
      </c>
      <c r="AX88" t="s">
        <v>74</v>
      </c>
      <c r="AY88" t="s">
        <v>74</v>
      </c>
      <c r="AZ88" t="s">
        <v>185</v>
      </c>
      <c r="BA88" t="s">
        <v>74</v>
      </c>
      <c r="BB88">
        <v>937</v>
      </c>
      <c r="BC88">
        <v>989</v>
      </c>
      <c r="BD88" t="s">
        <v>74</v>
      </c>
      <c r="BE88" t="s">
        <v>2024</v>
      </c>
      <c r="BF88" t="str">
        <f>HYPERLINK("http://dx.doi.org/10.1007/s43630-023-00371-y","http://dx.doi.org/10.1007/s43630-023-00371-y")</f>
        <v>http://dx.doi.org/10.1007/s43630-023-00371-y</v>
      </c>
      <c r="BG88" t="s">
        <v>74</v>
      </c>
      <c r="BH88" t="s">
        <v>427</v>
      </c>
      <c r="BI88">
        <v>53</v>
      </c>
      <c r="BJ88" t="s">
        <v>2025</v>
      </c>
      <c r="BK88" t="s">
        <v>103</v>
      </c>
      <c r="BL88" t="s">
        <v>2026</v>
      </c>
      <c r="BM88" t="s">
        <v>2027</v>
      </c>
      <c r="BN88">
        <v>37083996</v>
      </c>
      <c r="BO88" t="s">
        <v>387</v>
      </c>
      <c r="BP88" t="s">
        <v>1849</v>
      </c>
      <c r="BQ88" t="s">
        <v>1850</v>
      </c>
      <c r="BR88" t="s">
        <v>106</v>
      </c>
      <c r="BS88" t="s">
        <v>2028</v>
      </c>
      <c r="BT88" t="str">
        <f>HYPERLINK("https%3A%2F%2Fwww.webofscience.com%2Fwos%2Fwoscc%2Ffull-record%2FWOS:000976252000001","View Full Record in Web of Science")</f>
        <v>View Full Record in Web of Science</v>
      </c>
    </row>
    <row r="89" spans="1:72" x14ac:dyDescent="0.15">
      <c r="A89" t="s">
        <v>72</v>
      </c>
      <c r="B89" t="s">
        <v>2029</v>
      </c>
      <c r="C89" t="s">
        <v>74</v>
      </c>
      <c r="D89" t="s">
        <v>74</v>
      </c>
      <c r="E89" t="s">
        <v>74</v>
      </c>
      <c r="F89" t="s">
        <v>2030</v>
      </c>
      <c r="G89" t="s">
        <v>74</v>
      </c>
      <c r="H89" t="s">
        <v>74</v>
      </c>
      <c r="I89" t="s">
        <v>2031</v>
      </c>
      <c r="J89" t="s">
        <v>2032</v>
      </c>
      <c r="K89" t="s">
        <v>74</v>
      </c>
      <c r="L89" t="s">
        <v>74</v>
      </c>
      <c r="M89" t="s">
        <v>78</v>
      </c>
      <c r="N89" t="s">
        <v>365</v>
      </c>
      <c r="O89" t="s">
        <v>74</v>
      </c>
      <c r="P89" t="s">
        <v>74</v>
      </c>
      <c r="Q89" t="s">
        <v>74</v>
      </c>
      <c r="R89" t="s">
        <v>74</v>
      </c>
      <c r="S89" t="s">
        <v>74</v>
      </c>
      <c r="T89" t="s">
        <v>74</v>
      </c>
      <c r="U89" t="s">
        <v>2033</v>
      </c>
      <c r="V89" t="s">
        <v>2034</v>
      </c>
      <c r="W89" t="s">
        <v>2035</v>
      </c>
      <c r="X89" t="s">
        <v>2036</v>
      </c>
      <c r="Y89" t="s">
        <v>2037</v>
      </c>
      <c r="Z89" t="s">
        <v>2038</v>
      </c>
      <c r="AA89" t="s">
        <v>2039</v>
      </c>
      <c r="AB89" t="s">
        <v>2040</v>
      </c>
      <c r="AC89" t="s">
        <v>2041</v>
      </c>
      <c r="AD89" t="s">
        <v>2042</v>
      </c>
      <c r="AE89" t="s">
        <v>2043</v>
      </c>
      <c r="AF89" t="s">
        <v>74</v>
      </c>
      <c r="AG89">
        <v>24</v>
      </c>
      <c r="AH89">
        <v>0</v>
      </c>
      <c r="AI89">
        <v>0</v>
      </c>
      <c r="AJ89">
        <v>5</v>
      </c>
      <c r="AK89">
        <v>7</v>
      </c>
      <c r="AL89" t="s">
        <v>2044</v>
      </c>
      <c r="AM89" t="s">
        <v>2045</v>
      </c>
      <c r="AN89" t="s">
        <v>2046</v>
      </c>
      <c r="AO89" t="s">
        <v>2047</v>
      </c>
      <c r="AP89" t="s">
        <v>74</v>
      </c>
      <c r="AQ89" t="s">
        <v>74</v>
      </c>
      <c r="AR89" t="s">
        <v>2032</v>
      </c>
      <c r="AS89" t="s">
        <v>2048</v>
      </c>
      <c r="AT89" t="s">
        <v>2049</v>
      </c>
      <c r="AU89">
        <v>2023</v>
      </c>
      <c r="AV89">
        <v>18</v>
      </c>
      <c r="AW89">
        <v>4</v>
      </c>
      <c r="AX89" t="s">
        <v>74</v>
      </c>
      <c r="AY89" t="s">
        <v>74</v>
      </c>
      <c r="AZ89" t="s">
        <v>74</v>
      </c>
      <c r="BA89" t="s">
        <v>74</v>
      </c>
      <c r="BB89" t="s">
        <v>74</v>
      </c>
      <c r="BC89" t="s">
        <v>74</v>
      </c>
      <c r="BD89" t="s">
        <v>2050</v>
      </c>
      <c r="BE89" t="s">
        <v>2051</v>
      </c>
      <c r="BF89" t="str">
        <f>HYPERLINK("http://dx.doi.org/10.1371/journal.pone.0284711","http://dx.doi.org/10.1371/journal.pone.0284711")</f>
        <v>http://dx.doi.org/10.1371/journal.pone.0284711</v>
      </c>
      <c r="BG89" t="s">
        <v>74</v>
      </c>
      <c r="BH89" t="s">
        <v>74</v>
      </c>
      <c r="BI89">
        <v>12</v>
      </c>
      <c r="BJ89" t="s">
        <v>210</v>
      </c>
      <c r="BK89" t="s">
        <v>103</v>
      </c>
      <c r="BL89" t="s">
        <v>211</v>
      </c>
      <c r="BM89" t="s">
        <v>2052</v>
      </c>
      <c r="BN89">
        <v>37079655</v>
      </c>
      <c r="BO89" t="s">
        <v>2053</v>
      </c>
      <c r="BP89" t="s">
        <v>74</v>
      </c>
      <c r="BQ89" t="s">
        <v>74</v>
      </c>
      <c r="BR89" t="s">
        <v>106</v>
      </c>
      <c r="BS89" t="s">
        <v>2054</v>
      </c>
      <c r="BT89" t="str">
        <f>HYPERLINK("https%3A%2F%2Fwww.webofscience.com%2Fwos%2Fwoscc%2Ffull-record%2FWOS:000985308900070","View Full Record in Web of Science")</f>
        <v>View Full Record in Web of Science</v>
      </c>
    </row>
    <row r="90" spans="1:72" x14ac:dyDescent="0.15">
      <c r="A90" t="s">
        <v>72</v>
      </c>
      <c r="B90" t="s">
        <v>2055</v>
      </c>
      <c r="C90" t="s">
        <v>74</v>
      </c>
      <c r="D90" t="s">
        <v>74</v>
      </c>
      <c r="E90" t="s">
        <v>74</v>
      </c>
      <c r="F90" t="s">
        <v>2056</v>
      </c>
      <c r="G90" t="s">
        <v>74</v>
      </c>
      <c r="H90" t="s">
        <v>74</v>
      </c>
      <c r="I90" t="s">
        <v>2057</v>
      </c>
      <c r="J90" t="s">
        <v>2058</v>
      </c>
      <c r="K90" t="s">
        <v>74</v>
      </c>
      <c r="L90" t="s">
        <v>74</v>
      </c>
      <c r="M90" t="s">
        <v>78</v>
      </c>
      <c r="N90" t="s">
        <v>1118</v>
      </c>
      <c r="O90" t="s">
        <v>74</v>
      </c>
      <c r="P90" t="s">
        <v>74</v>
      </c>
      <c r="Q90" t="s">
        <v>74</v>
      </c>
      <c r="R90" t="s">
        <v>74</v>
      </c>
      <c r="S90" t="s">
        <v>74</v>
      </c>
      <c r="T90" t="s">
        <v>74</v>
      </c>
      <c r="U90" t="s">
        <v>2059</v>
      </c>
      <c r="V90" t="s">
        <v>2060</v>
      </c>
      <c r="W90" t="s">
        <v>2061</v>
      </c>
      <c r="X90" t="s">
        <v>2062</v>
      </c>
      <c r="Y90" t="s">
        <v>2063</v>
      </c>
      <c r="Z90" t="s">
        <v>2064</v>
      </c>
      <c r="AA90" t="s">
        <v>2065</v>
      </c>
      <c r="AB90" t="s">
        <v>2066</v>
      </c>
      <c r="AC90" t="s">
        <v>2067</v>
      </c>
      <c r="AD90" t="s">
        <v>2067</v>
      </c>
      <c r="AE90" t="s">
        <v>2068</v>
      </c>
      <c r="AF90" t="s">
        <v>74</v>
      </c>
      <c r="AG90">
        <v>121</v>
      </c>
      <c r="AH90">
        <v>28</v>
      </c>
      <c r="AI90">
        <v>31</v>
      </c>
      <c r="AJ90">
        <v>15</v>
      </c>
      <c r="AK90">
        <v>37</v>
      </c>
      <c r="AL90" t="s">
        <v>794</v>
      </c>
      <c r="AM90" t="s">
        <v>795</v>
      </c>
      <c r="AN90" t="s">
        <v>796</v>
      </c>
      <c r="AO90" t="s">
        <v>2069</v>
      </c>
      <c r="AP90" t="s">
        <v>2070</v>
      </c>
      <c r="AQ90" t="s">
        <v>74</v>
      </c>
      <c r="AR90" t="s">
        <v>2071</v>
      </c>
      <c r="AS90" t="s">
        <v>2072</v>
      </c>
      <c r="AT90" t="s">
        <v>2049</v>
      </c>
      <c r="AU90">
        <v>2023</v>
      </c>
      <c r="AV90">
        <v>15</v>
      </c>
      <c r="AW90">
        <v>4</v>
      </c>
      <c r="AX90" t="s">
        <v>74</v>
      </c>
      <c r="AY90" t="s">
        <v>74</v>
      </c>
      <c r="AZ90" t="s">
        <v>74</v>
      </c>
      <c r="BA90" t="s">
        <v>74</v>
      </c>
      <c r="BB90">
        <v>1597</v>
      </c>
      <c r="BC90">
        <v>1616</v>
      </c>
      <c r="BD90" t="s">
        <v>74</v>
      </c>
      <c r="BE90" t="s">
        <v>2073</v>
      </c>
      <c r="BF90" t="str">
        <f>HYPERLINK("http://dx.doi.org/10.5194/essd-15-1597-2023","http://dx.doi.org/10.5194/essd-15-1597-2023")</f>
        <v>http://dx.doi.org/10.5194/essd-15-1597-2023</v>
      </c>
      <c r="BG90" t="s">
        <v>74</v>
      </c>
      <c r="BH90" t="s">
        <v>74</v>
      </c>
      <c r="BI90">
        <v>20</v>
      </c>
      <c r="BJ90" t="s">
        <v>1041</v>
      </c>
      <c r="BK90" t="s">
        <v>103</v>
      </c>
      <c r="BL90" t="s">
        <v>1042</v>
      </c>
      <c r="BM90" t="s">
        <v>2074</v>
      </c>
      <c r="BN90" t="s">
        <v>74</v>
      </c>
      <c r="BO90" t="s">
        <v>2075</v>
      </c>
      <c r="BP90" t="s">
        <v>74</v>
      </c>
      <c r="BQ90" t="s">
        <v>74</v>
      </c>
      <c r="BR90" t="s">
        <v>106</v>
      </c>
      <c r="BS90" t="s">
        <v>2076</v>
      </c>
      <c r="BT90" t="str">
        <f>HYPERLINK("https%3A%2F%2Fwww.webofscience.com%2Fwos%2Fwoscc%2Ffull-record%2FWOS:000975528500001","View Full Record in Web of Science")</f>
        <v>View Full Record in Web of Science</v>
      </c>
    </row>
    <row r="91" spans="1:72" x14ac:dyDescent="0.15">
      <c r="A91" t="s">
        <v>72</v>
      </c>
      <c r="B91" t="s">
        <v>2077</v>
      </c>
      <c r="C91" t="s">
        <v>74</v>
      </c>
      <c r="D91" t="s">
        <v>74</v>
      </c>
      <c r="E91" t="s">
        <v>74</v>
      </c>
      <c r="F91" t="s">
        <v>2078</v>
      </c>
      <c r="G91" t="s">
        <v>74</v>
      </c>
      <c r="H91" t="s">
        <v>74</v>
      </c>
      <c r="I91" t="s">
        <v>2079</v>
      </c>
      <c r="J91" t="s">
        <v>2080</v>
      </c>
      <c r="K91" t="s">
        <v>74</v>
      </c>
      <c r="L91" t="s">
        <v>74</v>
      </c>
      <c r="M91" t="s">
        <v>78</v>
      </c>
      <c r="N91" t="s">
        <v>1754</v>
      </c>
      <c r="O91" t="s">
        <v>74</v>
      </c>
      <c r="P91" t="s">
        <v>74</v>
      </c>
      <c r="Q91" t="s">
        <v>74</v>
      </c>
      <c r="R91" t="s">
        <v>74</v>
      </c>
      <c r="S91" t="s">
        <v>74</v>
      </c>
      <c r="T91" t="s">
        <v>2081</v>
      </c>
      <c r="U91" t="s">
        <v>2082</v>
      </c>
      <c r="V91" t="s">
        <v>2083</v>
      </c>
      <c r="W91" t="s">
        <v>2084</v>
      </c>
      <c r="X91" t="s">
        <v>2085</v>
      </c>
      <c r="Y91" t="s">
        <v>2086</v>
      </c>
      <c r="Z91" t="s">
        <v>2087</v>
      </c>
      <c r="AA91" t="s">
        <v>2088</v>
      </c>
      <c r="AB91" t="s">
        <v>2089</v>
      </c>
      <c r="AC91" t="s">
        <v>2090</v>
      </c>
      <c r="AD91" t="s">
        <v>2091</v>
      </c>
      <c r="AE91" t="s">
        <v>2090</v>
      </c>
      <c r="AF91" t="s">
        <v>74</v>
      </c>
      <c r="AG91">
        <v>78</v>
      </c>
      <c r="AH91">
        <v>1</v>
      </c>
      <c r="AI91">
        <v>1</v>
      </c>
      <c r="AJ91">
        <v>4</v>
      </c>
      <c r="AK91">
        <v>9</v>
      </c>
      <c r="AL91" t="s">
        <v>2092</v>
      </c>
      <c r="AM91" t="s">
        <v>2093</v>
      </c>
      <c r="AN91" t="s">
        <v>2094</v>
      </c>
      <c r="AO91" t="s">
        <v>2095</v>
      </c>
      <c r="AP91" t="s">
        <v>2096</v>
      </c>
      <c r="AQ91" t="s">
        <v>74</v>
      </c>
      <c r="AR91" t="s">
        <v>2097</v>
      </c>
      <c r="AS91" t="s">
        <v>2098</v>
      </c>
      <c r="AT91" t="s">
        <v>2099</v>
      </c>
      <c r="AU91">
        <v>2023</v>
      </c>
      <c r="AV91" t="s">
        <v>74</v>
      </c>
      <c r="AW91" t="s">
        <v>74</v>
      </c>
      <c r="AX91" t="s">
        <v>74</v>
      </c>
      <c r="AY91" t="s">
        <v>74</v>
      </c>
      <c r="AZ91" t="s">
        <v>74</v>
      </c>
      <c r="BA91" t="s">
        <v>74</v>
      </c>
      <c r="BB91" t="s">
        <v>74</v>
      </c>
      <c r="BC91" t="s">
        <v>74</v>
      </c>
      <c r="BD91" t="s">
        <v>74</v>
      </c>
      <c r="BE91" t="s">
        <v>2100</v>
      </c>
      <c r="BF91" t="str">
        <f>HYPERLINK("http://dx.doi.org/10.1111/aec.13332","http://dx.doi.org/10.1111/aec.13332")</f>
        <v>http://dx.doi.org/10.1111/aec.13332</v>
      </c>
      <c r="BG91" t="s">
        <v>74</v>
      </c>
      <c r="BH91" t="s">
        <v>427</v>
      </c>
      <c r="BI91">
        <v>17</v>
      </c>
      <c r="BJ91" t="s">
        <v>2101</v>
      </c>
      <c r="BK91" t="s">
        <v>103</v>
      </c>
      <c r="BL91" t="s">
        <v>1164</v>
      </c>
      <c r="BM91" t="s">
        <v>2102</v>
      </c>
      <c r="BN91" t="s">
        <v>74</v>
      </c>
      <c r="BO91" t="s">
        <v>74</v>
      </c>
      <c r="BP91" t="s">
        <v>74</v>
      </c>
      <c r="BQ91" t="s">
        <v>74</v>
      </c>
      <c r="BR91" t="s">
        <v>106</v>
      </c>
      <c r="BS91" t="s">
        <v>2103</v>
      </c>
      <c r="BT91" t="str">
        <f>HYPERLINK("https%3A%2F%2Fwww.webofscience.com%2Fwos%2Fwoscc%2Ffull-record%2FWOS:000975819400001","View Full Record in Web of Science")</f>
        <v>View Full Record in Web of Science</v>
      </c>
    </row>
    <row r="92" spans="1:72" x14ac:dyDescent="0.15">
      <c r="A92" t="s">
        <v>72</v>
      </c>
      <c r="B92" t="s">
        <v>2104</v>
      </c>
      <c r="C92" t="s">
        <v>74</v>
      </c>
      <c r="D92" t="s">
        <v>74</v>
      </c>
      <c r="E92" t="s">
        <v>74</v>
      </c>
      <c r="F92" t="s">
        <v>2105</v>
      </c>
      <c r="G92" t="s">
        <v>74</v>
      </c>
      <c r="H92" t="s">
        <v>74</v>
      </c>
      <c r="I92" t="s">
        <v>2106</v>
      </c>
      <c r="J92" t="s">
        <v>2107</v>
      </c>
      <c r="K92" t="s">
        <v>74</v>
      </c>
      <c r="L92" t="s">
        <v>74</v>
      </c>
      <c r="M92" t="s">
        <v>78</v>
      </c>
      <c r="N92" t="s">
        <v>1754</v>
      </c>
      <c r="O92" t="s">
        <v>74</v>
      </c>
      <c r="P92" t="s">
        <v>74</v>
      </c>
      <c r="Q92" t="s">
        <v>74</v>
      </c>
      <c r="R92" t="s">
        <v>74</v>
      </c>
      <c r="S92" t="s">
        <v>74</v>
      </c>
      <c r="T92" t="s">
        <v>2108</v>
      </c>
      <c r="U92" t="s">
        <v>2109</v>
      </c>
      <c r="V92" t="s">
        <v>2110</v>
      </c>
      <c r="W92" t="s">
        <v>2111</v>
      </c>
      <c r="X92" t="s">
        <v>2112</v>
      </c>
      <c r="Y92" t="s">
        <v>2113</v>
      </c>
      <c r="Z92" t="s">
        <v>2114</v>
      </c>
      <c r="AA92" t="s">
        <v>2115</v>
      </c>
      <c r="AB92" t="s">
        <v>74</v>
      </c>
      <c r="AC92" t="s">
        <v>74</v>
      </c>
      <c r="AD92" t="s">
        <v>74</v>
      </c>
      <c r="AE92" t="s">
        <v>74</v>
      </c>
      <c r="AF92" t="s">
        <v>74</v>
      </c>
      <c r="AG92">
        <v>51</v>
      </c>
      <c r="AH92">
        <v>1</v>
      </c>
      <c r="AI92">
        <v>1</v>
      </c>
      <c r="AJ92">
        <v>1</v>
      </c>
      <c r="AK92">
        <v>5</v>
      </c>
      <c r="AL92" t="s">
        <v>2116</v>
      </c>
      <c r="AM92" t="s">
        <v>226</v>
      </c>
      <c r="AN92" t="s">
        <v>2117</v>
      </c>
      <c r="AO92" t="s">
        <v>2118</v>
      </c>
      <c r="AP92" t="s">
        <v>2119</v>
      </c>
      <c r="AQ92" t="s">
        <v>74</v>
      </c>
      <c r="AR92" t="s">
        <v>2120</v>
      </c>
      <c r="AS92" t="s">
        <v>2121</v>
      </c>
      <c r="AT92" t="s">
        <v>2099</v>
      </c>
      <c r="AU92">
        <v>2023</v>
      </c>
      <c r="AV92" t="s">
        <v>74</v>
      </c>
      <c r="AW92" t="s">
        <v>74</v>
      </c>
      <c r="AX92" t="s">
        <v>74</v>
      </c>
      <c r="AY92" t="s">
        <v>74</v>
      </c>
      <c r="AZ92" t="s">
        <v>74</v>
      </c>
      <c r="BA92" t="s">
        <v>74</v>
      </c>
      <c r="BB92" t="s">
        <v>74</v>
      </c>
      <c r="BC92" t="s">
        <v>74</v>
      </c>
      <c r="BD92" t="s">
        <v>74</v>
      </c>
      <c r="BE92" t="s">
        <v>2122</v>
      </c>
      <c r="BF92" t="str">
        <f>HYPERLINK("http://dx.doi.org/10.1093/aob/mcad055","http://dx.doi.org/10.1093/aob/mcad055")</f>
        <v>http://dx.doi.org/10.1093/aob/mcad055</v>
      </c>
      <c r="BG92" t="s">
        <v>74</v>
      </c>
      <c r="BH92" t="s">
        <v>427</v>
      </c>
      <c r="BI92">
        <v>10</v>
      </c>
      <c r="BJ92" t="s">
        <v>2123</v>
      </c>
      <c r="BK92" t="s">
        <v>103</v>
      </c>
      <c r="BL92" t="s">
        <v>2123</v>
      </c>
      <c r="BM92" t="s">
        <v>2124</v>
      </c>
      <c r="BN92">
        <v>37076271</v>
      </c>
      <c r="BO92" t="s">
        <v>74</v>
      </c>
      <c r="BP92" t="s">
        <v>74</v>
      </c>
      <c r="BQ92" t="s">
        <v>74</v>
      </c>
      <c r="BR92" t="s">
        <v>106</v>
      </c>
      <c r="BS92" t="s">
        <v>2125</v>
      </c>
      <c r="BT92" t="str">
        <f>HYPERLINK("https%3A%2F%2Fwww.webofscience.com%2Fwos%2Fwoscc%2Ffull-record%2FWOS:000985313300001","View Full Record in Web of Science")</f>
        <v>View Full Record in Web of Science</v>
      </c>
    </row>
    <row r="93" spans="1:72" x14ac:dyDescent="0.15">
      <c r="A93" t="s">
        <v>72</v>
      </c>
      <c r="B93" t="s">
        <v>2126</v>
      </c>
      <c r="C93" t="s">
        <v>74</v>
      </c>
      <c r="D93" t="s">
        <v>74</v>
      </c>
      <c r="E93" t="s">
        <v>74</v>
      </c>
      <c r="F93" t="s">
        <v>2127</v>
      </c>
      <c r="G93" t="s">
        <v>74</v>
      </c>
      <c r="H93" t="s">
        <v>74</v>
      </c>
      <c r="I93" t="s">
        <v>2128</v>
      </c>
      <c r="J93" t="s">
        <v>2129</v>
      </c>
      <c r="K93" t="s">
        <v>74</v>
      </c>
      <c r="L93" t="s">
        <v>74</v>
      </c>
      <c r="M93" t="s">
        <v>78</v>
      </c>
      <c r="N93" t="s">
        <v>112</v>
      </c>
      <c r="O93" t="s">
        <v>74</v>
      </c>
      <c r="P93" t="s">
        <v>74</v>
      </c>
      <c r="Q93" t="s">
        <v>74</v>
      </c>
      <c r="R93" t="s">
        <v>74</v>
      </c>
      <c r="S93" t="s">
        <v>74</v>
      </c>
      <c r="T93" t="s">
        <v>2130</v>
      </c>
      <c r="U93" t="s">
        <v>2131</v>
      </c>
      <c r="V93" t="s">
        <v>2132</v>
      </c>
      <c r="W93" t="s">
        <v>2133</v>
      </c>
      <c r="X93" t="s">
        <v>2134</v>
      </c>
      <c r="Y93" t="s">
        <v>2135</v>
      </c>
      <c r="Z93" t="s">
        <v>2136</v>
      </c>
      <c r="AA93" t="s">
        <v>74</v>
      </c>
      <c r="AB93" t="s">
        <v>2137</v>
      </c>
      <c r="AC93" t="s">
        <v>2138</v>
      </c>
      <c r="AD93" t="s">
        <v>2139</v>
      </c>
      <c r="AE93" t="s">
        <v>2140</v>
      </c>
      <c r="AF93" t="s">
        <v>74</v>
      </c>
      <c r="AG93">
        <v>79</v>
      </c>
      <c r="AH93">
        <v>0</v>
      </c>
      <c r="AI93">
        <v>0</v>
      </c>
      <c r="AJ93">
        <v>1</v>
      </c>
      <c r="AK93">
        <v>3</v>
      </c>
      <c r="AL93" t="s">
        <v>447</v>
      </c>
      <c r="AM93" t="s">
        <v>448</v>
      </c>
      <c r="AN93" t="s">
        <v>449</v>
      </c>
      <c r="AO93" t="s">
        <v>2141</v>
      </c>
      <c r="AP93" t="s">
        <v>2142</v>
      </c>
      <c r="AQ93" t="s">
        <v>74</v>
      </c>
      <c r="AR93" t="s">
        <v>2129</v>
      </c>
      <c r="AS93" t="s">
        <v>2143</v>
      </c>
      <c r="AT93" t="s">
        <v>570</v>
      </c>
      <c r="AU93">
        <v>2023</v>
      </c>
      <c r="AV93">
        <v>448</v>
      </c>
      <c r="AW93" t="s">
        <v>74</v>
      </c>
      <c r="AX93" t="s">
        <v>74</v>
      </c>
      <c r="AY93" t="s">
        <v>74</v>
      </c>
      <c r="AZ93" t="s">
        <v>74</v>
      </c>
      <c r="BA93" t="s">
        <v>74</v>
      </c>
      <c r="BB93" t="s">
        <v>74</v>
      </c>
      <c r="BC93" t="s">
        <v>74</v>
      </c>
      <c r="BD93">
        <v>107170</v>
      </c>
      <c r="BE93" t="s">
        <v>2144</v>
      </c>
      <c r="BF93" t="str">
        <f>HYPERLINK("http://dx.doi.org/10.1016/j.lithos.2023.107170","http://dx.doi.org/10.1016/j.lithos.2023.107170")</f>
        <v>http://dx.doi.org/10.1016/j.lithos.2023.107170</v>
      </c>
      <c r="BG93" t="s">
        <v>74</v>
      </c>
      <c r="BH93" t="s">
        <v>427</v>
      </c>
      <c r="BI93">
        <v>17</v>
      </c>
      <c r="BJ93" t="s">
        <v>2145</v>
      </c>
      <c r="BK93" t="s">
        <v>103</v>
      </c>
      <c r="BL93" t="s">
        <v>2145</v>
      </c>
      <c r="BM93" t="s">
        <v>2146</v>
      </c>
      <c r="BN93" t="s">
        <v>74</v>
      </c>
      <c r="BO93" t="s">
        <v>387</v>
      </c>
      <c r="BP93" t="s">
        <v>74</v>
      </c>
      <c r="BQ93" t="s">
        <v>74</v>
      </c>
      <c r="BR93" t="s">
        <v>106</v>
      </c>
      <c r="BS93" t="s">
        <v>2147</v>
      </c>
      <c r="BT93" t="str">
        <f>HYPERLINK("https%3A%2F%2Fwww.webofscience.com%2Fwos%2Fwoscc%2Ffull-record%2FWOS:000984875100001","View Full Record in Web of Science")</f>
        <v>View Full Record in Web of Science</v>
      </c>
    </row>
    <row r="94" spans="1:72" x14ac:dyDescent="0.15">
      <c r="A94" t="s">
        <v>72</v>
      </c>
      <c r="B94" t="s">
        <v>2148</v>
      </c>
      <c r="C94" t="s">
        <v>74</v>
      </c>
      <c r="D94" t="s">
        <v>74</v>
      </c>
      <c r="E94" t="s">
        <v>74</v>
      </c>
      <c r="F94" t="s">
        <v>2149</v>
      </c>
      <c r="G94" t="s">
        <v>74</v>
      </c>
      <c r="H94" t="s">
        <v>74</v>
      </c>
      <c r="I94" t="s">
        <v>2150</v>
      </c>
      <c r="J94" t="s">
        <v>1215</v>
      </c>
      <c r="K94" t="s">
        <v>74</v>
      </c>
      <c r="L94" t="s">
        <v>74</v>
      </c>
      <c r="M94" t="s">
        <v>78</v>
      </c>
      <c r="N94" t="s">
        <v>112</v>
      </c>
      <c r="O94" t="s">
        <v>74</v>
      </c>
      <c r="P94" t="s">
        <v>74</v>
      </c>
      <c r="Q94" t="s">
        <v>74</v>
      </c>
      <c r="R94" t="s">
        <v>74</v>
      </c>
      <c r="S94" t="s">
        <v>74</v>
      </c>
      <c r="T94" t="s">
        <v>2151</v>
      </c>
      <c r="U94" t="s">
        <v>2152</v>
      </c>
      <c r="V94" t="s">
        <v>2153</v>
      </c>
      <c r="W94" t="s">
        <v>2154</v>
      </c>
      <c r="X94" t="s">
        <v>2155</v>
      </c>
      <c r="Y94" t="s">
        <v>2156</v>
      </c>
      <c r="Z94" t="s">
        <v>2157</v>
      </c>
      <c r="AA94" t="s">
        <v>2158</v>
      </c>
      <c r="AB94" t="s">
        <v>2159</v>
      </c>
      <c r="AC94" t="s">
        <v>2160</v>
      </c>
      <c r="AD94" t="s">
        <v>2161</v>
      </c>
      <c r="AE94" t="s">
        <v>2162</v>
      </c>
      <c r="AF94" t="s">
        <v>74</v>
      </c>
      <c r="AG94">
        <v>87</v>
      </c>
      <c r="AH94">
        <v>0</v>
      </c>
      <c r="AI94">
        <v>0</v>
      </c>
      <c r="AJ94">
        <v>3</v>
      </c>
      <c r="AK94">
        <v>5</v>
      </c>
      <c r="AL94" t="s">
        <v>700</v>
      </c>
      <c r="AM94" t="s">
        <v>701</v>
      </c>
      <c r="AN94" t="s">
        <v>702</v>
      </c>
      <c r="AO94" t="s">
        <v>74</v>
      </c>
      <c r="AP94" t="s">
        <v>1228</v>
      </c>
      <c r="AQ94" t="s">
        <v>74</v>
      </c>
      <c r="AR94" t="s">
        <v>1229</v>
      </c>
      <c r="AS94" t="s">
        <v>1230</v>
      </c>
      <c r="AT94" t="s">
        <v>2049</v>
      </c>
      <c r="AU94">
        <v>2023</v>
      </c>
      <c r="AV94">
        <v>10</v>
      </c>
      <c r="AW94" t="s">
        <v>74</v>
      </c>
      <c r="AX94" t="s">
        <v>74</v>
      </c>
      <c r="AY94" t="s">
        <v>74</v>
      </c>
      <c r="AZ94" t="s">
        <v>74</v>
      </c>
      <c r="BA94" t="s">
        <v>74</v>
      </c>
      <c r="BB94" t="s">
        <v>74</v>
      </c>
      <c r="BC94" t="s">
        <v>74</v>
      </c>
      <c r="BD94">
        <v>1135900</v>
      </c>
      <c r="BE94" t="s">
        <v>2163</v>
      </c>
      <c r="BF94" t="str">
        <f>HYPERLINK("http://dx.doi.org/10.3389/fmars.2023.1135900","http://dx.doi.org/10.3389/fmars.2023.1135900")</f>
        <v>http://dx.doi.org/10.3389/fmars.2023.1135900</v>
      </c>
      <c r="BG94" t="s">
        <v>74</v>
      </c>
      <c r="BH94" t="s">
        <v>74</v>
      </c>
      <c r="BI94">
        <v>18</v>
      </c>
      <c r="BJ94" t="s">
        <v>636</v>
      </c>
      <c r="BK94" t="s">
        <v>103</v>
      </c>
      <c r="BL94" t="s">
        <v>637</v>
      </c>
      <c r="BM94" t="s">
        <v>2164</v>
      </c>
      <c r="BN94" t="s">
        <v>74</v>
      </c>
      <c r="BO94" t="s">
        <v>359</v>
      </c>
      <c r="BP94" t="s">
        <v>74</v>
      </c>
      <c r="BQ94" t="s">
        <v>74</v>
      </c>
      <c r="BR94" t="s">
        <v>106</v>
      </c>
      <c r="BS94" t="s">
        <v>2165</v>
      </c>
      <c r="BT94" t="str">
        <f>HYPERLINK("https%3A%2F%2Fwww.webofscience.com%2Fwos%2Fwoscc%2Ffull-record%2FWOS:000981096100001","View Full Record in Web of Science")</f>
        <v>View Full Record in Web of Science</v>
      </c>
    </row>
    <row r="95" spans="1:72" x14ac:dyDescent="0.15">
      <c r="A95" t="s">
        <v>72</v>
      </c>
      <c r="B95" t="s">
        <v>2166</v>
      </c>
      <c r="C95" t="s">
        <v>74</v>
      </c>
      <c r="D95" t="s">
        <v>74</v>
      </c>
      <c r="E95" t="s">
        <v>74</v>
      </c>
      <c r="F95" t="s">
        <v>2167</v>
      </c>
      <c r="G95" t="s">
        <v>74</v>
      </c>
      <c r="H95" t="s">
        <v>74</v>
      </c>
      <c r="I95" t="s">
        <v>2168</v>
      </c>
      <c r="J95" t="s">
        <v>955</v>
      </c>
      <c r="K95" t="s">
        <v>74</v>
      </c>
      <c r="L95" t="s">
        <v>74</v>
      </c>
      <c r="M95" t="s">
        <v>78</v>
      </c>
      <c r="N95" t="s">
        <v>112</v>
      </c>
      <c r="O95" t="s">
        <v>74</v>
      </c>
      <c r="P95" t="s">
        <v>74</v>
      </c>
      <c r="Q95" t="s">
        <v>74</v>
      </c>
      <c r="R95" t="s">
        <v>74</v>
      </c>
      <c r="S95" t="s">
        <v>74</v>
      </c>
      <c r="T95" t="s">
        <v>2169</v>
      </c>
      <c r="U95" t="s">
        <v>2170</v>
      </c>
      <c r="V95" t="s">
        <v>2171</v>
      </c>
      <c r="W95" t="s">
        <v>2172</v>
      </c>
      <c r="X95" t="s">
        <v>2173</v>
      </c>
      <c r="Y95" t="s">
        <v>2174</v>
      </c>
      <c r="Z95" t="s">
        <v>2175</v>
      </c>
      <c r="AA95" t="s">
        <v>2176</v>
      </c>
      <c r="AB95" t="s">
        <v>2177</v>
      </c>
      <c r="AC95" t="s">
        <v>74</v>
      </c>
      <c r="AD95" t="s">
        <v>74</v>
      </c>
      <c r="AE95" t="s">
        <v>74</v>
      </c>
      <c r="AF95" t="s">
        <v>74</v>
      </c>
      <c r="AG95">
        <v>95</v>
      </c>
      <c r="AH95">
        <v>0</v>
      </c>
      <c r="AI95">
        <v>0</v>
      </c>
      <c r="AJ95">
        <v>1</v>
      </c>
      <c r="AK95">
        <v>3</v>
      </c>
      <c r="AL95" t="s">
        <v>447</v>
      </c>
      <c r="AM95" t="s">
        <v>448</v>
      </c>
      <c r="AN95" t="s">
        <v>449</v>
      </c>
      <c r="AO95" t="s">
        <v>968</v>
      </c>
      <c r="AP95" t="s">
        <v>969</v>
      </c>
      <c r="AQ95" t="s">
        <v>74</v>
      </c>
      <c r="AR95" t="s">
        <v>970</v>
      </c>
      <c r="AS95" t="s">
        <v>971</v>
      </c>
      <c r="AT95" t="s">
        <v>98</v>
      </c>
      <c r="AU95">
        <v>2023</v>
      </c>
      <c r="AV95">
        <v>240</v>
      </c>
      <c r="AW95" t="s">
        <v>74</v>
      </c>
      <c r="AX95" t="s">
        <v>74</v>
      </c>
      <c r="AY95" t="s">
        <v>74</v>
      </c>
      <c r="AZ95" t="s">
        <v>74</v>
      </c>
      <c r="BA95" t="s">
        <v>74</v>
      </c>
      <c r="BB95" t="s">
        <v>74</v>
      </c>
      <c r="BC95" t="s">
        <v>74</v>
      </c>
      <c r="BD95">
        <v>103890</v>
      </c>
      <c r="BE95" t="s">
        <v>2178</v>
      </c>
      <c r="BF95" t="str">
        <f>HYPERLINK("http://dx.doi.org/10.1016/j.jmarsys.2023.103890","http://dx.doi.org/10.1016/j.jmarsys.2023.103890")</f>
        <v>http://dx.doi.org/10.1016/j.jmarsys.2023.103890</v>
      </c>
      <c r="BG95" t="s">
        <v>74</v>
      </c>
      <c r="BH95" t="s">
        <v>427</v>
      </c>
      <c r="BI95">
        <v>12</v>
      </c>
      <c r="BJ95" t="s">
        <v>974</v>
      </c>
      <c r="BK95" t="s">
        <v>103</v>
      </c>
      <c r="BL95" t="s">
        <v>975</v>
      </c>
      <c r="BM95" t="s">
        <v>2179</v>
      </c>
      <c r="BN95" t="s">
        <v>74</v>
      </c>
      <c r="BO95" t="s">
        <v>387</v>
      </c>
      <c r="BP95" t="s">
        <v>74</v>
      </c>
      <c r="BQ95" t="s">
        <v>74</v>
      </c>
      <c r="BR95" t="s">
        <v>106</v>
      </c>
      <c r="BS95" t="s">
        <v>2180</v>
      </c>
      <c r="BT95" t="str">
        <f>HYPERLINK("https%3A%2F%2Fwww.webofscience.com%2Fwos%2Fwoscc%2Ffull-record%2FWOS:000982924900001","View Full Record in Web of Science")</f>
        <v>View Full Record in Web of Science</v>
      </c>
    </row>
    <row r="96" spans="1:72" x14ac:dyDescent="0.15">
      <c r="A96" t="s">
        <v>72</v>
      </c>
      <c r="B96" t="s">
        <v>2181</v>
      </c>
      <c r="C96" t="s">
        <v>74</v>
      </c>
      <c r="D96" t="s">
        <v>74</v>
      </c>
      <c r="E96" t="s">
        <v>74</v>
      </c>
      <c r="F96" t="s">
        <v>2182</v>
      </c>
      <c r="G96" t="s">
        <v>74</v>
      </c>
      <c r="H96" t="s">
        <v>74</v>
      </c>
      <c r="I96" t="s">
        <v>2183</v>
      </c>
      <c r="J96" t="s">
        <v>1089</v>
      </c>
      <c r="K96" t="s">
        <v>74</v>
      </c>
      <c r="L96" t="s">
        <v>74</v>
      </c>
      <c r="M96" t="s">
        <v>78</v>
      </c>
      <c r="N96" t="s">
        <v>112</v>
      </c>
      <c r="O96" t="s">
        <v>74</v>
      </c>
      <c r="P96" t="s">
        <v>74</v>
      </c>
      <c r="Q96" t="s">
        <v>74</v>
      </c>
      <c r="R96" t="s">
        <v>74</v>
      </c>
      <c r="S96" t="s">
        <v>74</v>
      </c>
      <c r="T96" t="s">
        <v>2184</v>
      </c>
      <c r="U96" t="s">
        <v>2185</v>
      </c>
      <c r="V96" t="s">
        <v>2186</v>
      </c>
      <c r="W96" t="s">
        <v>2187</v>
      </c>
      <c r="X96" t="s">
        <v>2188</v>
      </c>
      <c r="Y96" t="s">
        <v>2189</v>
      </c>
      <c r="Z96" t="s">
        <v>2190</v>
      </c>
      <c r="AA96" t="s">
        <v>2191</v>
      </c>
      <c r="AB96" t="s">
        <v>2192</v>
      </c>
      <c r="AC96" t="s">
        <v>74</v>
      </c>
      <c r="AD96" t="s">
        <v>74</v>
      </c>
      <c r="AE96" t="s">
        <v>74</v>
      </c>
      <c r="AF96" t="s">
        <v>74</v>
      </c>
      <c r="AG96">
        <v>30</v>
      </c>
      <c r="AH96">
        <v>2</v>
      </c>
      <c r="AI96">
        <v>2</v>
      </c>
      <c r="AJ96">
        <v>1</v>
      </c>
      <c r="AK96">
        <v>4</v>
      </c>
      <c r="AL96" t="s">
        <v>1101</v>
      </c>
      <c r="AM96" t="s">
        <v>1102</v>
      </c>
      <c r="AN96" t="s">
        <v>1103</v>
      </c>
      <c r="AO96" t="s">
        <v>1104</v>
      </c>
      <c r="AP96" t="s">
        <v>1105</v>
      </c>
      <c r="AQ96" t="s">
        <v>74</v>
      </c>
      <c r="AR96" t="s">
        <v>1106</v>
      </c>
      <c r="AS96" t="s">
        <v>1107</v>
      </c>
      <c r="AT96" t="s">
        <v>1108</v>
      </c>
      <c r="AU96">
        <v>2022</v>
      </c>
      <c r="AV96">
        <v>63</v>
      </c>
      <c r="AW96" t="s">
        <v>1109</v>
      </c>
      <c r="AX96" t="s">
        <v>74</v>
      </c>
      <c r="AY96" t="s">
        <v>74</v>
      </c>
      <c r="AZ96" t="s">
        <v>74</v>
      </c>
      <c r="BA96" t="s">
        <v>74</v>
      </c>
      <c r="BB96">
        <v>111</v>
      </c>
      <c r="BC96">
        <v>115</v>
      </c>
      <c r="BD96" t="s">
        <v>2193</v>
      </c>
      <c r="BE96" t="s">
        <v>2194</v>
      </c>
      <c r="BF96" t="str">
        <f>HYPERLINK("http://dx.doi.org/10.1017/aog.2023.24","http://dx.doi.org/10.1017/aog.2023.24")</f>
        <v>http://dx.doi.org/10.1017/aog.2023.24</v>
      </c>
      <c r="BG96" t="s">
        <v>74</v>
      </c>
      <c r="BH96" t="s">
        <v>427</v>
      </c>
      <c r="BI96">
        <v>5</v>
      </c>
      <c r="BJ96" t="s">
        <v>801</v>
      </c>
      <c r="BK96" t="s">
        <v>103</v>
      </c>
      <c r="BL96" t="s">
        <v>802</v>
      </c>
      <c r="BM96" t="s">
        <v>1112</v>
      </c>
      <c r="BN96" t="s">
        <v>74</v>
      </c>
      <c r="BO96" t="s">
        <v>2195</v>
      </c>
      <c r="BP96" t="s">
        <v>74</v>
      </c>
      <c r="BQ96" t="s">
        <v>74</v>
      </c>
      <c r="BR96" t="s">
        <v>106</v>
      </c>
      <c r="BS96" t="s">
        <v>2196</v>
      </c>
      <c r="BT96" t="str">
        <f>HYPERLINK("https%3A%2F%2Fwww.webofscience.com%2Fwos%2Fwoscc%2Ffull-record%2FWOS:000975502900001","View Full Record in Web of Science")</f>
        <v>View Full Record in Web of Science</v>
      </c>
    </row>
    <row r="97" spans="1:72" x14ac:dyDescent="0.15">
      <c r="A97" t="s">
        <v>72</v>
      </c>
      <c r="B97" t="s">
        <v>2197</v>
      </c>
      <c r="C97" t="s">
        <v>74</v>
      </c>
      <c r="D97" t="s">
        <v>74</v>
      </c>
      <c r="E97" t="s">
        <v>74</v>
      </c>
      <c r="F97" t="s">
        <v>2198</v>
      </c>
      <c r="G97" t="s">
        <v>74</v>
      </c>
      <c r="H97" t="s">
        <v>74</v>
      </c>
      <c r="I97" t="s">
        <v>2199</v>
      </c>
      <c r="J97" t="s">
        <v>1089</v>
      </c>
      <c r="K97" t="s">
        <v>74</v>
      </c>
      <c r="L97" t="s">
        <v>74</v>
      </c>
      <c r="M97" t="s">
        <v>78</v>
      </c>
      <c r="N97" t="s">
        <v>1754</v>
      </c>
      <c r="O97" t="s">
        <v>74</v>
      </c>
      <c r="P97" t="s">
        <v>74</v>
      </c>
      <c r="Q97" t="s">
        <v>74</v>
      </c>
      <c r="R97" t="s">
        <v>74</v>
      </c>
      <c r="S97" t="s">
        <v>74</v>
      </c>
      <c r="T97" t="s">
        <v>2200</v>
      </c>
      <c r="U97" t="s">
        <v>2201</v>
      </c>
      <c r="V97" t="s">
        <v>2202</v>
      </c>
      <c r="W97" t="s">
        <v>2203</v>
      </c>
      <c r="X97" t="s">
        <v>2204</v>
      </c>
      <c r="Y97" t="s">
        <v>2205</v>
      </c>
      <c r="Z97" t="s">
        <v>2206</v>
      </c>
      <c r="AA97" t="s">
        <v>74</v>
      </c>
      <c r="AB97" t="s">
        <v>74</v>
      </c>
      <c r="AC97" t="s">
        <v>2207</v>
      </c>
      <c r="AD97" t="s">
        <v>2208</v>
      </c>
      <c r="AE97" t="s">
        <v>2209</v>
      </c>
      <c r="AF97" t="s">
        <v>74</v>
      </c>
      <c r="AG97">
        <v>37</v>
      </c>
      <c r="AH97">
        <v>0</v>
      </c>
      <c r="AI97">
        <v>0</v>
      </c>
      <c r="AJ97">
        <v>0</v>
      </c>
      <c r="AK97">
        <v>1</v>
      </c>
      <c r="AL97" t="s">
        <v>1101</v>
      </c>
      <c r="AM97" t="s">
        <v>1102</v>
      </c>
      <c r="AN97" t="s">
        <v>1103</v>
      </c>
      <c r="AO97" t="s">
        <v>1104</v>
      </c>
      <c r="AP97" t="s">
        <v>1105</v>
      </c>
      <c r="AQ97" t="s">
        <v>74</v>
      </c>
      <c r="AR97" t="s">
        <v>1106</v>
      </c>
      <c r="AS97" t="s">
        <v>1107</v>
      </c>
      <c r="AT97" t="s">
        <v>2099</v>
      </c>
      <c r="AU97">
        <v>2023</v>
      </c>
      <c r="AV97" t="s">
        <v>74</v>
      </c>
      <c r="AW97" t="s">
        <v>74</v>
      </c>
      <c r="AX97" t="s">
        <v>74</v>
      </c>
      <c r="AY97" t="s">
        <v>74</v>
      </c>
      <c r="AZ97" t="s">
        <v>74</v>
      </c>
      <c r="BA97" t="s">
        <v>74</v>
      </c>
      <c r="BB97" t="s">
        <v>74</v>
      </c>
      <c r="BC97" t="s">
        <v>74</v>
      </c>
      <c r="BD97" t="s">
        <v>2210</v>
      </c>
      <c r="BE97" t="s">
        <v>2211</v>
      </c>
      <c r="BF97" t="str">
        <f>HYPERLINK("http://dx.doi.org/10.1017/aog.2023.20","http://dx.doi.org/10.1017/aog.2023.20")</f>
        <v>http://dx.doi.org/10.1017/aog.2023.20</v>
      </c>
      <c r="BG97" t="s">
        <v>74</v>
      </c>
      <c r="BH97" t="s">
        <v>427</v>
      </c>
      <c r="BI97">
        <v>11</v>
      </c>
      <c r="BJ97" t="s">
        <v>801</v>
      </c>
      <c r="BK97" t="s">
        <v>103</v>
      </c>
      <c r="BL97" t="s">
        <v>802</v>
      </c>
      <c r="BM97" t="s">
        <v>2212</v>
      </c>
      <c r="BN97" t="s">
        <v>74</v>
      </c>
      <c r="BO97" t="s">
        <v>359</v>
      </c>
      <c r="BP97" t="s">
        <v>74</v>
      </c>
      <c r="BQ97" t="s">
        <v>74</v>
      </c>
      <c r="BR97" t="s">
        <v>106</v>
      </c>
      <c r="BS97" t="s">
        <v>2213</v>
      </c>
      <c r="BT97" t="str">
        <f>HYPERLINK("https%3A%2F%2Fwww.webofscience.com%2Fwos%2Fwoscc%2Ffull-record%2FWOS:000973148300001","View Full Record in Web of Science")</f>
        <v>View Full Record in Web of Science</v>
      </c>
    </row>
    <row r="98" spans="1:72" x14ac:dyDescent="0.15">
      <c r="A98" t="s">
        <v>72</v>
      </c>
      <c r="B98" t="s">
        <v>2214</v>
      </c>
      <c r="C98" t="s">
        <v>74</v>
      </c>
      <c r="D98" t="s">
        <v>74</v>
      </c>
      <c r="E98" t="s">
        <v>74</v>
      </c>
      <c r="F98" t="s">
        <v>2215</v>
      </c>
      <c r="G98" t="s">
        <v>74</v>
      </c>
      <c r="H98" t="s">
        <v>2216</v>
      </c>
      <c r="I98" t="s">
        <v>2217</v>
      </c>
      <c r="J98" t="s">
        <v>2218</v>
      </c>
      <c r="K98" t="s">
        <v>74</v>
      </c>
      <c r="L98" t="s">
        <v>74</v>
      </c>
      <c r="M98" t="s">
        <v>78</v>
      </c>
      <c r="N98" t="s">
        <v>112</v>
      </c>
      <c r="O98" t="s">
        <v>74</v>
      </c>
      <c r="P98" t="s">
        <v>74</v>
      </c>
      <c r="Q98" t="s">
        <v>74</v>
      </c>
      <c r="R98" t="s">
        <v>74</v>
      </c>
      <c r="S98" t="s">
        <v>74</v>
      </c>
      <c r="T98" t="s">
        <v>74</v>
      </c>
      <c r="U98" t="s">
        <v>2219</v>
      </c>
      <c r="V98" t="s">
        <v>2220</v>
      </c>
      <c r="W98" t="s">
        <v>2221</v>
      </c>
      <c r="X98" t="s">
        <v>2222</v>
      </c>
      <c r="Y98" t="s">
        <v>2223</v>
      </c>
      <c r="Z98" t="s">
        <v>2224</v>
      </c>
      <c r="AA98" t="s">
        <v>2225</v>
      </c>
      <c r="AB98" t="s">
        <v>2226</v>
      </c>
      <c r="AC98" t="s">
        <v>2227</v>
      </c>
      <c r="AD98" t="s">
        <v>2228</v>
      </c>
      <c r="AE98" t="s">
        <v>2229</v>
      </c>
      <c r="AF98" t="s">
        <v>74</v>
      </c>
      <c r="AG98">
        <v>41</v>
      </c>
      <c r="AH98">
        <v>3</v>
      </c>
      <c r="AI98">
        <v>3</v>
      </c>
      <c r="AJ98">
        <v>6</v>
      </c>
      <c r="AK98">
        <v>10</v>
      </c>
      <c r="AL98" t="s">
        <v>2092</v>
      </c>
      <c r="AM98" t="s">
        <v>2093</v>
      </c>
      <c r="AN98" t="s">
        <v>2094</v>
      </c>
      <c r="AO98" t="s">
        <v>2230</v>
      </c>
      <c r="AP98" t="s">
        <v>74</v>
      </c>
      <c r="AQ98" t="s">
        <v>74</v>
      </c>
      <c r="AR98" t="s">
        <v>2231</v>
      </c>
      <c r="AS98" t="s">
        <v>2232</v>
      </c>
      <c r="AT98" t="s">
        <v>98</v>
      </c>
      <c r="AU98">
        <v>2023</v>
      </c>
      <c r="AV98">
        <v>21</v>
      </c>
      <c r="AW98">
        <v>5</v>
      </c>
      <c r="AX98" t="s">
        <v>74</v>
      </c>
      <c r="AY98" t="s">
        <v>74</v>
      </c>
      <c r="AZ98" t="s">
        <v>74</v>
      </c>
      <c r="BA98" t="s">
        <v>74</v>
      </c>
      <c r="BB98">
        <v>279</v>
      </c>
      <c r="BC98">
        <v>294</v>
      </c>
      <c r="BD98" t="s">
        <v>74</v>
      </c>
      <c r="BE98" t="s">
        <v>2233</v>
      </c>
      <c r="BF98" t="str">
        <f>HYPERLINK("http://dx.doi.org/10.1002/lom3.10545","http://dx.doi.org/10.1002/lom3.10545")</f>
        <v>http://dx.doi.org/10.1002/lom3.10545</v>
      </c>
      <c r="BG98" t="s">
        <v>74</v>
      </c>
      <c r="BH98" t="s">
        <v>427</v>
      </c>
      <c r="BI98">
        <v>16</v>
      </c>
      <c r="BJ98" t="s">
        <v>552</v>
      </c>
      <c r="BK98" t="s">
        <v>103</v>
      </c>
      <c r="BL98" t="s">
        <v>553</v>
      </c>
      <c r="BM98" t="s">
        <v>2234</v>
      </c>
      <c r="BN98" t="s">
        <v>74</v>
      </c>
      <c r="BO98" t="s">
        <v>928</v>
      </c>
      <c r="BP98" t="s">
        <v>74</v>
      </c>
      <c r="BQ98" t="s">
        <v>74</v>
      </c>
      <c r="BR98" t="s">
        <v>106</v>
      </c>
      <c r="BS98" t="s">
        <v>2235</v>
      </c>
      <c r="BT98" t="str">
        <f>HYPERLINK("https%3A%2F%2Fwww.webofscience.com%2Fwos%2Fwoscc%2Ffull-record%2FWOS:000972562300001","View Full Record in Web of Science")</f>
        <v>View Full Record in Web of Science</v>
      </c>
    </row>
    <row r="99" spans="1:72" x14ac:dyDescent="0.15">
      <c r="A99" t="s">
        <v>72</v>
      </c>
      <c r="B99" t="s">
        <v>2236</v>
      </c>
      <c r="C99" t="s">
        <v>74</v>
      </c>
      <c r="D99" t="s">
        <v>74</v>
      </c>
      <c r="E99" t="s">
        <v>74</v>
      </c>
      <c r="F99" t="s">
        <v>2237</v>
      </c>
      <c r="G99" t="s">
        <v>74</v>
      </c>
      <c r="H99" t="s">
        <v>74</v>
      </c>
      <c r="I99" t="s">
        <v>2238</v>
      </c>
      <c r="J99" t="s">
        <v>2239</v>
      </c>
      <c r="K99" t="s">
        <v>74</v>
      </c>
      <c r="L99" t="s">
        <v>74</v>
      </c>
      <c r="M99" t="s">
        <v>78</v>
      </c>
      <c r="N99" t="s">
        <v>112</v>
      </c>
      <c r="O99" t="s">
        <v>74</v>
      </c>
      <c r="P99" t="s">
        <v>74</v>
      </c>
      <c r="Q99" t="s">
        <v>74</v>
      </c>
      <c r="R99" t="s">
        <v>74</v>
      </c>
      <c r="S99" t="s">
        <v>74</v>
      </c>
      <c r="T99" t="s">
        <v>2240</v>
      </c>
      <c r="U99" t="s">
        <v>2241</v>
      </c>
      <c r="V99" t="s">
        <v>2242</v>
      </c>
      <c r="W99" t="s">
        <v>2243</v>
      </c>
      <c r="X99" t="s">
        <v>2244</v>
      </c>
      <c r="Y99" t="s">
        <v>2245</v>
      </c>
      <c r="Z99" t="s">
        <v>2246</v>
      </c>
      <c r="AA99" t="s">
        <v>74</v>
      </c>
      <c r="AB99" t="s">
        <v>74</v>
      </c>
      <c r="AC99" t="s">
        <v>2247</v>
      </c>
      <c r="AD99" t="s">
        <v>2248</v>
      </c>
      <c r="AE99" t="s">
        <v>2249</v>
      </c>
      <c r="AF99" t="s">
        <v>74</v>
      </c>
      <c r="AG99">
        <v>84</v>
      </c>
      <c r="AH99">
        <v>0</v>
      </c>
      <c r="AI99">
        <v>0</v>
      </c>
      <c r="AJ99">
        <v>3</v>
      </c>
      <c r="AK99">
        <v>7</v>
      </c>
      <c r="AL99" t="s">
        <v>2092</v>
      </c>
      <c r="AM99" t="s">
        <v>2093</v>
      </c>
      <c r="AN99" t="s">
        <v>2094</v>
      </c>
      <c r="AO99" t="s">
        <v>2250</v>
      </c>
      <c r="AP99" t="s">
        <v>2251</v>
      </c>
      <c r="AQ99" t="s">
        <v>74</v>
      </c>
      <c r="AR99" t="s">
        <v>2252</v>
      </c>
      <c r="AS99" t="s">
        <v>2253</v>
      </c>
      <c r="AT99" t="s">
        <v>570</v>
      </c>
      <c r="AU99">
        <v>2023</v>
      </c>
      <c r="AV99">
        <v>50</v>
      </c>
      <c r="AW99">
        <v>7</v>
      </c>
      <c r="AX99" t="s">
        <v>74</v>
      </c>
      <c r="AY99" t="s">
        <v>74</v>
      </c>
      <c r="AZ99" t="s">
        <v>74</v>
      </c>
      <c r="BA99" t="s">
        <v>74</v>
      </c>
      <c r="BB99">
        <v>1213</v>
      </c>
      <c r="BC99">
        <v>1220</v>
      </c>
      <c r="BD99" t="s">
        <v>74</v>
      </c>
      <c r="BE99" t="s">
        <v>2254</v>
      </c>
      <c r="BF99" t="str">
        <f>HYPERLINK("http://dx.doi.org/10.1111/jbi.14620","http://dx.doi.org/10.1111/jbi.14620")</f>
        <v>http://dx.doi.org/10.1111/jbi.14620</v>
      </c>
      <c r="BG99" t="s">
        <v>74</v>
      </c>
      <c r="BH99" t="s">
        <v>427</v>
      </c>
      <c r="BI99">
        <v>8</v>
      </c>
      <c r="BJ99" t="s">
        <v>2255</v>
      </c>
      <c r="BK99" t="s">
        <v>103</v>
      </c>
      <c r="BL99" t="s">
        <v>2256</v>
      </c>
      <c r="BM99" t="s">
        <v>2257</v>
      </c>
      <c r="BN99" t="s">
        <v>74</v>
      </c>
      <c r="BO99" t="s">
        <v>823</v>
      </c>
      <c r="BP99" t="s">
        <v>74</v>
      </c>
      <c r="BQ99" t="s">
        <v>74</v>
      </c>
      <c r="BR99" t="s">
        <v>106</v>
      </c>
      <c r="BS99" t="s">
        <v>2258</v>
      </c>
      <c r="BT99" t="str">
        <f>HYPERLINK("https%3A%2F%2Fwww.webofscience.com%2Fwos%2Fwoscc%2Ffull-record%2FWOS:000974326700001","View Full Record in Web of Science")</f>
        <v>View Full Record in Web of Science</v>
      </c>
    </row>
    <row r="100" spans="1:72" x14ac:dyDescent="0.15">
      <c r="A100" t="s">
        <v>72</v>
      </c>
      <c r="B100" t="s">
        <v>2259</v>
      </c>
      <c r="C100" t="s">
        <v>74</v>
      </c>
      <c r="D100" t="s">
        <v>74</v>
      </c>
      <c r="E100" t="s">
        <v>74</v>
      </c>
      <c r="F100" t="s">
        <v>2260</v>
      </c>
      <c r="G100" t="s">
        <v>74</v>
      </c>
      <c r="H100" t="s">
        <v>74</v>
      </c>
      <c r="I100" t="s">
        <v>2261</v>
      </c>
      <c r="J100" t="s">
        <v>2262</v>
      </c>
      <c r="K100" t="s">
        <v>74</v>
      </c>
      <c r="L100" t="s">
        <v>74</v>
      </c>
      <c r="M100" t="s">
        <v>78</v>
      </c>
      <c r="N100" t="s">
        <v>112</v>
      </c>
      <c r="O100" t="s">
        <v>74</v>
      </c>
      <c r="P100" t="s">
        <v>74</v>
      </c>
      <c r="Q100" t="s">
        <v>74</v>
      </c>
      <c r="R100" t="s">
        <v>74</v>
      </c>
      <c r="S100" t="s">
        <v>74</v>
      </c>
      <c r="T100" t="s">
        <v>74</v>
      </c>
      <c r="U100" t="s">
        <v>2263</v>
      </c>
      <c r="V100" t="s">
        <v>2264</v>
      </c>
      <c r="W100" t="s">
        <v>2265</v>
      </c>
      <c r="X100" t="s">
        <v>2266</v>
      </c>
      <c r="Y100" t="s">
        <v>2267</v>
      </c>
      <c r="Z100" t="s">
        <v>2268</v>
      </c>
      <c r="AA100" t="s">
        <v>2269</v>
      </c>
      <c r="AB100" t="s">
        <v>2270</v>
      </c>
      <c r="AC100" t="s">
        <v>2271</v>
      </c>
      <c r="AD100" t="s">
        <v>2272</v>
      </c>
      <c r="AE100" t="s">
        <v>2273</v>
      </c>
      <c r="AF100" t="s">
        <v>74</v>
      </c>
      <c r="AG100">
        <v>85</v>
      </c>
      <c r="AH100">
        <v>5</v>
      </c>
      <c r="AI100">
        <v>5</v>
      </c>
      <c r="AJ100">
        <v>3</v>
      </c>
      <c r="AK100">
        <v>7</v>
      </c>
      <c r="AL100" t="s">
        <v>2092</v>
      </c>
      <c r="AM100" t="s">
        <v>2093</v>
      </c>
      <c r="AN100" t="s">
        <v>2094</v>
      </c>
      <c r="AO100" t="s">
        <v>2274</v>
      </c>
      <c r="AP100" t="s">
        <v>2275</v>
      </c>
      <c r="AQ100" t="s">
        <v>74</v>
      </c>
      <c r="AR100" t="s">
        <v>2276</v>
      </c>
      <c r="AS100" t="s">
        <v>2277</v>
      </c>
      <c r="AT100" t="s">
        <v>232</v>
      </c>
      <c r="AU100">
        <v>2023</v>
      </c>
      <c r="AV100">
        <v>68</v>
      </c>
      <c r="AW100">
        <v>6</v>
      </c>
      <c r="AX100" t="s">
        <v>74</v>
      </c>
      <c r="AY100" t="s">
        <v>74</v>
      </c>
      <c r="AZ100" t="s">
        <v>74</v>
      </c>
      <c r="BA100" t="s">
        <v>74</v>
      </c>
      <c r="BB100">
        <v>1388</v>
      </c>
      <c r="BC100">
        <v>1405</v>
      </c>
      <c r="BD100" t="s">
        <v>74</v>
      </c>
      <c r="BE100" t="s">
        <v>2278</v>
      </c>
      <c r="BF100" t="str">
        <f>HYPERLINK("http://dx.doi.org/10.1002/lno.12354","http://dx.doi.org/10.1002/lno.12354")</f>
        <v>http://dx.doi.org/10.1002/lno.12354</v>
      </c>
      <c r="BG100" t="s">
        <v>74</v>
      </c>
      <c r="BH100" t="s">
        <v>427</v>
      </c>
      <c r="BI100">
        <v>18</v>
      </c>
      <c r="BJ100" t="s">
        <v>552</v>
      </c>
      <c r="BK100" t="s">
        <v>103</v>
      </c>
      <c r="BL100" t="s">
        <v>553</v>
      </c>
      <c r="BM100" t="s">
        <v>2279</v>
      </c>
      <c r="BN100" t="s">
        <v>74</v>
      </c>
      <c r="BO100" t="s">
        <v>387</v>
      </c>
      <c r="BP100" t="s">
        <v>74</v>
      </c>
      <c r="BQ100" t="s">
        <v>74</v>
      </c>
      <c r="BR100" t="s">
        <v>106</v>
      </c>
      <c r="BS100" t="s">
        <v>2280</v>
      </c>
      <c r="BT100" t="str">
        <f>HYPERLINK("https%3A%2F%2Fwww.webofscience.com%2Fwos%2Fwoscc%2Ffull-record%2FWOS:000972696600001","View Full Record in Web of Science")</f>
        <v>View Full Record in Web of Science</v>
      </c>
    </row>
    <row r="101" spans="1:72" x14ac:dyDescent="0.15">
      <c r="A101" t="s">
        <v>72</v>
      </c>
      <c r="B101" t="s">
        <v>2281</v>
      </c>
      <c r="C101" t="s">
        <v>74</v>
      </c>
      <c r="D101" t="s">
        <v>74</v>
      </c>
      <c r="E101" t="s">
        <v>74</v>
      </c>
      <c r="F101" t="s">
        <v>2282</v>
      </c>
      <c r="G101" t="s">
        <v>74</v>
      </c>
      <c r="H101" t="s">
        <v>74</v>
      </c>
      <c r="I101" t="s">
        <v>2283</v>
      </c>
      <c r="J101" t="s">
        <v>2284</v>
      </c>
      <c r="K101" t="s">
        <v>74</v>
      </c>
      <c r="L101" t="s">
        <v>74</v>
      </c>
      <c r="M101" t="s">
        <v>78</v>
      </c>
      <c r="N101" t="s">
        <v>112</v>
      </c>
      <c r="O101" t="s">
        <v>74</v>
      </c>
      <c r="P101" t="s">
        <v>74</v>
      </c>
      <c r="Q101" t="s">
        <v>74</v>
      </c>
      <c r="R101" t="s">
        <v>74</v>
      </c>
      <c r="S101" t="s">
        <v>74</v>
      </c>
      <c r="T101" t="s">
        <v>2285</v>
      </c>
      <c r="U101" t="s">
        <v>2286</v>
      </c>
      <c r="V101" t="s">
        <v>2287</v>
      </c>
      <c r="W101" t="s">
        <v>2288</v>
      </c>
      <c r="X101" t="s">
        <v>1053</v>
      </c>
      <c r="Y101" t="s">
        <v>2289</v>
      </c>
      <c r="Z101" t="s">
        <v>2290</v>
      </c>
      <c r="AA101" t="s">
        <v>2291</v>
      </c>
      <c r="AB101" t="s">
        <v>2292</v>
      </c>
      <c r="AC101" t="s">
        <v>2293</v>
      </c>
      <c r="AD101" t="s">
        <v>2294</v>
      </c>
      <c r="AE101" t="s">
        <v>2295</v>
      </c>
      <c r="AF101" t="s">
        <v>74</v>
      </c>
      <c r="AG101">
        <v>45</v>
      </c>
      <c r="AH101">
        <v>0</v>
      </c>
      <c r="AI101">
        <v>0</v>
      </c>
      <c r="AJ101">
        <v>3</v>
      </c>
      <c r="AK101">
        <v>3</v>
      </c>
      <c r="AL101" t="s">
        <v>1431</v>
      </c>
      <c r="AM101" t="s">
        <v>525</v>
      </c>
      <c r="AN101" t="s">
        <v>1432</v>
      </c>
      <c r="AO101" t="s">
        <v>2296</v>
      </c>
      <c r="AP101" t="s">
        <v>2297</v>
      </c>
      <c r="AQ101" t="s">
        <v>74</v>
      </c>
      <c r="AR101" t="s">
        <v>2298</v>
      </c>
      <c r="AS101" t="s">
        <v>2299</v>
      </c>
      <c r="AT101" t="s">
        <v>232</v>
      </c>
      <c r="AU101">
        <v>2023</v>
      </c>
      <c r="AV101">
        <v>137</v>
      </c>
      <c r="AW101" t="s">
        <v>74</v>
      </c>
      <c r="AX101" t="s">
        <v>74</v>
      </c>
      <c r="AY101" t="s">
        <v>74</v>
      </c>
      <c r="AZ101" t="s">
        <v>74</v>
      </c>
      <c r="BA101" t="s">
        <v>74</v>
      </c>
      <c r="BB101" t="s">
        <v>74</v>
      </c>
      <c r="BC101" t="s">
        <v>74</v>
      </c>
      <c r="BD101">
        <v>108739</v>
      </c>
      <c r="BE101" t="s">
        <v>2300</v>
      </c>
      <c r="BF101" t="str">
        <f>HYPERLINK("http://dx.doi.org/10.1016/j.fsi.2023.108739","http://dx.doi.org/10.1016/j.fsi.2023.108739")</f>
        <v>http://dx.doi.org/10.1016/j.fsi.2023.108739</v>
      </c>
      <c r="BG101" t="s">
        <v>74</v>
      </c>
      <c r="BH101" t="s">
        <v>427</v>
      </c>
      <c r="BI101">
        <v>8</v>
      </c>
      <c r="BJ101" t="s">
        <v>2301</v>
      </c>
      <c r="BK101" t="s">
        <v>103</v>
      </c>
      <c r="BL101" t="s">
        <v>2301</v>
      </c>
      <c r="BM101" t="s">
        <v>2302</v>
      </c>
      <c r="BN101">
        <v>37061071</v>
      </c>
      <c r="BO101" t="s">
        <v>74</v>
      </c>
      <c r="BP101" t="s">
        <v>74</v>
      </c>
      <c r="BQ101" t="s">
        <v>74</v>
      </c>
      <c r="BR101" t="s">
        <v>106</v>
      </c>
      <c r="BS101" t="s">
        <v>2303</v>
      </c>
      <c r="BT101" t="str">
        <f>HYPERLINK("https%3A%2F%2Fwww.webofscience.com%2Fwos%2Fwoscc%2Ffull-record%2FWOS:000990588900001","View Full Record in Web of Science")</f>
        <v>View Full Record in Web of Science</v>
      </c>
    </row>
    <row r="102" spans="1:72" x14ac:dyDescent="0.15">
      <c r="A102" t="s">
        <v>72</v>
      </c>
      <c r="B102" t="s">
        <v>2304</v>
      </c>
      <c r="C102" t="s">
        <v>74</v>
      </c>
      <c r="D102" t="s">
        <v>74</v>
      </c>
      <c r="E102" t="s">
        <v>74</v>
      </c>
      <c r="F102" t="s">
        <v>2305</v>
      </c>
      <c r="G102" t="s">
        <v>74</v>
      </c>
      <c r="H102" t="s">
        <v>74</v>
      </c>
      <c r="I102" t="s">
        <v>2306</v>
      </c>
      <c r="J102" t="s">
        <v>2307</v>
      </c>
      <c r="K102" t="s">
        <v>74</v>
      </c>
      <c r="L102" t="s">
        <v>74</v>
      </c>
      <c r="M102" t="s">
        <v>78</v>
      </c>
      <c r="N102" t="s">
        <v>112</v>
      </c>
      <c r="O102" t="s">
        <v>74</v>
      </c>
      <c r="P102" t="s">
        <v>74</v>
      </c>
      <c r="Q102" t="s">
        <v>74</v>
      </c>
      <c r="R102" t="s">
        <v>74</v>
      </c>
      <c r="S102" t="s">
        <v>74</v>
      </c>
      <c r="T102" t="s">
        <v>2308</v>
      </c>
      <c r="U102" t="s">
        <v>2309</v>
      </c>
      <c r="V102" t="s">
        <v>2310</v>
      </c>
      <c r="W102" t="s">
        <v>2311</v>
      </c>
      <c r="X102" t="s">
        <v>2312</v>
      </c>
      <c r="Y102" t="s">
        <v>2313</v>
      </c>
      <c r="Z102" t="s">
        <v>2314</v>
      </c>
      <c r="AA102" t="s">
        <v>74</v>
      </c>
      <c r="AB102" t="s">
        <v>2315</v>
      </c>
      <c r="AC102" t="s">
        <v>2316</v>
      </c>
      <c r="AD102" t="s">
        <v>2317</v>
      </c>
      <c r="AE102" t="s">
        <v>2318</v>
      </c>
      <c r="AF102" t="s">
        <v>74</v>
      </c>
      <c r="AG102">
        <v>48</v>
      </c>
      <c r="AH102">
        <v>2</v>
      </c>
      <c r="AI102">
        <v>2</v>
      </c>
      <c r="AJ102">
        <v>7</v>
      </c>
      <c r="AK102">
        <v>14</v>
      </c>
      <c r="AL102" t="s">
        <v>225</v>
      </c>
      <c r="AM102" t="s">
        <v>226</v>
      </c>
      <c r="AN102" t="s">
        <v>227</v>
      </c>
      <c r="AO102" t="s">
        <v>2319</v>
      </c>
      <c r="AP102" t="s">
        <v>2320</v>
      </c>
      <c r="AQ102" t="s">
        <v>74</v>
      </c>
      <c r="AR102" t="s">
        <v>2321</v>
      </c>
      <c r="AS102" t="s">
        <v>2322</v>
      </c>
      <c r="AT102" t="s">
        <v>98</v>
      </c>
      <c r="AU102">
        <v>2023</v>
      </c>
      <c r="AV102">
        <v>114</v>
      </c>
      <c r="AW102" t="s">
        <v>74</v>
      </c>
      <c r="AX102" t="s">
        <v>74</v>
      </c>
      <c r="AY102" t="s">
        <v>74</v>
      </c>
      <c r="AZ102" t="s">
        <v>74</v>
      </c>
      <c r="BA102" t="s">
        <v>74</v>
      </c>
      <c r="BB102" t="s">
        <v>74</v>
      </c>
      <c r="BC102" t="s">
        <v>74</v>
      </c>
      <c r="BD102">
        <v>103499</v>
      </c>
      <c r="BE102" t="s">
        <v>2323</v>
      </c>
      <c r="BF102" t="str">
        <f>HYPERLINK("http://dx.doi.org/10.1016/j.jtherbio.2023.103499","http://dx.doi.org/10.1016/j.jtherbio.2023.103499")</f>
        <v>http://dx.doi.org/10.1016/j.jtherbio.2023.103499</v>
      </c>
      <c r="BG102" t="s">
        <v>74</v>
      </c>
      <c r="BH102" t="s">
        <v>427</v>
      </c>
      <c r="BI102">
        <v>8</v>
      </c>
      <c r="BJ102" t="s">
        <v>2324</v>
      </c>
      <c r="BK102" t="s">
        <v>103</v>
      </c>
      <c r="BL102" t="s">
        <v>2325</v>
      </c>
      <c r="BM102" t="s">
        <v>2326</v>
      </c>
      <c r="BN102">
        <v>37344010</v>
      </c>
      <c r="BO102" t="s">
        <v>823</v>
      </c>
      <c r="BP102" t="s">
        <v>74</v>
      </c>
      <c r="BQ102" t="s">
        <v>74</v>
      </c>
      <c r="BR102" t="s">
        <v>106</v>
      </c>
      <c r="BS102" t="s">
        <v>2327</v>
      </c>
      <c r="BT102" t="str">
        <f>HYPERLINK("https%3A%2F%2Fwww.webofscience.com%2Fwos%2Fwoscc%2Ffull-record%2FWOS:000984767800001","View Full Record in Web of Science")</f>
        <v>View Full Record in Web of Science</v>
      </c>
    </row>
    <row r="103" spans="1:72" x14ac:dyDescent="0.15">
      <c r="A103" t="s">
        <v>72</v>
      </c>
      <c r="B103" t="s">
        <v>2328</v>
      </c>
      <c r="C103" t="s">
        <v>74</v>
      </c>
      <c r="D103" t="s">
        <v>74</v>
      </c>
      <c r="E103" t="s">
        <v>74</v>
      </c>
      <c r="F103" t="s">
        <v>2329</v>
      </c>
      <c r="G103" t="s">
        <v>74</v>
      </c>
      <c r="H103" t="s">
        <v>74</v>
      </c>
      <c r="I103" t="s">
        <v>2330</v>
      </c>
      <c r="J103" t="s">
        <v>1193</v>
      </c>
      <c r="K103" t="s">
        <v>74</v>
      </c>
      <c r="L103" t="s">
        <v>74</v>
      </c>
      <c r="M103" t="s">
        <v>78</v>
      </c>
      <c r="N103" t="s">
        <v>112</v>
      </c>
      <c r="O103" t="s">
        <v>74</v>
      </c>
      <c r="P103" t="s">
        <v>74</v>
      </c>
      <c r="Q103" t="s">
        <v>74</v>
      </c>
      <c r="R103" t="s">
        <v>74</v>
      </c>
      <c r="S103" t="s">
        <v>74</v>
      </c>
      <c r="T103" t="s">
        <v>2331</v>
      </c>
      <c r="U103" t="s">
        <v>2332</v>
      </c>
      <c r="V103" t="s">
        <v>2333</v>
      </c>
      <c r="W103" t="s">
        <v>2334</v>
      </c>
      <c r="X103" t="s">
        <v>2335</v>
      </c>
      <c r="Y103" t="s">
        <v>2336</v>
      </c>
      <c r="Z103" t="s">
        <v>2337</v>
      </c>
      <c r="AA103" t="s">
        <v>2338</v>
      </c>
      <c r="AB103" t="s">
        <v>2339</v>
      </c>
      <c r="AC103" t="s">
        <v>2340</v>
      </c>
      <c r="AD103" t="s">
        <v>2341</v>
      </c>
      <c r="AE103" t="s">
        <v>2342</v>
      </c>
      <c r="AF103" t="s">
        <v>74</v>
      </c>
      <c r="AG103">
        <v>121</v>
      </c>
      <c r="AH103">
        <v>0</v>
      </c>
      <c r="AI103">
        <v>0</v>
      </c>
      <c r="AJ103">
        <v>5</v>
      </c>
      <c r="AK103">
        <v>10</v>
      </c>
      <c r="AL103" t="s">
        <v>447</v>
      </c>
      <c r="AM103" t="s">
        <v>448</v>
      </c>
      <c r="AN103" t="s">
        <v>449</v>
      </c>
      <c r="AO103" t="s">
        <v>1204</v>
      </c>
      <c r="AP103" t="s">
        <v>1205</v>
      </c>
      <c r="AQ103" t="s">
        <v>74</v>
      </c>
      <c r="AR103" t="s">
        <v>1206</v>
      </c>
      <c r="AS103" t="s">
        <v>1207</v>
      </c>
      <c r="AT103" t="s">
        <v>2343</v>
      </c>
      <c r="AU103">
        <v>2023</v>
      </c>
      <c r="AV103">
        <v>881</v>
      </c>
      <c r="AW103" t="s">
        <v>74</v>
      </c>
      <c r="AX103" t="s">
        <v>74</v>
      </c>
      <c r="AY103" t="s">
        <v>74</v>
      </c>
      <c r="AZ103" t="s">
        <v>74</v>
      </c>
      <c r="BA103" t="s">
        <v>74</v>
      </c>
      <c r="BB103" t="s">
        <v>74</v>
      </c>
      <c r="BC103" t="s">
        <v>74</v>
      </c>
      <c r="BD103">
        <v>163450</v>
      </c>
      <c r="BE103" t="s">
        <v>2344</v>
      </c>
      <c r="BF103" t="str">
        <f>HYPERLINK("http://dx.doi.org/10.1016/j.scitotenv.2023.163450","http://dx.doi.org/10.1016/j.scitotenv.2023.163450")</f>
        <v>http://dx.doi.org/10.1016/j.scitotenv.2023.163450</v>
      </c>
      <c r="BG103" t="s">
        <v>74</v>
      </c>
      <c r="BH103" t="s">
        <v>427</v>
      </c>
      <c r="BI103">
        <v>18</v>
      </c>
      <c r="BJ103" t="s">
        <v>1163</v>
      </c>
      <c r="BK103" t="s">
        <v>103</v>
      </c>
      <c r="BL103" t="s">
        <v>1164</v>
      </c>
      <c r="BM103" t="s">
        <v>2345</v>
      </c>
      <c r="BN103">
        <v>37061058</v>
      </c>
      <c r="BO103" t="s">
        <v>1389</v>
      </c>
      <c r="BP103" t="s">
        <v>74</v>
      </c>
      <c r="BQ103" t="s">
        <v>74</v>
      </c>
      <c r="BR103" t="s">
        <v>106</v>
      </c>
      <c r="BS103" t="s">
        <v>2346</v>
      </c>
      <c r="BT103" t="str">
        <f>HYPERLINK("https%3A%2F%2Fwww.webofscience.com%2Fwos%2Fwoscc%2Ffull-record%2FWOS:000986506400001","View Full Record in Web of Science")</f>
        <v>View Full Record in Web of Science</v>
      </c>
    </row>
    <row r="104" spans="1:72" x14ac:dyDescent="0.15">
      <c r="A104" t="s">
        <v>72</v>
      </c>
      <c r="B104" t="s">
        <v>2347</v>
      </c>
      <c r="C104" t="s">
        <v>74</v>
      </c>
      <c r="D104" t="s">
        <v>74</v>
      </c>
      <c r="E104" t="s">
        <v>74</v>
      </c>
      <c r="F104" t="s">
        <v>2348</v>
      </c>
      <c r="G104" t="s">
        <v>74</v>
      </c>
      <c r="H104" t="s">
        <v>74</v>
      </c>
      <c r="I104" t="s">
        <v>2349</v>
      </c>
      <c r="J104" t="s">
        <v>2350</v>
      </c>
      <c r="K104" t="s">
        <v>74</v>
      </c>
      <c r="L104" t="s">
        <v>74</v>
      </c>
      <c r="M104" t="s">
        <v>78</v>
      </c>
      <c r="N104" t="s">
        <v>112</v>
      </c>
      <c r="O104" t="s">
        <v>74</v>
      </c>
      <c r="P104" t="s">
        <v>74</v>
      </c>
      <c r="Q104" t="s">
        <v>74</v>
      </c>
      <c r="R104" t="s">
        <v>74</v>
      </c>
      <c r="S104" t="s">
        <v>74</v>
      </c>
      <c r="T104" t="s">
        <v>2351</v>
      </c>
      <c r="U104" t="s">
        <v>2352</v>
      </c>
      <c r="V104" t="s">
        <v>2353</v>
      </c>
      <c r="W104" t="s">
        <v>2354</v>
      </c>
      <c r="X104" t="s">
        <v>2355</v>
      </c>
      <c r="Y104" t="s">
        <v>2356</v>
      </c>
      <c r="Z104" t="s">
        <v>2357</v>
      </c>
      <c r="AA104" t="s">
        <v>74</v>
      </c>
      <c r="AB104" t="s">
        <v>2358</v>
      </c>
      <c r="AC104" t="s">
        <v>2359</v>
      </c>
      <c r="AD104" t="s">
        <v>2360</v>
      </c>
      <c r="AE104" t="s">
        <v>2361</v>
      </c>
      <c r="AF104" t="s">
        <v>74</v>
      </c>
      <c r="AG104">
        <v>46</v>
      </c>
      <c r="AH104">
        <v>1</v>
      </c>
      <c r="AI104">
        <v>1</v>
      </c>
      <c r="AJ104">
        <v>1</v>
      </c>
      <c r="AK104">
        <v>4</v>
      </c>
      <c r="AL104" t="s">
        <v>447</v>
      </c>
      <c r="AM104" t="s">
        <v>448</v>
      </c>
      <c r="AN104" t="s">
        <v>449</v>
      </c>
      <c r="AO104" t="s">
        <v>2362</v>
      </c>
      <c r="AP104" t="s">
        <v>2363</v>
      </c>
      <c r="AQ104" t="s">
        <v>74</v>
      </c>
      <c r="AR104" t="s">
        <v>2364</v>
      </c>
      <c r="AS104" t="s">
        <v>2365</v>
      </c>
      <c r="AT104" t="s">
        <v>1437</v>
      </c>
      <c r="AU104">
        <v>2023</v>
      </c>
      <c r="AV104">
        <v>43</v>
      </c>
      <c r="AW104" t="s">
        <v>74</v>
      </c>
      <c r="AX104" t="s">
        <v>74</v>
      </c>
      <c r="AY104" t="s">
        <v>74</v>
      </c>
      <c r="AZ104" t="s">
        <v>74</v>
      </c>
      <c r="BA104" t="s">
        <v>74</v>
      </c>
      <c r="BB104" t="s">
        <v>74</v>
      </c>
      <c r="BC104" t="s">
        <v>74</v>
      </c>
      <c r="BD104">
        <v>100710</v>
      </c>
      <c r="BE104" t="s">
        <v>2366</v>
      </c>
      <c r="BF104" t="str">
        <f>HYPERLINK("http://dx.doi.org/10.1016/j.ascom.2023.100710","http://dx.doi.org/10.1016/j.ascom.2023.100710")</f>
        <v>http://dx.doi.org/10.1016/j.ascom.2023.100710</v>
      </c>
      <c r="BG104" t="s">
        <v>74</v>
      </c>
      <c r="BH104" t="s">
        <v>427</v>
      </c>
      <c r="BI104">
        <v>12</v>
      </c>
      <c r="BJ104" t="s">
        <v>2367</v>
      </c>
      <c r="BK104" t="s">
        <v>103</v>
      </c>
      <c r="BL104" t="s">
        <v>2368</v>
      </c>
      <c r="BM104" t="s">
        <v>2369</v>
      </c>
      <c r="BN104" t="s">
        <v>74</v>
      </c>
      <c r="BO104" t="s">
        <v>1389</v>
      </c>
      <c r="BP104" t="s">
        <v>74</v>
      </c>
      <c r="BQ104" t="s">
        <v>74</v>
      </c>
      <c r="BR104" t="s">
        <v>106</v>
      </c>
      <c r="BS104" t="s">
        <v>2370</v>
      </c>
      <c r="BT104" t="str">
        <f>HYPERLINK("https%3A%2F%2Fwww.webofscience.com%2Fwos%2Fwoscc%2Ffull-record%2FWOS:000985857400001","View Full Record in Web of Science")</f>
        <v>View Full Record in Web of Science</v>
      </c>
    </row>
    <row r="105" spans="1:72" x14ac:dyDescent="0.15">
      <c r="A105" t="s">
        <v>72</v>
      </c>
      <c r="B105" t="s">
        <v>2371</v>
      </c>
      <c r="C105" t="s">
        <v>74</v>
      </c>
      <c r="D105" t="s">
        <v>74</v>
      </c>
      <c r="E105" t="s">
        <v>74</v>
      </c>
      <c r="F105" t="s">
        <v>2372</v>
      </c>
      <c r="G105" t="s">
        <v>74</v>
      </c>
      <c r="H105" t="s">
        <v>74</v>
      </c>
      <c r="I105" t="s">
        <v>2373</v>
      </c>
      <c r="J105" t="s">
        <v>1215</v>
      </c>
      <c r="K105" t="s">
        <v>74</v>
      </c>
      <c r="L105" t="s">
        <v>74</v>
      </c>
      <c r="M105" t="s">
        <v>78</v>
      </c>
      <c r="N105" t="s">
        <v>112</v>
      </c>
      <c r="O105" t="s">
        <v>74</v>
      </c>
      <c r="P105" t="s">
        <v>74</v>
      </c>
      <c r="Q105" t="s">
        <v>74</v>
      </c>
      <c r="R105" t="s">
        <v>74</v>
      </c>
      <c r="S105" t="s">
        <v>74</v>
      </c>
      <c r="T105" t="s">
        <v>2374</v>
      </c>
      <c r="U105" t="s">
        <v>2375</v>
      </c>
      <c r="V105" t="s">
        <v>2376</v>
      </c>
      <c r="W105" t="s">
        <v>2377</v>
      </c>
      <c r="X105" t="s">
        <v>2378</v>
      </c>
      <c r="Y105" t="s">
        <v>2379</v>
      </c>
      <c r="Z105" t="s">
        <v>2380</v>
      </c>
      <c r="AA105" t="s">
        <v>74</v>
      </c>
      <c r="AB105" t="s">
        <v>2381</v>
      </c>
      <c r="AC105" t="s">
        <v>74</v>
      </c>
      <c r="AD105" t="s">
        <v>74</v>
      </c>
      <c r="AE105" t="s">
        <v>74</v>
      </c>
      <c r="AF105" t="s">
        <v>74</v>
      </c>
      <c r="AG105">
        <v>69</v>
      </c>
      <c r="AH105">
        <v>0</v>
      </c>
      <c r="AI105">
        <v>0</v>
      </c>
      <c r="AJ105">
        <v>1</v>
      </c>
      <c r="AK105">
        <v>2</v>
      </c>
      <c r="AL105" t="s">
        <v>700</v>
      </c>
      <c r="AM105" t="s">
        <v>701</v>
      </c>
      <c r="AN105" t="s">
        <v>702</v>
      </c>
      <c r="AO105" t="s">
        <v>74</v>
      </c>
      <c r="AP105" t="s">
        <v>1228</v>
      </c>
      <c r="AQ105" t="s">
        <v>74</v>
      </c>
      <c r="AR105" t="s">
        <v>1229</v>
      </c>
      <c r="AS105" t="s">
        <v>1230</v>
      </c>
      <c r="AT105" t="s">
        <v>2382</v>
      </c>
      <c r="AU105">
        <v>2023</v>
      </c>
      <c r="AV105">
        <v>10</v>
      </c>
      <c r="AW105" t="s">
        <v>74</v>
      </c>
      <c r="AX105" t="s">
        <v>74</v>
      </c>
      <c r="AY105" t="s">
        <v>74</v>
      </c>
      <c r="AZ105" t="s">
        <v>74</v>
      </c>
      <c r="BA105" t="s">
        <v>74</v>
      </c>
      <c r="BB105" t="s">
        <v>74</v>
      </c>
      <c r="BC105" t="s">
        <v>74</v>
      </c>
      <c r="BD105">
        <v>1116638</v>
      </c>
      <c r="BE105" t="s">
        <v>2383</v>
      </c>
      <c r="BF105" t="str">
        <f>HYPERLINK("http://dx.doi.org/10.3389/fmars.2023.1116638","http://dx.doi.org/10.3389/fmars.2023.1116638")</f>
        <v>http://dx.doi.org/10.3389/fmars.2023.1116638</v>
      </c>
      <c r="BG105" t="s">
        <v>74</v>
      </c>
      <c r="BH105" t="s">
        <v>74</v>
      </c>
      <c r="BI105">
        <v>22</v>
      </c>
      <c r="BJ105" t="s">
        <v>636</v>
      </c>
      <c r="BK105" t="s">
        <v>103</v>
      </c>
      <c r="BL105" t="s">
        <v>637</v>
      </c>
      <c r="BM105" t="s">
        <v>2384</v>
      </c>
      <c r="BN105" t="s">
        <v>74</v>
      </c>
      <c r="BO105" t="s">
        <v>804</v>
      </c>
      <c r="BP105" t="s">
        <v>74</v>
      </c>
      <c r="BQ105" t="s">
        <v>74</v>
      </c>
      <c r="BR105" t="s">
        <v>106</v>
      </c>
      <c r="BS105" t="s">
        <v>2385</v>
      </c>
      <c r="BT105" t="str">
        <f>HYPERLINK("https%3A%2F%2Fwww.webofscience.com%2Fwos%2Fwoscc%2Ffull-record%2FWOS:000979520900001","View Full Record in Web of Science")</f>
        <v>View Full Record in Web of Science</v>
      </c>
    </row>
    <row r="106" spans="1:72" x14ac:dyDescent="0.15">
      <c r="A106" t="s">
        <v>72</v>
      </c>
      <c r="B106" t="s">
        <v>2386</v>
      </c>
      <c r="C106" t="s">
        <v>74</v>
      </c>
      <c r="D106" t="s">
        <v>74</v>
      </c>
      <c r="E106" t="s">
        <v>74</v>
      </c>
      <c r="F106" t="s">
        <v>2387</v>
      </c>
      <c r="G106" t="s">
        <v>74</v>
      </c>
      <c r="H106" t="s">
        <v>74</v>
      </c>
      <c r="I106" t="s">
        <v>2388</v>
      </c>
      <c r="J106" t="s">
        <v>2389</v>
      </c>
      <c r="K106" t="s">
        <v>74</v>
      </c>
      <c r="L106" t="s">
        <v>74</v>
      </c>
      <c r="M106" t="s">
        <v>78</v>
      </c>
      <c r="N106" t="s">
        <v>112</v>
      </c>
      <c r="O106" t="s">
        <v>74</v>
      </c>
      <c r="P106" t="s">
        <v>74</v>
      </c>
      <c r="Q106" t="s">
        <v>74</v>
      </c>
      <c r="R106" t="s">
        <v>74</v>
      </c>
      <c r="S106" t="s">
        <v>74</v>
      </c>
      <c r="T106" t="s">
        <v>2390</v>
      </c>
      <c r="U106" t="s">
        <v>2391</v>
      </c>
      <c r="V106" t="s">
        <v>2392</v>
      </c>
      <c r="W106" t="s">
        <v>2393</v>
      </c>
      <c r="X106" t="s">
        <v>2394</v>
      </c>
      <c r="Y106" t="s">
        <v>2395</v>
      </c>
      <c r="Z106" t="s">
        <v>2396</v>
      </c>
      <c r="AA106" t="s">
        <v>2397</v>
      </c>
      <c r="AB106" t="s">
        <v>2398</v>
      </c>
      <c r="AC106" t="s">
        <v>74</v>
      </c>
      <c r="AD106" t="s">
        <v>74</v>
      </c>
      <c r="AE106" t="s">
        <v>74</v>
      </c>
      <c r="AF106" t="s">
        <v>74</v>
      </c>
      <c r="AG106">
        <v>50</v>
      </c>
      <c r="AH106">
        <v>0</v>
      </c>
      <c r="AI106">
        <v>0</v>
      </c>
      <c r="AJ106">
        <v>3</v>
      </c>
      <c r="AK106">
        <v>4</v>
      </c>
      <c r="AL106" t="s">
        <v>2399</v>
      </c>
      <c r="AM106" t="s">
        <v>525</v>
      </c>
      <c r="AN106" t="s">
        <v>2400</v>
      </c>
      <c r="AO106" t="s">
        <v>2401</v>
      </c>
      <c r="AP106" t="s">
        <v>74</v>
      </c>
      <c r="AQ106" t="s">
        <v>74</v>
      </c>
      <c r="AR106" t="s">
        <v>2402</v>
      </c>
      <c r="AS106" t="s">
        <v>2403</v>
      </c>
      <c r="AT106" t="s">
        <v>2382</v>
      </c>
      <c r="AU106">
        <v>2023</v>
      </c>
      <c r="AV106">
        <v>10</v>
      </c>
      <c r="AW106">
        <v>4</v>
      </c>
      <c r="AX106" t="s">
        <v>74</v>
      </c>
      <c r="AY106" t="s">
        <v>74</v>
      </c>
      <c r="AZ106" t="s">
        <v>74</v>
      </c>
      <c r="BA106" t="s">
        <v>74</v>
      </c>
      <c r="BB106" t="s">
        <v>74</v>
      </c>
      <c r="BC106" t="s">
        <v>74</v>
      </c>
      <c r="BD106">
        <v>220499</v>
      </c>
      <c r="BE106" t="s">
        <v>2404</v>
      </c>
      <c r="BF106" t="str">
        <f>HYPERLINK("http://dx.doi.org/10.1098/rsos.220499","http://dx.doi.org/10.1098/rsos.220499")</f>
        <v>http://dx.doi.org/10.1098/rsos.220499</v>
      </c>
      <c r="BG106" t="s">
        <v>74</v>
      </c>
      <c r="BH106" t="s">
        <v>74</v>
      </c>
      <c r="BI106">
        <v>10</v>
      </c>
      <c r="BJ106" t="s">
        <v>210</v>
      </c>
      <c r="BK106" t="s">
        <v>103</v>
      </c>
      <c r="BL106" t="s">
        <v>211</v>
      </c>
      <c r="BM106" t="s">
        <v>2405</v>
      </c>
      <c r="BN106">
        <v>37090960</v>
      </c>
      <c r="BO106" t="s">
        <v>614</v>
      </c>
      <c r="BP106" t="s">
        <v>74</v>
      </c>
      <c r="BQ106" t="s">
        <v>74</v>
      </c>
      <c r="BR106" t="s">
        <v>106</v>
      </c>
      <c r="BS106" t="s">
        <v>2406</v>
      </c>
      <c r="BT106" t="str">
        <f>HYPERLINK("https%3A%2F%2Fwww.webofscience.com%2Fwos%2Fwoscc%2Ffull-record%2FWOS:000974613200002","View Full Record in Web of Science")</f>
        <v>View Full Record in Web of Science</v>
      </c>
    </row>
    <row r="107" spans="1:72" x14ac:dyDescent="0.15">
      <c r="A107" t="s">
        <v>72</v>
      </c>
      <c r="B107" t="s">
        <v>2407</v>
      </c>
      <c r="C107" t="s">
        <v>74</v>
      </c>
      <c r="D107" t="s">
        <v>74</v>
      </c>
      <c r="E107" t="s">
        <v>74</v>
      </c>
      <c r="F107" t="s">
        <v>2408</v>
      </c>
      <c r="G107" t="s">
        <v>74</v>
      </c>
      <c r="H107" t="s">
        <v>74</v>
      </c>
      <c r="I107" t="s">
        <v>2409</v>
      </c>
      <c r="J107" t="s">
        <v>1215</v>
      </c>
      <c r="K107" t="s">
        <v>74</v>
      </c>
      <c r="L107" t="s">
        <v>74</v>
      </c>
      <c r="M107" t="s">
        <v>78</v>
      </c>
      <c r="N107" t="s">
        <v>112</v>
      </c>
      <c r="O107" t="s">
        <v>74</v>
      </c>
      <c r="P107" t="s">
        <v>74</v>
      </c>
      <c r="Q107" t="s">
        <v>74</v>
      </c>
      <c r="R107" t="s">
        <v>74</v>
      </c>
      <c r="S107" t="s">
        <v>74</v>
      </c>
      <c r="T107" t="s">
        <v>2410</v>
      </c>
      <c r="U107" t="s">
        <v>2411</v>
      </c>
      <c r="V107" t="s">
        <v>2412</v>
      </c>
      <c r="W107" t="s">
        <v>2413</v>
      </c>
      <c r="X107" t="s">
        <v>1053</v>
      </c>
      <c r="Y107" t="s">
        <v>2414</v>
      </c>
      <c r="Z107" t="s">
        <v>2415</v>
      </c>
      <c r="AA107" t="s">
        <v>2416</v>
      </c>
      <c r="AB107" t="s">
        <v>2417</v>
      </c>
      <c r="AC107" t="s">
        <v>2418</v>
      </c>
      <c r="AD107" t="s">
        <v>2419</v>
      </c>
      <c r="AE107" t="s">
        <v>2420</v>
      </c>
      <c r="AF107" t="s">
        <v>74</v>
      </c>
      <c r="AG107">
        <v>60</v>
      </c>
      <c r="AH107">
        <v>0</v>
      </c>
      <c r="AI107">
        <v>0</v>
      </c>
      <c r="AJ107">
        <v>4</v>
      </c>
      <c r="AK107">
        <v>5</v>
      </c>
      <c r="AL107" t="s">
        <v>700</v>
      </c>
      <c r="AM107" t="s">
        <v>701</v>
      </c>
      <c r="AN107" t="s">
        <v>702</v>
      </c>
      <c r="AO107" t="s">
        <v>74</v>
      </c>
      <c r="AP107" t="s">
        <v>1228</v>
      </c>
      <c r="AQ107" t="s">
        <v>74</v>
      </c>
      <c r="AR107" t="s">
        <v>1229</v>
      </c>
      <c r="AS107" t="s">
        <v>1230</v>
      </c>
      <c r="AT107" t="s">
        <v>2382</v>
      </c>
      <c r="AU107">
        <v>2023</v>
      </c>
      <c r="AV107">
        <v>10</v>
      </c>
      <c r="AW107" t="s">
        <v>74</v>
      </c>
      <c r="AX107" t="s">
        <v>74</v>
      </c>
      <c r="AY107" t="s">
        <v>74</v>
      </c>
      <c r="AZ107" t="s">
        <v>74</v>
      </c>
      <c r="BA107" t="s">
        <v>74</v>
      </c>
      <c r="BB107" t="s">
        <v>74</v>
      </c>
      <c r="BC107" t="s">
        <v>74</v>
      </c>
      <c r="BD107">
        <v>1113984</v>
      </c>
      <c r="BE107" t="s">
        <v>2421</v>
      </c>
      <c r="BF107" t="str">
        <f>HYPERLINK("http://dx.doi.org/10.3389/fmars.2023.1113984","http://dx.doi.org/10.3389/fmars.2023.1113984")</f>
        <v>http://dx.doi.org/10.3389/fmars.2023.1113984</v>
      </c>
      <c r="BG107" t="s">
        <v>74</v>
      </c>
      <c r="BH107" t="s">
        <v>74</v>
      </c>
      <c r="BI107">
        <v>10</v>
      </c>
      <c r="BJ107" t="s">
        <v>636</v>
      </c>
      <c r="BK107" t="s">
        <v>103</v>
      </c>
      <c r="BL107" t="s">
        <v>637</v>
      </c>
      <c r="BM107" t="s">
        <v>2422</v>
      </c>
      <c r="BN107" t="s">
        <v>74</v>
      </c>
      <c r="BO107" t="s">
        <v>359</v>
      </c>
      <c r="BP107" t="s">
        <v>74</v>
      </c>
      <c r="BQ107" t="s">
        <v>74</v>
      </c>
      <c r="BR107" t="s">
        <v>106</v>
      </c>
      <c r="BS107" t="s">
        <v>2423</v>
      </c>
      <c r="BT107" t="str">
        <f>HYPERLINK("https%3A%2F%2Fwww.webofscience.com%2Fwos%2Fwoscc%2Ffull-record%2FWOS:000979172800001","View Full Record in Web of Science")</f>
        <v>View Full Record in Web of Science</v>
      </c>
    </row>
    <row r="108" spans="1:72" x14ac:dyDescent="0.15">
      <c r="A108" t="s">
        <v>72</v>
      </c>
      <c r="B108" t="s">
        <v>2424</v>
      </c>
      <c r="C108" t="s">
        <v>74</v>
      </c>
      <c r="D108" t="s">
        <v>74</v>
      </c>
      <c r="E108" t="s">
        <v>74</v>
      </c>
      <c r="F108" t="s">
        <v>2425</v>
      </c>
      <c r="G108" t="s">
        <v>74</v>
      </c>
      <c r="H108" t="s">
        <v>74</v>
      </c>
      <c r="I108" t="s">
        <v>2426</v>
      </c>
      <c r="J108" t="s">
        <v>1215</v>
      </c>
      <c r="K108" t="s">
        <v>74</v>
      </c>
      <c r="L108" t="s">
        <v>74</v>
      </c>
      <c r="M108" t="s">
        <v>78</v>
      </c>
      <c r="N108" t="s">
        <v>112</v>
      </c>
      <c r="O108" t="s">
        <v>74</v>
      </c>
      <c r="P108" t="s">
        <v>74</v>
      </c>
      <c r="Q108" t="s">
        <v>74</v>
      </c>
      <c r="R108" t="s">
        <v>74</v>
      </c>
      <c r="S108" t="s">
        <v>74</v>
      </c>
      <c r="T108" t="s">
        <v>2427</v>
      </c>
      <c r="U108" t="s">
        <v>2428</v>
      </c>
      <c r="V108" t="s">
        <v>2429</v>
      </c>
      <c r="W108" t="s">
        <v>2430</v>
      </c>
      <c r="X108" t="s">
        <v>2431</v>
      </c>
      <c r="Y108" t="s">
        <v>2432</v>
      </c>
      <c r="Z108" t="s">
        <v>2433</v>
      </c>
      <c r="AA108" t="s">
        <v>74</v>
      </c>
      <c r="AB108" t="s">
        <v>74</v>
      </c>
      <c r="AC108" t="s">
        <v>74</v>
      </c>
      <c r="AD108" t="s">
        <v>74</v>
      </c>
      <c r="AE108" t="s">
        <v>74</v>
      </c>
      <c r="AF108" t="s">
        <v>74</v>
      </c>
      <c r="AG108">
        <v>87</v>
      </c>
      <c r="AH108">
        <v>0</v>
      </c>
      <c r="AI108">
        <v>0</v>
      </c>
      <c r="AJ108">
        <v>2</v>
      </c>
      <c r="AK108">
        <v>8</v>
      </c>
      <c r="AL108" t="s">
        <v>700</v>
      </c>
      <c r="AM108" t="s">
        <v>701</v>
      </c>
      <c r="AN108" t="s">
        <v>702</v>
      </c>
      <c r="AO108" t="s">
        <v>74</v>
      </c>
      <c r="AP108" t="s">
        <v>1228</v>
      </c>
      <c r="AQ108" t="s">
        <v>74</v>
      </c>
      <c r="AR108" t="s">
        <v>1229</v>
      </c>
      <c r="AS108" t="s">
        <v>1230</v>
      </c>
      <c r="AT108" t="s">
        <v>2382</v>
      </c>
      <c r="AU108">
        <v>2023</v>
      </c>
      <c r="AV108">
        <v>10</v>
      </c>
      <c r="AW108" t="s">
        <v>74</v>
      </c>
      <c r="AX108" t="s">
        <v>74</v>
      </c>
      <c r="AY108" t="s">
        <v>74</v>
      </c>
      <c r="AZ108" t="s">
        <v>74</v>
      </c>
      <c r="BA108" t="s">
        <v>74</v>
      </c>
      <c r="BB108" t="s">
        <v>74</v>
      </c>
      <c r="BC108" t="s">
        <v>74</v>
      </c>
      <c r="BD108">
        <v>1063197</v>
      </c>
      <c r="BE108" t="s">
        <v>2434</v>
      </c>
      <c r="BF108" t="str">
        <f>HYPERLINK("http://dx.doi.org/10.3389/fmars.2023.1063197","http://dx.doi.org/10.3389/fmars.2023.1063197")</f>
        <v>http://dx.doi.org/10.3389/fmars.2023.1063197</v>
      </c>
      <c r="BG108" t="s">
        <v>74</v>
      </c>
      <c r="BH108" t="s">
        <v>74</v>
      </c>
      <c r="BI108">
        <v>12</v>
      </c>
      <c r="BJ108" t="s">
        <v>636</v>
      </c>
      <c r="BK108" t="s">
        <v>103</v>
      </c>
      <c r="BL108" t="s">
        <v>637</v>
      </c>
      <c r="BM108" t="s">
        <v>2435</v>
      </c>
      <c r="BN108" t="s">
        <v>74</v>
      </c>
      <c r="BO108" t="s">
        <v>359</v>
      </c>
      <c r="BP108" t="s">
        <v>74</v>
      </c>
      <c r="BQ108" t="s">
        <v>74</v>
      </c>
      <c r="BR108" t="s">
        <v>106</v>
      </c>
      <c r="BS108" t="s">
        <v>2436</v>
      </c>
      <c r="BT108" t="str">
        <f>HYPERLINK("https%3A%2F%2Fwww.webofscience.com%2Fwos%2Fwoscc%2Ffull-record%2FWOS:000979720100001","View Full Record in Web of Science")</f>
        <v>View Full Record in Web of Science</v>
      </c>
    </row>
    <row r="109" spans="1:72" x14ac:dyDescent="0.15">
      <c r="A109" t="s">
        <v>72</v>
      </c>
      <c r="B109" t="s">
        <v>2437</v>
      </c>
      <c r="C109" t="s">
        <v>74</v>
      </c>
      <c r="D109" t="s">
        <v>74</v>
      </c>
      <c r="E109" t="s">
        <v>74</v>
      </c>
      <c r="F109" t="s">
        <v>2438</v>
      </c>
      <c r="G109" t="s">
        <v>74</v>
      </c>
      <c r="H109" t="s">
        <v>74</v>
      </c>
      <c r="I109" t="s">
        <v>2439</v>
      </c>
      <c r="J109" t="s">
        <v>2440</v>
      </c>
      <c r="K109" t="s">
        <v>74</v>
      </c>
      <c r="L109" t="s">
        <v>74</v>
      </c>
      <c r="M109" t="s">
        <v>78</v>
      </c>
      <c r="N109" t="s">
        <v>112</v>
      </c>
      <c r="O109" t="s">
        <v>74</v>
      </c>
      <c r="P109" t="s">
        <v>74</v>
      </c>
      <c r="Q109" t="s">
        <v>74</v>
      </c>
      <c r="R109" t="s">
        <v>74</v>
      </c>
      <c r="S109" t="s">
        <v>74</v>
      </c>
      <c r="T109" t="s">
        <v>2441</v>
      </c>
      <c r="U109" t="s">
        <v>2442</v>
      </c>
      <c r="V109" t="s">
        <v>2443</v>
      </c>
      <c r="W109" t="s">
        <v>2444</v>
      </c>
      <c r="X109" t="s">
        <v>2445</v>
      </c>
      <c r="Y109" t="s">
        <v>2446</v>
      </c>
      <c r="Z109" t="s">
        <v>2447</v>
      </c>
      <c r="AA109" t="s">
        <v>74</v>
      </c>
      <c r="AB109" t="s">
        <v>2448</v>
      </c>
      <c r="AC109" t="s">
        <v>74</v>
      </c>
      <c r="AD109" t="s">
        <v>74</v>
      </c>
      <c r="AE109" t="s">
        <v>74</v>
      </c>
      <c r="AF109" t="s">
        <v>74</v>
      </c>
      <c r="AG109">
        <v>110</v>
      </c>
      <c r="AH109">
        <v>1</v>
      </c>
      <c r="AI109">
        <v>1</v>
      </c>
      <c r="AJ109">
        <v>1</v>
      </c>
      <c r="AK109">
        <v>3</v>
      </c>
      <c r="AL109" t="s">
        <v>418</v>
      </c>
      <c r="AM109" t="s">
        <v>419</v>
      </c>
      <c r="AN109" t="s">
        <v>420</v>
      </c>
      <c r="AO109" t="s">
        <v>2449</v>
      </c>
      <c r="AP109" t="s">
        <v>2450</v>
      </c>
      <c r="AQ109" t="s">
        <v>74</v>
      </c>
      <c r="AR109" t="s">
        <v>2451</v>
      </c>
      <c r="AS109" t="s">
        <v>2452</v>
      </c>
      <c r="AT109" t="s">
        <v>2453</v>
      </c>
      <c r="AU109">
        <v>2023</v>
      </c>
      <c r="AV109">
        <v>66</v>
      </c>
      <c r="AW109">
        <v>3</v>
      </c>
      <c r="AX109" t="s">
        <v>74</v>
      </c>
      <c r="AY109" t="s">
        <v>74</v>
      </c>
      <c r="AZ109" t="s">
        <v>185</v>
      </c>
      <c r="BA109" t="s">
        <v>74</v>
      </c>
      <c r="BB109">
        <v>456</v>
      </c>
      <c r="BC109">
        <v>477</v>
      </c>
      <c r="BD109" t="s">
        <v>74</v>
      </c>
      <c r="BE109" t="s">
        <v>2454</v>
      </c>
      <c r="BF109" t="str">
        <f>HYPERLINK("http://dx.doi.org/10.1080/00288306.2023.2197238","http://dx.doi.org/10.1080/00288306.2023.2197238")</f>
        <v>http://dx.doi.org/10.1080/00288306.2023.2197238</v>
      </c>
      <c r="BG109" t="s">
        <v>74</v>
      </c>
      <c r="BH109" t="s">
        <v>427</v>
      </c>
      <c r="BI109">
        <v>22</v>
      </c>
      <c r="BJ109" t="s">
        <v>2455</v>
      </c>
      <c r="BK109" t="s">
        <v>103</v>
      </c>
      <c r="BL109" t="s">
        <v>262</v>
      </c>
      <c r="BM109" t="s">
        <v>2456</v>
      </c>
      <c r="BN109" t="s">
        <v>74</v>
      </c>
      <c r="BO109" t="s">
        <v>74</v>
      </c>
      <c r="BP109" t="s">
        <v>74</v>
      </c>
      <c r="BQ109" t="s">
        <v>74</v>
      </c>
      <c r="BR109" t="s">
        <v>106</v>
      </c>
      <c r="BS109" t="s">
        <v>2457</v>
      </c>
      <c r="BT109" t="str">
        <f>HYPERLINK("https%3A%2F%2Fwww.webofscience.com%2Fwos%2Fwoscc%2Ffull-record%2FWOS:000973620700001","View Full Record in Web of Science")</f>
        <v>View Full Record in Web of Science</v>
      </c>
    </row>
    <row r="110" spans="1:72" x14ac:dyDescent="0.15">
      <c r="A110" t="s">
        <v>72</v>
      </c>
      <c r="B110" t="s">
        <v>2458</v>
      </c>
      <c r="C110" t="s">
        <v>74</v>
      </c>
      <c r="D110" t="s">
        <v>74</v>
      </c>
      <c r="E110" t="s">
        <v>74</v>
      </c>
      <c r="F110" t="s">
        <v>2459</v>
      </c>
      <c r="G110" t="s">
        <v>74</v>
      </c>
      <c r="H110" t="s">
        <v>74</v>
      </c>
      <c r="I110" t="s">
        <v>2460</v>
      </c>
      <c r="J110" t="s">
        <v>2461</v>
      </c>
      <c r="K110" t="s">
        <v>74</v>
      </c>
      <c r="L110" t="s">
        <v>74</v>
      </c>
      <c r="M110" t="s">
        <v>78</v>
      </c>
      <c r="N110" t="s">
        <v>112</v>
      </c>
      <c r="O110" t="s">
        <v>74</v>
      </c>
      <c r="P110" t="s">
        <v>74</v>
      </c>
      <c r="Q110" t="s">
        <v>74</v>
      </c>
      <c r="R110" t="s">
        <v>74</v>
      </c>
      <c r="S110" t="s">
        <v>74</v>
      </c>
      <c r="T110" t="s">
        <v>74</v>
      </c>
      <c r="U110" t="s">
        <v>2462</v>
      </c>
      <c r="V110" t="s">
        <v>2463</v>
      </c>
      <c r="W110" t="s">
        <v>2464</v>
      </c>
      <c r="X110" t="s">
        <v>2465</v>
      </c>
      <c r="Y110" t="s">
        <v>2466</v>
      </c>
      <c r="Z110" t="s">
        <v>2467</v>
      </c>
      <c r="AA110" t="s">
        <v>2468</v>
      </c>
      <c r="AB110" t="s">
        <v>2469</v>
      </c>
      <c r="AC110" t="s">
        <v>74</v>
      </c>
      <c r="AD110" t="s">
        <v>74</v>
      </c>
      <c r="AE110" t="s">
        <v>74</v>
      </c>
      <c r="AF110" t="s">
        <v>74</v>
      </c>
      <c r="AG110">
        <v>105</v>
      </c>
      <c r="AH110">
        <v>1</v>
      </c>
      <c r="AI110">
        <v>2</v>
      </c>
      <c r="AJ110">
        <v>0</v>
      </c>
      <c r="AK110">
        <v>2</v>
      </c>
      <c r="AL110" t="s">
        <v>1357</v>
      </c>
      <c r="AM110" t="s">
        <v>525</v>
      </c>
      <c r="AN110" t="s">
        <v>1358</v>
      </c>
      <c r="AO110" t="s">
        <v>74</v>
      </c>
      <c r="AP110" t="s">
        <v>2470</v>
      </c>
      <c r="AQ110" t="s">
        <v>74</v>
      </c>
      <c r="AR110" t="s">
        <v>2471</v>
      </c>
      <c r="AS110" t="s">
        <v>2472</v>
      </c>
      <c r="AT110" t="s">
        <v>2382</v>
      </c>
      <c r="AU110">
        <v>2023</v>
      </c>
      <c r="AV110">
        <v>4</v>
      </c>
      <c r="AW110">
        <v>1</v>
      </c>
      <c r="AX110" t="s">
        <v>74</v>
      </c>
      <c r="AY110" t="s">
        <v>74</v>
      </c>
      <c r="AZ110" t="s">
        <v>74</v>
      </c>
      <c r="BA110" t="s">
        <v>74</v>
      </c>
      <c r="BB110" t="s">
        <v>74</v>
      </c>
      <c r="BC110" t="s">
        <v>74</v>
      </c>
      <c r="BD110">
        <v>127</v>
      </c>
      <c r="BE110" t="s">
        <v>2473</v>
      </c>
      <c r="BF110" t="str">
        <f>HYPERLINK("http://dx.doi.org/10.1038/s43247-023-00785-7","http://dx.doi.org/10.1038/s43247-023-00785-7")</f>
        <v>http://dx.doi.org/10.1038/s43247-023-00785-7</v>
      </c>
      <c r="BG110" t="s">
        <v>74</v>
      </c>
      <c r="BH110" t="s">
        <v>74</v>
      </c>
      <c r="BI110">
        <v>12</v>
      </c>
      <c r="BJ110" t="s">
        <v>2474</v>
      </c>
      <c r="BK110" t="s">
        <v>103</v>
      </c>
      <c r="BL110" t="s">
        <v>2475</v>
      </c>
      <c r="BM110" t="s">
        <v>2476</v>
      </c>
      <c r="BN110" t="s">
        <v>74</v>
      </c>
      <c r="BO110" t="s">
        <v>359</v>
      </c>
      <c r="BP110" t="s">
        <v>74</v>
      </c>
      <c r="BQ110" t="s">
        <v>74</v>
      </c>
      <c r="BR110" t="s">
        <v>106</v>
      </c>
      <c r="BS110" t="s">
        <v>2477</v>
      </c>
      <c r="BT110" t="str">
        <f>HYPERLINK("https%3A%2F%2Fwww.webofscience.com%2Fwos%2Fwoscc%2Ffull-record%2FWOS:000972731000001","View Full Record in Web of Science")</f>
        <v>View Full Record in Web of Science</v>
      </c>
    </row>
    <row r="111" spans="1:72" x14ac:dyDescent="0.15">
      <c r="A111" t="s">
        <v>72</v>
      </c>
      <c r="B111" t="s">
        <v>2478</v>
      </c>
      <c r="C111" t="s">
        <v>74</v>
      </c>
      <c r="D111" t="s">
        <v>74</v>
      </c>
      <c r="E111" t="s">
        <v>74</v>
      </c>
      <c r="F111" t="s">
        <v>2479</v>
      </c>
      <c r="G111" t="s">
        <v>74</v>
      </c>
      <c r="H111" t="s">
        <v>74</v>
      </c>
      <c r="I111" t="s">
        <v>2480</v>
      </c>
      <c r="J111" t="s">
        <v>1685</v>
      </c>
      <c r="K111" t="s">
        <v>74</v>
      </c>
      <c r="L111" t="s">
        <v>74</v>
      </c>
      <c r="M111" t="s">
        <v>78</v>
      </c>
      <c r="N111" t="s">
        <v>112</v>
      </c>
      <c r="O111" t="s">
        <v>74</v>
      </c>
      <c r="P111" t="s">
        <v>74</v>
      </c>
      <c r="Q111" t="s">
        <v>74</v>
      </c>
      <c r="R111" t="s">
        <v>74</v>
      </c>
      <c r="S111" t="s">
        <v>74</v>
      </c>
      <c r="T111" t="s">
        <v>74</v>
      </c>
      <c r="U111" t="s">
        <v>2481</v>
      </c>
      <c r="V111" t="s">
        <v>2482</v>
      </c>
      <c r="W111" t="s">
        <v>2483</v>
      </c>
      <c r="X111" t="s">
        <v>2484</v>
      </c>
      <c r="Y111" t="s">
        <v>2485</v>
      </c>
      <c r="Z111" t="s">
        <v>2486</v>
      </c>
      <c r="AA111" t="s">
        <v>2487</v>
      </c>
      <c r="AB111" t="s">
        <v>2488</v>
      </c>
      <c r="AC111" t="s">
        <v>2489</v>
      </c>
      <c r="AD111" t="s">
        <v>2490</v>
      </c>
      <c r="AE111" t="s">
        <v>2491</v>
      </c>
      <c r="AF111" t="s">
        <v>74</v>
      </c>
      <c r="AG111">
        <v>81</v>
      </c>
      <c r="AH111">
        <v>4</v>
      </c>
      <c r="AI111">
        <v>5</v>
      </c>
      <c r="AJ111">
        <v>6</v>
      </c>
      <c r="AK111">
        <v>11</v>
      </c>
      <c r="AL111" t="s">
        <v>203</v>
      </c>
      <c r="AM111" t="s">
        <v>204</v>
      </c>
      <c r="AN111" t="s">
        <v>205</v>
      </c>
      <c r="AO111" t="s">
        <v>74</v>
      </c>
      <c r="AP111" t="s">
        <v>1696</v>
      </c>
      <c r="AQ111" t="s">
        <v>74</v>
      </c>
      <c r="AR111" t="s">
        <v>1697</v>
      </c>
      <c r="AS111" t="s">
        <v>1698</v>
      </c>
      <c r="AT111" t="s">
        <v>2492</v>
      </c>
      <c r="AU111">
        <v>2023</v>
      </c>
      <c r="AV111">
        <v>14</v>
      </c>
      <c r="AW111">
        <v>1</v>
      </c>
      <c r="AX111" t="s">
        <v>74</v>
      </c>
      <c r="AY111" t="s">
        <v>74</v>
      </c>
      <c r="AZ111" t="s">
        <v>74</v>
      </c>
      <c r="BA111" t="s">
        <v>74</v>
      </c>
      <c r="BB111" t="s">
        <v>74</v>
      </c>
      <c r="BC111" t="s">
        <v>74</v>
      </c>
      <c r="BD111">
        <v>2129</v>
      </c>
      <c r="BE111" t="s">
        <v>2493</v>
      </c>
      <c r="BF111" t="str">
        <f>HYPERLINK("http://dx.doi.org/10.1038/s41467-023-37325-y","http://dx.doi.org/10.1038/s41467-023-37325-y")</f>
        <v>http://dx.doi.org/10.1038/s41467-023-37325-y</v>
      </c>
      <c r="BG111" t="s">
        <v>74</v>
      </c>
      <c r="BH111" t="s">
        <v>74</v>
      </c>
      <c r="BI111">
        <v>10</v>
      </c>
      <c r="BJ111" t="s">
        <v>210</v>
      </c>
      <c r="BK111" t="s">
        <v>103</v>
      </c>
      <c r="BL111" t="s">
        <v>211</v>
      </c>
      <c r="BM111" t="s">
        <v>2494</v>
      </c>
      <c r="BN111">
        <v>37072396</v>
      </c>
      <c r="BO111" t="s">
        <v>136</v>
      </c>
      <c r="BP111" t="s">
        <v>74</v>
      </c>
      <c r="BQ111" t="s">
        <v>74</v>
      </c>
      <c r="BR111" t="s">
        <v>106</v>
      </c>
      <c r="BS111" t="s">
        <v>2495</v>
      </c>
      <c r="BT111" t="str">
        <f>HYPERLINK("https%3A%2F%2Fwww.webofscience.com%2Fwos%2Fwoscc%2Ffull-record%2FWOS:000984481700019","View Full Record in Web of Science")</f>
        <v>View Full Record in Web of Science</v>
      </c>
    </row>
    <row r="112" spans="1:72" x14ac:dyDescent="0.15">
      <c r="A112" t="s">
        <v>72</v>
      </c>
      <c r="B112" t="s">
        <v>2496</v>
      </c>
      <c r="C112" t="s">
        <v>74</v>
      </c>
      <c r="D112" t="s">
        <v>74</v>
      </c>
      <c r="E112" t="s">
        <v>74</v>
      </c>
      <c r="F112" t="s">
        <v>2497</v>
      </c>
      <c r="G112" t="s">
        <v>74</v>
      </c>
      <c r="H112" t="s">
        <v>74</v>
      </c>
      <c r="I112" t="s">
        <v>2498</v>
      </c>
      <c r="J112" t="s">
        <v>2499</v>
      </c>
      <c r="K112" t="s">
        <v>74</v>
      </c>
      <c r="L112" t="s">
        <v>74</v>
      </c>
      <c r="M112" t="s">
        <v>78</v>
      </c>
      <c r="N112" t="s">
        <v>112</v>
      </c>
      <c r="O112" t="s">
        <v>74</v>
      </c>
      <c r="P112" t="s">
        <v>74</v>
      </c>
      <c r="Q112" t="s">
        <v>74</v>
      </c>
      <c r="R112" t="s">
        <v>74</v>
      </c>
      <c r="S112" t="s">
        <v>74</v>
      </c>
      <c r="T112" t="s">
        <v>74</v>
      </c>
      <c r="U112" t="s">
        <v>74</v>
      </c>
      <c r="V112" t="s">
        <v>2500</v>
      </c>
      <c r="W112" t="s">
        <v>2501</v>
      </c>
      <c r="X112" t="s">
        <v>2502</v>
      </c>
      <c r="Y112" t="s">
        <v>2503</v>
      </c>
      <c r="Z112" t="s">
        <v>2504</v>
      </c>
      <c r="AA112" t="s">
        <v>74</v>
      </c>
      <c r="AB112" t="s">
        <v>2505</v>
      </c>
      <c r="AC112" t="s">
        <v>2506</v>
      </c>
      <c r="AD112" t="s">
        <v>2507</v>
      </c>
      <c r="AE112" t="s">
        <v>2508</v>
      </c>
      <c r="AF112" t="s">
        <v>74</v>
      </c>
      <c r="AG112">
        <v>20</v>
      </c>
      <c r="AH112">
        <v>1</v>
      </c>
      <c r="AI112">
        <v>1</v>
      </c>
      <c r="AJ112">
        <v>3</v>
      </c>
      <c r="AK112">
        <v>4</v>
      </c>
      <c r="AL112" t="s">
        <v>794</v>
      </c>
      <c r="AM112" t="s">
        <v>795</v>
      </c>
      <c r="AN112" t="s">
        <v>796</v>
      </c>
      <c r="AO112" t="s">
        <v>2509</v>
      </c>
      <c r="AP112" t="s">
        <v>2510</v>
      </c>
      <c r="AQ112" t="s">
        <v>74</v>
      </c>
      <c r="AR112" t="s">
        <v>2511</v>
      </c>
      <c r="AS112" t="s">
        <v>2512</v>
      </c>
      <c r="AT112" t="s">
        <v>2492</v>
      </c>
      <c r="AU112">
        <v>2023</v>
      </c>
      <c r="AV112">
        <v>41</v>
      </c>
      <c r="AW112">
        <v>1</v>
      </c>
      <c r="AX112" t="s">
        <v>74</v>
      </c>
      <c r="AY112" t="s">
        <v>74</v>
      </c>
      <c r="AZ112" t="s">
        <v>74</v>
      </c>
      <c r="BA112" t="s">
        <v>74</v>
      </c>
      <c r="BB112">
        <v>197</v>
      </c>
      <c r="BC112">
        <v>208</v>
      </c>
      <c r="BD112" t="s">
        <v>74</v>
      </c>
      <c r="BE112" t="s">
        <v>2513</v>
      </c>
      <c r="BF112" t="str">
        <f>HYPERLINK("http://dx.doi.org/10.5194/angeo-41-197-2023","http://dx.doi.org/10.5194/angeo-41-197-2023")</f>
        <v>http://dx.doi.org/10.5194/angeo-41-197-2023</v>
      </c>
      <c r="BG112" t="s">
        <v>74</v>
      </c>
      <c r="BH112" t="s">
        <v>74</v>
      </c>
      <c r="BI112">
        <v>12</v>
      </c>
      <c r="BJ112" t="s">
        <v>2514</v>
      </c>
      <c r="BK112" t="s">
        <v>103</v>
      </c>
      <c r="BL112" t="s">
        <v>2515</v>
      </c>
      <c r="BM112" t="s">
        <v>2516</v>
      </c>
      <c r="BN112" t="s">
        <v>74</v>
      </c>
      <c r="BO112" t="s">
        <v>2517</v>
      </c>
      <c r="BP112" t="s">
        <v>74</v>
      </c>
      <c r="BQ112" t="s">
        <v>74</v>
      </c>
      <c r="BR112" t="s">
        <v>106</v>
      </c>
      <c r="BS112" t="s">
        <v>2518</v>
      </c>
      <c r="BT112" t="str">
        <f>HYPERLINK("https%3A%2F%2Fwww.webofscience.com%2Fwos%2Fwoscc%2Ffull-record%2FWOS:000980486700001","View Full Record in Web of Science")</f>
        <v>View Full Record in Web of Science</v>
      </c>
    </row>
    <row r="113" spans="1:72" x14ac:dyDescent="0.15">
      <c r="A113" t="s">
        <v>72</v>
      </c>
      <c r="B113" t="s">
        <v>2519</v>
      </c>
      <c r="C113" t="s">
        <v>74</v>
      </c>
      <c r="D113" t="s">
        <v>74</v>
      </c>
      <c r="E113" t="s">
        <v>74</v>
      </c>
      <c r="F113" t="s">
        <v>2520</v>
      </c>
      <c r="G113" t="s">
        <v>74</v>
      </c>
      <c r="H113" t="s">
        <v>74</v>
      </c>
      <c r="I113" t="s">
        <v>2521</v>
      </c>
      <c r="J113" t="s">
        <v>1193</v>
      </c>
      <c r="K113" t="s">
        <v>74</v>
      </c>
      <c r="L113" t="s">
        <v>74</v>
      </c>
      <c r="M113" t="s">
        <v>78</v>
      </c>
      <c r="N113" t="s">
        <v>112</v>
      </c>
      <c r="O113" t="s">
        <v>74</v>
      </c>
      <c r="P113" t="s">
        <v>74</v>
      </c>
      <c r="Q113" t="s">
        <v>74</v>
      </c>
      <c r="R113" t="s">
        <v>74</v>
      </c>
      <c r="S113" t="s">
        <v>74</v>
      </c>
      <c r="T113" t="s">
        <v>2522</v>
      </c>
      <c r="U113" t="s">
        <v>2523</v>
      </c>
      <c r="V113" t="s">
        <v>2524</v>
      </c>
      <c r="W113" t="s">
        <v>2525</v>
      </c>
      <c r="X113" t="s">
        <v>2526</v>
      </c>
      <c r="Y113" t="s">
        <v>2527</v>
      </c>
      <c r="Z113" t="s">
        <v>2528</v>
      </c>
      <c r="AA113" t="s">
        <v>2529</v>
      </c>
      <c r="AB113" t="s">
        <v>2530</v>
      </c>
      <c r="AC113" t="s">
        <v>2531</v>
      </c>
      <c r="AD113" t="s">
        <v>2532</v>
      </c>
      <c r="AE113" t="s">
        <v>2533</v>
      </c>
      <c r="AF113" t="s">
        <v>74</v>
      </c>
      <c r="AG113">
        <v>100</v>
      </c>
      <c r="AH113">
        <v>0</v>
      </c>
      <c r="AI113">
        <v>0</v>
      </c>
      <c r="AJ113">
        <v>6</v>
      </c>
      <c r="AK113">
        <v>11</v>
      </c>
      <c r="AL113" t="s">
        <v>447</v>
      </c>
      <c r="AM113" t="s">
        <v>448</v>
      </c>
      <c r="AN113" t="s">
        <v>449</v>
      </c>
      <c r="AO113" t="s">
        <v>1204</v>
      </c>
      <c r="AP113" t="s">
        <v>1205</v>
      </c>
      <c r="AQ113" t="s">
        <v>74</v>
      </c>
      <c r="AR113" t="s">
        <v>1206</v>
      </c>
      <c r="AS113" t="s">
        <v>1207</v>
      </c>
      <c r="AT113" t="s">
        <v>2534</v>
      </c>
      <c r="AU113">
        <v>2023</v>
      </c>
      <c r="AV113">
        <v>879</v>
      </c>
      <c r="AW113" t="s">
        <v>74</v>
      </c>
      <c r="AX113" t="s">
        <v>74</v>
      </c>
      <c r="AY113" t="s">
        <v>74</v>
      </c>
      <c r="AZ113" t="s">
        <v>74</v>
      </c>
      <c r="BA113" t="s">
        <v>74</v>
      </c>
      <c r="BB113" t="s">
        <v>74</v>
      </c>
      <c r="BC113" t="s">
        <v>74</v>
      </c>
      <c r="BD113">
        <v>163256</v>
      </c>
      <c r="BE113" t="s">
        <v>2535</v>
      </c>
      <c r="BF113" t="str">
        <f>HYPERLINK("http://dx.doi.org/10.1016/j.scitotenv.2023.163256","http://dx.doi.org/10.1016/j.scitotenv.2023.163256")</f>
        <v>http://dx.doi.org/10.1016/j.scitotenv.2023.163256</v>
      </c>
      <c r="BG113" t="s">
        <v>74</v>
      </c>
      <c r="BH113" t="s">
        <v>427</v>
      </c>
      <c r="BI113">
        <v>13</v>
      </c>
      <c r="BJ113" t="s">
        <v>1163</v>
      </c>
      <c r="BK113" t="s">
        <v>103</v>
      </c>
      <c r="BL113" t="s">
        <v>1164</v>
      </c>
      <c r="BM113" t="s">
        <v>2536</v>
      </c>
      <c r="BN113">
        <v>37011689</v>
      </c>
      <c r="BO113" t="s">
        <v>74</v>
      </c>
      <c r="BP113" t="s">
        <v>74</v>
      </c>
      <c r="BQ113" t="s">
        <v>74</v>
      </c>
      <c r="BR113" t="s">
        <v>106</v>
      </c>
      <c r="BS113" t="s">
        <v>2537</v>
      </c>
      <c r="BT113" t="str">
        <f>HYPERLINK("https%3A%2F%2Fwww.webofscience.com%2Fwos%2Fwoscc%2Ffull-record%2FWOS:000988235800001","View Full Record in Web of Science")</f>
        <v>View Full Record in Web of Science</v>
      </c>
    </row>
    <row r="114" spans="1:72" x14ac:dyDescent="0.15">
      <c r="A114" t="s">
        <v>72</v>
      </c>
      <c r="B114" t="s">
        <v>2538</v>
      </c>
      <c r="C114" t="s">
        <v>74</v>
      </c>
      <c r="D114" t="s">
        <v>74</v>
      </c>
      <c r="E114" t="s">
        <v>74</v>
      </c>
      <c r="F114" t="s">
        <v>2539</v>
      </c>
      <c r="G114" t="s">
        <v>74</v>
      </c>
      <c r="H114" t="s">
        <v>74</v>
      </c>
      <c r="I114" t="s">
        <v>2540</v>
      </c>
      <c r="J114" t="s">
        <v>2541</v>
      </c>
      <c r="K114" t="s">
        <v>74</v>
      </c>
      <c r="L114" t="s">
        <v>74</v>
      </c>
      <c r="M114" t="s">
        <v>78</v>
      </c>
      <c r="N114" t="s">
        <v>112</v>
      </c>
      <c r="O114" t="s">
        <v>74</v>
      </c>
      <c r="P114" t="s">
        <v>74</v>
      </c>
      <c r="Q114" t="s">
        <v>74</v>
      </c>
      <c r="R114" t="s">
        <v>74</v>
      </c>
      <c r="S114" t="s">
        <v>74</v>
      </c>
      <c r="T114" t="s">
        <v>74</v>
      </c>
      <c r="U114" t="s">
        <v>2542</v>
      </c>
      <c r="V114" t="s">
        <v>2543</v>
      </c>
      <c r="W114" t="s">
        <v>2544</v>
      </c>
      <c r="X114" t="s">
        <v>2545</v>
      </c>
      <c r="Y114" t="s">
        <v>2546</v>
      </c>
      <c r="Z114" t="s">
        <v>2547</v>
      </c>
      <c r="AA114" t="s">
        <v>2548</v>
      </c>
      <c r="AB114" t="s">
        <v>2549</v>
      </c>
      <c r="AC114" t="s">
        <v>2550</v>
      </c>
      <c r="AD114" t="s">
        <v>2551</v>
      </c>
      <c r="AE114" t="s">
        <v>2552</v>
      </c>
      <c r="AF114" t="s">
        <v>74</v>
      </c>
      <c r="AG114">
        <v>93</v>
      </c>
      <c r="AH114">
        <v>1</v>
      </c>
      <c r="AI114">
        <v>1</v>
      </c>
      <c r="AJ114">
        <v>7</v>
      </c>
      <c r="AK114">
        <v>10</v>
      </c>
      <c r="AL114" t="s">
        <v>794</v>
      </c>
      <c r="AM114" t="s">
        <v>795</v>
      </c>
      <c r="AN114" t="s">
        <v>796</v>
      </c>
      <c r="AO114" t="s">
        <v>2553</v>
      </c>
      <c r="AP114" t="s">
        <v>2554</v>
      </c>
      <c r="AQ114" t="s">
        <v>74</v>
      </c>
      <c r="AR114" t="s">
        <v>2555</v>
      </c>
      <c r="AS114" t="s">
        <v>2556</v>
      </c>
      <c r="AT114" t="s">
        <v>2492</v>
      </c>
      <c r="AU114">
        <v>2023</v>
      </c>
      <c r="AV114">
        <v>23</v>
      </c>
      <c r="AW114">
        <v>8</v>
      </c>
      <c r="AX114" t="s">
        <v>74</v>
      </c>
      <c r="AY114" t="s">
        <v>74</v>
      </c>
      <c r="AZ114" t="s">
        <v>74</v>
      </c>
      <c r="BA114" t="s">
        <v>74</v>
      </c>
      <c r="BB114">
        <v>4617</v>
      </c>
      <c r="BC114">
        <v>4636</v>
      </c>
      <c r="BD114" t="s">
        <v>74</v>
      </c>
      <c r="BE114" t="s">
        <v>2557</v>
      </c>
      <c r="BF114" t="str">
        <f>HYPERLINK("http://dx.doi.org/10.5194/acp-23-4617-2023","http://dx.doi.org/10.5194/acp-23-4617-2023")</f>
        <v>http://dx.doi.org/10.5194/acp-23-4617-2023</v>
      </c>
      <c r="BG114" t="s">
        <v>74</v>
      </c>
      <c r="BH114" t="s">
        <v>74</v>
      </c>
      <c r="BI114">
        <v>20</v>
      </c>
      <c r="BJ114" t="s">
        <v>356</v>
      </c>
      <c r="BK114" t="s">
        <v>103</v>
      </c>
      <c r="BL114" t="s">
        <v>357</v>
      </c>
      <c r="BM114" t="s">
        <v>2558</v>
      </c>
      <c r="BN114" t="s">
        <v>74</v>
      </c>
      <c r="BO114" t="s">
        <v>359</v>
      </c>
      <c r="BP114" t="s">
        <v>74</v>
      </c>
      <c r="BQ114" t="s">
        <v>74</v>
      </c>
      <c r="BR114" t="s">
        <v>106</v>
      </c>
      <c r="BS114" t="s">
        <v>2559</v>
      </c>
      <c r="BT114" t="str">
        <f>HYPERLINK("https%3A%2F%2Fwww.webofscience.com%2Fwos%2Fwoscc%2Ffull-record%2FWOS:000973756700001","View Full Record in Web of Science")</f>
        <v>View Full Record in Web of Science</v>
      </c>
    </row>
    <row r="115" spans="1:72" x14ac:dyDescent="0.15">
      <c r="A115" t="s">
        <v>72</v>
      </c>
      <c r="B115" t="s">
        <v>2560</v>
      </c>
      <c r="C115" t="s">
        <v>74</v>
      </c>
      <c r="D115" t="s">
        <v>74</v>
      </c>
      <c r="E115" t="s">
        <v>74</v>
      </c>
      <c r="F115" t="s">
        <v>2561</v>
      </c>
      <c r="G115" t="s">
        <v>74</v>
      </c>
      <c r="H115" t="s">
        <v>74</v>
      </c>
      <c r="I115" t="s">
        <v>2562</v>
      </c>
      <c r="J115" t="s">
        <v>2563</v>
      </c>
      <c r="K115" t="s">
        <v>74</v>
      </c>
      <c r="L115" t="s">
        <v>74</v>
      </c>
      <c r="M115" t="s">
        <v>78</v>
      </c>
      <c r="N115" t="s">
        <v>112</v>
      </c>
      <c r="O115" t="s">
        <v>74</v>
      </c>
      <c r="P115" t="s">
        <v>74</v>
      </c>
      <c r="Q115" t="s">
        <v>74</v>
      </c>
      <c r="R115" t="s">
        <v>74</v>
      </c>
      <c r="S115" t="s">
        <v>74</v>
      </c>
      <c r="T115" t="s">
        <v>2564</v>
      </c>
      <c r="U115" t="s">
        <v>2565</v>
      </c>
      <c r="V115" t="s">
        <v>2566</v>
      </c>
      <c r="W115" t="s">
        <v>2567</v>
      </c>
      <c r="X115" t="s">
        <v>2568</v>
      </c>
      <c r="Y115" t="s">
        <v>2569</v>
      </c>
      <c r="Z115" t="s">
        <v>2570</v>
      </c>
      <c r="AA115" t="s">
        <v>74</v>
      </c>
      <c r="AB115" t="s">
        <v>2571</v>
      </c>
      <c r="AC115" t="s">
        <v>2572</v>
      </c>
      <c r="AD115" t="s">
        <v>2573</v>
      </c>
      <c r="AE115" t="s">
        <v>2574</v>
      </c>
      <c r="AF115" t="s">
        <v>74</v>
      </c>
      <c r="AG115">
        <v>770</v>
      </c>
      <c r="AH115">
        <v>2</v>
      </c>
      <c r="AI115">
        <v>2</v>
      </c>
      <c r="AJ115">
        <v>2</v>
      </c>
      <c r="AK115">
        <v>4</v>
      </c>
      <c r="AL115" t="s">
        <v>2575</v>
      </c>
      <c r="AM115" t="s">
        <v>2576</v>
      </c>
      <c r="AN115" t="s">
        <v>2577</v>
      </c>
      <c r="AO115" t="s">
        <v>2578</v>
      </c>
      <c r="AP115" t="s">
        <v>2579</v>
      </c>
      <c r="AQ115" t="s">
        <v>74</v>
      </c>
      <c r="AR115" t="s">
        <v>2563</v>
      </c>
      <c r="AS115" t="s">
        <v>2580</v>
      </c>
      <c r="AT115" t="s">
        <v>2492</v>
      </c>
      <c r="AU115">
        <v>2023</v>
      </c>
      <c r="AV115">
        <v>5255</v>
      </c>
      <c r="AW115">
        <v>1</v>
      </c>
      <c r="AX115" t="s">
        <v>74</v>
      </c>
      <c r="AY115" t="s">
        <v>74</v>
      </c>
      <c r="AZ115" t="s">
        <v>74</v>
      </c>
      <c r="BA115" t="s">
        <v>74</v>
      </c>
      <c r="BB115">
        <v>1</v>
      </c>
      <c r="BC115">
        <v>442</v>
      </c>
      <c r="BD115" t="s">
        <v>74</v>
      </c>
      <c r="BE115" t="s">
        <v>2581</v>
      </c>
      <c r="BF115" t="str">
        <f>HYPERLINK("http://dx.doi.org/10.11646/zootaxa.5265.1.1","http://dx.doi.org/10.11646/zootaxa.5265.1.1")</f>
        <v>http://dx.doi.org/10.11646/zootaxa.5265.1.1</v>
      </c>
      <c r="BG115" t="s">
        <v>74</v>
      </c>
      <c r="BH115" t="s">
        <v>74</v>
      </c>
      <c r="BI115">
        <v>442</v>
      </c>
      <c r="BJ115" t="s">
        <v>2582</v>
      </c>
      <c r="BK115" t="s">
        <v>103</v>
      </c>
      <c r="BL115" t="s">
        <v>2582</v>
      </c>
      <c r="BM115" t="s">
        <v>2583</v>
      </c>
      <c r="BN115">
        <v>37518026</v>
      </c>
      <c r="BO115" t="s">
        <v>74</v>
      </c>
      <c r="BP115" t="s">
        <v>74</v>
      </c>
      <c r="BQ115" t="s">
        <v>74</v>
      </c>
      <c r="BR115" t="s">
        <v>106</v>
      </c>
      <c r="BS115" t="s">
        <v>2584</v>
      </c>
      <c r="BT115" t="str">
        <f>HYPERLINK("https%3A%2F%2Fwww.webofscience.com%2Fwos%2Fwoscc%2Ffull-record%2FWOS:000972743500001","View Full Record in Web of Science")</f>
        <v>View Full Record in Web of Science</v>
      </c>
    </row>
    <row r="116" spans="1:72" x14ac:dyDescent="0.15">
      <c r="A116" t="s">
        <v>72</v>
      </c>
      <c r="B116" t="s">
        <v>2585</v>
      </c>
      <c r="C116" t="s">
        <v>74</v>
      </c>
      <c r="D116" t="s">
        <v>74</v>
      </c>
      <c r="E116" t="s">
        <v>74</v>
      </c>
      <c r="F116" t="s">
        <v>2586</v>
      </c>
      <c r="G116" t="s">
        <v>74</v>
      </c>
      <c r="H116" t="s">
        <v>74</v>
      </c>
      <c r="I116" t="s">
        <v>2587</v>
      </c>
      <c r="J116" t="s">
        <v>2058</v>
      </c>
      <c r="K116" t="s">
        <v>74</v>
      </c>
      <c r="L116" t="s">
        <v>74</v>
      </c>
      <c r="M116" t="s">
        <v>78</v>
      </c>
      <c r="N116" t="s">
        <v>112</v>
      </c>
      <c r="O116" t="s">
        <v>74</v>
      </c>
      <c r="P116" t="s">
        <v>74</v>
      </c>
      <c r="Q116" t="s">
        <v>74</v>
      </c>
      <c r="R116" t="s">
        <v>74</v>
      </c>
      <c r="S116" t="s">
        <v>74</v>
      </c>
      <c r="T116" t="s">
        <v>74</v>
      </c>
      <c r="U116" t="s">
        <v>2588</v>
      </c>
      <c r="V116" t="s">
        <v>2589</v>
      </c>
      <c r="W116" t="s">
        <v>2590</v>
      </c>
      <c r="X116" t="s">
        <v>2591</v>
      </c>
      <c r="Y116" t="s">
        <v>2592</v>
      </c>
      <c r="Z116" t="s">
        <v>2593</v>
      </c>
      <c r="AA116" t="s">
        <v>74</v>
      </c>
      <c r="AB116" t="s">
        <v>2594</v>
      </c>
      <c r="AC116" t="s">
        <v>2595</v>
      </c>
      <c r="AD116" t="s">
        <v>2596</v>
      </c>
      <c r="AE116" t="s">
        <v>2597</v>
      </c>
      <c r="AF116" t="s">
        <v>74</v>
      </c>
      <c r="AG116">
        <v>54</v>
      </c>
      <c r="AH116">
        <v>0</v>
      </c>
      <c r="AI116">
        <v>0</v>
      </c>
      <c r="AJ116">
        <v>0</v>
      </c>
      <c r="AK116">
        <v>5</v>
      </c>
      <c r="AL116" t="s">
        <v>794</v>
      </c>
      <c r="AM116" t="s">
        <v>795</v>
      </c>
      <c r="AN116" t="s">
        <v>796</v>
      </c>
      <c r="AO116" t="s">
        <v>2069</v>
      </c>
      <c r="AP116" t="s">
        <v>2070</v>
      </c>
      <c r="AQ116" t="s">
        <v>74</v>
      </c>
      <c r="AR116" t="s">
        <v>2071</v>
      </c>
      <c r="AS116" t="s">
        <v>2072</v>
      </c>
      <c r="AT116" t="s">
        <v>2492</v>
      </c>
      <c r="AU116">
        <v>2023</v>
      </c>
      <c r="AV116">
        <v>15</v>
      </c>
      <c r="AW116">
        <v>4</v>
      </c>
      <c r="AX116" t="s">
        <v>74</v>
      </c>
      <c r="AY116" t="s">
        <v>74</v>
      </c>
      <c r="AZ116" t="s">
        <v>74</v>
      </c>
      <c r="BA116" t="s">
        <v>74</v>
      </c>
      <c r="BB116">
        <v>1733</v>
      </c>
      <c r="BC116">
        <v>1747</v>
      </c>
      <c r="BD116" t="s">
        <v>74</v>
      </c>
      <c r="BE116" t="s">
        <v>2598</v>
      </c>
      <c r="BF116" t="str">
        <f>HYPERLINK("http://dx.doi.org/10.5194/essd-15-1733-2023","http://dx.doi.org/10.5194/essd-15-1733-2023")</f>
        <v>http://dx.doi.org/10.5194/essd-15-1733-2023</v>
      </c>
      <c r="BG116" t="s">
        <v>74</v>
      </c>
      <c r="BH116" t="s">
        <v>74</v>
      </c>
      <c r="BI116">
        <v>15</v>
      </c>
      <c r="BJ116" t="s">
        <v>1041</v>
      </c>
      <c r="BK116" t="s">
        <v>103</v>
      </c>
      <c r="BL116" t="s">
        <v>1042</v>
      </c>
      <c r="BM116" t="s">
        <v>2599</v>
      </c>
      <c r="BN116" t="s">
        <v>74</v>
      </c>
      <c r="BO116" t="s">
        <v>2600</v>
      </c>
      <c r="BP116" t="s">
        <v>74</v>
      </c>
      <c r="BQ116" t="s">
        <v>74</v>
      </c>
      <c r="BR116" t="s">
        <v>106</v>
      </c>
      <c r="BS116" t="s">
        <v>2601</v>
      </c>
      <c r="BT116" t="str">
        <f>HYPERLINK("https%3A%2F%2Fwww.webofscience.com%2Fwos%2Fwoscc%2Ffull-record%2FWOS:000973669400001","View Full Record in Web of Science")</f>
        <v>View Full Record in Web of Science</v>
      </c>
    </row>
    <row r="117" spans="1:72" x14ac:dyDescent="0.15">
      <c r="A117" t="s">
        <v>72</v>
      </c>
      <c r="B117" t="s">
        <v>2602</v>
      </c>
      <c r="C117" t="s">
        <v>74</v>
      </c>
      <c r="D117" t="s">
        <v>74</v>
      </c>
      <c r="E117" t="s">
        <v>74</v>
      </c>
      <c r="F117" t="s">
        <v>2603</v>
      </c>
      <c r="G117" t="s">
        <v>74</v>
      </c>
      <c r="H117" t="s">
        <v>74</v>
      </c>
      <c r="I117" t="s">
        <v>2604</v>
      </c>
      <c r="J117" t="s">
        <v>1534</v>
      </c>
      <c r="K117" t="s">
        <v>74</v>
      </c>
      <c r="L117" t="s">
        <v>74</v>
      </c>
      <c r="M117" t="s">
        <v>78</v>
      </c>
      <c r="N117" t="s">
        <v>112</v>
      </c>
      <c r="O117" t="s">
        <v>74</v>
      </c>
      <c r="P117" t="s">
        <v>74</v>
      </c>
      <c r="Q117" t="s">
        <v>74</v>
      </c>
      <c r="R117" t="s">
        <v>74</v>
      </c>
      <c r="S117" t="s">
        <v>74</v>
      </c>
      <c r="T117" t="s">
        <v>2605</v>
      </c>
      <c r="U117" t="s">
        <v>2606</v>
      </c>
      <c r="V117" t="s">
        <v>2607</v>
      </c>
      <c r="W117" t="s">
        <v>2608</v>
      </c>
      <c r="X117" t="s">
        <v>2609</v>
      </c>
      <c r="Y117" t="s">
        <v>2610</v>
      </c>
      <c r="Z117" t="s">
        <v>2611</v>
      </c>
      <c r="AA117" t="s">
        <v>2612</v>
      </c>
      <c r="AB117" t="s">
        <v>2613</v>
      </c>
      <c r="AC117" t="s">
        <v>2614</v>
      </c>
      <c r="AD117" t="s">
        <v>2615</v>
      </c>
      <c r="AE117" t="s">
        <v>2616</v>
      </c>
      <c r="AF117" t="s">
        <v>74</v>
      </c>
      <c r="AG117">
        <v>64</v>
      </c>
      <c r="AH117">
        <v>0</v>
      </c>
      <c r="AI117">
        <v>0</v>
      </c>
      <c r="AJ117">
        <v>3</v>
      </c>
      <c r="AK117">
        <v>6</v>
      </c>
      <c r="AL117" t="s">
        <v>1101</v>
      </c>
      <c r="AM117" t="s">
        <v>179</v>
      </c>
      <c r="AN117" t="s">
        <v>1543</v>
      </c>
      <c r="AO117" t="s">
        <v>1544</v>
      </c>
      <c r="AP117" t="s">
        <v>1545</v>
      </c>
      <c r="AQ117" t="s">
        <v>74</v>
      </c>
      <c r="AR117" t="s">
        <v>1546</v>
      </c>
      <c r="AS117" t="s">
        <v>1547</v>
      </c>
      <c r="AT117" t="s">
        <v>1437</v>
      </c>
      <c r="AU117">
        <v>2023</v>
      </c>
      <c r="AV117">
        <v>35</v>
      </c>
      <c r="AW117">
        <v>2</v>
      </c>
      <c r="AX117" t="s">
        <v>74</v>
      </c>
      <c r="AY117" t="s">
        <v>74</v>
      </c>
      <c r="AZ117" t="s">
        <v>74</v>
      </c>
      <c r="BA117" t="s">
        <v>74</v>
      </c>
      <c r="BB117">
        <v>127</v>
      </c>
      <c r="BC117">
        <v>140</v>
      </c>
      <c r="BD117" t="s">
        <v>2617</v>
      </c>
      <c r="BE117" t="s">
        <v>2618</v>
      </c>
      <c r="BF117" t="str">
        <f>HYPERLINK("http://dx.doi.org/10.1017/S0954102023000032","http://dx.doi.org/10.1017/S0954102023000032")</f>
        <v>http://dx.doi.org/10.1017/S0954102023000032</v>
      </c>
      <c r="BG117" t="s">
        <v>74</v>
      </c>
      <c r="BH117" t="s">
        <v>427</v>
      </c>
      <c r="BI117">
        <v>14</v>
      </c>
      <c r="BJ117" t="s">
        <v>1550</v>
      </c>
      <c r="BK117" t="s">
        <v>103</v>
      </c>
      <c r="BL117" t="s">
        <v>1551</v>
      </c>
      <c r="BM117" t="s">
        <v>1581</v>
      </c>
      <c r="BN117" t="s">
        <v>74</v>
      </c>
      <c r="BO117" t="s">
        <v>74</v>
      </c>
      <c r="BP117" t="s">
        <v>74</v>
      </c>
      <c r="BQ117" t="s">
        <v>74</v>
      </c>
      <c r="BR117" t="s">
        <v>106</v>
      </c>
      <c r="BS117" t="s">
        <v>2619</v>
      </c>
      <c r="BT117" t="str">
        <f>HYPERLINK("https%3A%2F%2Fwww.webofscience.com%2Fwos%2Fwoscc%2Ffull-record%2FWOS:000974212600001","View Full Record in Web of Science")</f>
        <v>View Full Record in Web of Science</v>
      </c>
    </row>
    <row r="118" spans="1:72" x14ac:dyDescent="0.15">
      <c r="A118" t="s">
        <v>72</v>
      </c>
      <c r="B118" t="s">
        <v>2620</v>
      </c>
      <c r="C118" t="s">
        <v>74</v>
      </c>
      <c r="D118" t="s">
        <v>74</v>
      </c>
      <c r="E118" t="s">
        <v>74</v>
      </c>
      <c r="F118" t="s">
        <v>2621</v>
      </c>
      <c r="G118" t="s">
        <v>74</v>
      </c>
      <c r="H118" t="s">
        <v>74</v>
      </c>
      <c r="I118" t="s">
        <v>2622</v>
      </c>
      <c r="J118" t="s">
        <v>1534</v>
      </c>
      <c r="K118" t="s">
        <v>74</v>
      </c>
      <c r="L118" t="s">
        <v>74</v>
      </c>
      <c r="M118" t="s">
        <v>78</v>
      </c>
      <c r="N118" t="s">
        <v>112</v>
      </c>
      <c r="O118" t="s">
        <v>74</v>
      </c>
      <c r="P118" t="s">
        <v>74</v>
      </c>
      <c r="Q118" t="s">
        <v>74</v>
      </c>
      <c r="R118" t="s">
        <v>74</v>
      </c>
      <c r="S118" t="s">
        <v>74</v>
      </c>
      <c r="T118" t="s">
        <v>2623</v>
      </c>
      <c r="U118" t="s">
        <v>2624</v>
      </c>
      <c r="V118" t="s">
        <v>2625</v>
      </c>
      <c r="W118" t="s">
        <v>2626</v>
      </c>
      <c r="X118" t="s">
        <v>2627</v>
      </c>
      <c r="Y118" t="s">
        <v>2628</v>
      </c>
      <c r="Z118" t="s">
        <v>2629</v>
      </c>
      <c r="AA118" t="s">
        <v>2630</v>
      </c>
      <c r="AB118" t="s">
        <v>2631</v>
      </c>
      <c r="AC118" t="s">
        <v>2632</v>
      </c>
      <c r="AD118" t="s">
        <v>2633</v>
      </c>
      <c r="AE118" t="s">
        <v>2634</v>
      </c>
      <c r="AF118" t="s">
        <v>74</v>
      </c>
      <c r="AG118">
        <v>175</v>
      </c>
      <c r="AH118">
        <v>5</v>
      </c>
      <c r="AI118">
        <v>5</v>
      </c>
      <c r="AJ118">
        <v>2</v>
      </c>
      <c r="AK118">
        <v>12</v>
      </c>
      <c r="AL118" t="s">
        <v>1101</v>
      </c>
      <c r="AM118" t="s">
        <v>1102</v>
      </c>
      <c r="AN118" t="s">
        <v>1103</v>
      </c>
      <c r="AO118" t="s">
        <v>1544</v>
      </c>
      <c r="AP118" t="s">
        <v>1545</v>
      </c>
      <c r="AQ118" t="s">
        <v>74</v>
      </c>
      <c r="AR118" t="s">
        <v>1546</v>
      </c>
      <c r="AS118" t="s">
        <v>1547</v>
      </c>
      <c r="AT118" t="s">
        <v>1437</v>
      </c>
      <c r="AU118">
        <v>2023</v>
      </c>
      <c r="AV118">
        <v>35</v>
      </c>
      <c r="AW118">
        <v>2</v>
      </c>
      <c r="AX118" t="s">
        <v>74</v>
      </c>
      <c r="AY118" t="s">
        <v>74</v>
      </c>
      <c r="AZ118" t="s">
        <v>74</v>
      </c>
      <c r="BA118" t="s">
        <v>74</v>
      </c>
      <c r="BB118">
        <v>64</v>
      </c>
      <c r="BC118">
        <v>88</v>
      </c>
      <c r="BD118" t="s">
        <v>2635</v>
      </c>
      <c r="BE118" t="s">
        <v>2636</v>
      </c>
      <c r="BF118" t="str">
        <f>HYPERLINK("http://dx.doi.org/10.1017/S0954102022000463","http://dx.doi.org/10.1017/S0954102022000463")</f>
        <v>http://dx.doi.org/10.1017/S0954102022000463</v>
      </c>
      <c r="BG118" t="s">
        <v>74</v>
      </c>
      <c r="BH118" t="s">
        <v>427</v>
      </c>
      <c r="BI118">
        <v>25</v>
      </c>
      <c r="BJ118" t="s">
        <v>1550</v>
      </c>
      <c r="BK118" t="s">
        <v>103</v>
      </c>
      <c r="BL118" t="s">
        <v>1551</v>
      </c>
      <c r="BM118" t="s">
        <v>1581</v>
      </c>
      <c r="BN118" t="s">
        <v>74</v>
      </c>
      <c r="BO118" t="s">
        <v>2637</v>
      </c>
      <c r="BP118" t="s">
        <v>74</v>
      </c>
      <c r="BQ118" t="s">
        <v>74</v>
      </c>
      <c r="BR118" t="s">
        <v>106</v>
      </c>
      <c r="BS118" t="s">
        <v>2638</v>
      </c>
      <c r="BT118" t="str">
        <f>HYPERLINK("https%3A%2F%2Fwww.webofscience.com%2Fwos%2Fwoscc%2Ffull-record%2FWOS:000971388100001","View Full Record in Web of Science")</f>
        <v>View Full Record in Web of Science</v>
      </c>
    </row>
    <row r="119" spans="1:72" x14ac:dyDescent="0.15">
      <c r="A119" t="s">
        <v>72</v>
      </c>
      <c r="B119" t="s">
        <v>2639</v>
      </c>
      <c r="C119" t="s">
        <v>74</v>
      </c>
      <c r="D119" t="s">
        <v>74</v>
      </c>
      <c r="E119" t="s">
        <v>74</v>
      </c>
      <c r="F119" t="s">
        <v>2640</v>
      </c>
      <c r="G119" t="s">
        <v>74</v>
      </c>
      <c r="H119" t="s">
        <v>74</v>
      </c>
      <c r="I119" t="s">
        <v>2641</v>
      </c>
      <c r="J119" t="s">
        <v>2642</v>
      </c>
      <c r="K119" t="s">
        <v>74</v>
      </c>
      <c r="L119" t="s">
        <v>74</v>
      </c>
      <c r="M119" t="s">
        <v>78</v>
      </c>
      <c r="N119" t="s">
        <v>112</v>
      </c>
      <c r="O119" t="s">
        <v>74</v>
      </c>
      <c r="P119" t="s">
        <v>74</v>
      </c>
      <c r="Q119" t="s">
        <v>74</v>
      </c>
      <c r="R119" t="s">
        <v>74</v>
      </c>
      <c r="S119" t="s">
        <v>74</v>
      </c>
      <c r="T119" t="s">
        <v>2643</v>
      </c>
      <c r="U119" t="s">
        <v>2644</v>
      </c>
      <c r="V119" t="s">
        <v>2645</v>
      </c>
      <c r="W119" t="s">
        <v>2646</v>
      </c>
      <c r="X119" t="s">
        <v>2647</v>
      </c>
      <c r="Y119" t="s">
        <v>2648</v>
      </c>
      <c r="Z119" t="s">
        <v>2649</v>
      </c>
      <c r="AA119" t="s">
        <v>2650</v>
      </c>
      <c r="AB119" t="s">
        <v>2651</v>
      </c>
      <c r="AC119" t="s">
        <v>2652</v>
      </c>
      <c r="AD119" t="s">
        <v>2653</v>
      </c>
      <c r="AE119" t="s">
        <v>2654</v>
      </c>
      <c r="AF119" t="s">
        <v>74</v>
      </c>
      <c r="AG119">
        <v>70</v>
      </c>
      <c r="AH119">
        <v>0</v>
      </c>
      <c r="AI119">
        <v>0</v>
      </c>
      <c r="AJ119">
        <v>8</v>
      </c>
      <c r="AK119">
        <v>25</v>
      </c>
      <c r="AL119" t="s">
        <v>500</v>
      </c>
      <c r="AM119" t="s">
        <v>501</v>
      </c>
      <c r="AN119" t="s">
        <v>502</v>
      </c>
      <c r="AO119" t="s">
        <v>2655</v>
      </c>
      <c r="AP119" t="s">
        <v>2656</v>
      </c>
      <c r="AQ119" t="s">
        <v>74</v>
      </c>
      <c r="AR119" t="s">
        <v>2657</v>
      </c>
      <c r="AS119" t="s">
        <v>2658</v>
      </c>
      <c r="AT119" t="s">
        <v>1437</v>
      </c>
      <c r="AU119">
        <v>2023</v>
      </c>
      <c r="AV119">
        <v>20</v>
      </c>
      <c r="AW119">
        <v>4</v>
      </c>
      <c r="AX119" t="s">
        <v>74</v>
      </c>
      <c r="AY119" t="s">
        <v>74</v>
      </c>
      <c r="AZ119" t="s">
        <v>74</v>
      </c>
      <c r="BA119" t="s">
        <v>74</v>
      </c>
      <c r="BB119">
        <v>1074</v>
      </c>
      <c r="BC119">
        <v>1089</v>
      </c>
      <c r="BD119" t="s">
        <v>74</v>
      </c>
      <c r="BE119" t="s">
        <v>2659</v>
      </c>
      <c r="BF119" t="str">
        <f>HYPERLINK("http://dx.doi.org/10.1007/s11629-022-7646-5","http://dx.doi.org/10.1007/s11629-022-7646-5")</f>
        <v>http://dx.doi.org/10.1007/s11629-022-7646-5</v>
      </c>
      <c r="BG119" t="s">
        <v>74</v>
      </c>
      <c r="BH119" t="s">
        <v>427</v>
      </c>
      <c r="BI119">
        <v>16</v>
      </c>
      <c r="BJ119" t="s">
        <v>1163</v>
      </c>
      <c r="BK119" t="s">
        <v>103</v>
      </c>
      <c r="BL119" t="s">
        <v>1164</v>
      </c>
      <c r="BM119" t="s">
        <v>2660</v>
      </c>
      <c r="BN119" t="s">
        <v>74</v>
      </c>
      <c r="BO119" t="s">
        <v>74</v>
      </c>
      <c r="BP119" t="s">
        <v>74</v>
      </c>
      <c r="BQ119" t="s">
        <v>74</v>
      </c>
      <c r="BR119" t="s">
        <v>106</v>
      </c>
      <c r="BS119" t="s">
        <v>2661</v>
      </c>
      <c r="BT119" t="str">
        <f>HYPERLINK("https%3A%2F%2Fwww.webofscience.com%2Fwos%2Fwoscc%2Ffull-record%2FWOS:000969588200001","View Full Record in Web of Science")</f>
        <v>View Full Record in Web of Science</v>
      </c>
    </row>
    <row r="120" spans="1:72" x14ac:dyDescent="0.15">
      <c r="A120" t="s">
        <v>72</v>
      </c>
      <c r="B120" t="s">
        <v>2662</v>
      </c>
      <c r="C120" t="s">
        <v>74</v>
      </c>
      <c r="D120" t="s">
        <v>74</v>
      </c>
      <c r="E120" t="s">
        <v>74</v>
      </c>
      <c r="F120" t="s">
        <v>2663</v>
      </c>
      <c r="G120" t="s">
        <v>74</v>
      </c>
      <c r="H120" t="s">
        <v>74</v>
      </c>
      <c r="I120" t="s">
        <v>2664</v>
      </c>
      <c r="J120" t="s">
        <v>2665</v>
      </c>
      <c r="K120" t="s">
        <v>74</v>
      </c>
      <c r="L120" t="s">
        <v>74</v>
      </c>
      <c r="M120" t="s">
        <v>78</v>
      </c>
      <c r="N120" t="s">
        <v>112</v>
      </c>
      <c r="O120" t="s">
        <v>74</v>
      </c>
      <c r="P120" t="s">
        <v>74</v>
      </c>
      <c r="Q120" t="s">
        <v>74</v>
      </c>
      <c r="R120" t="s">
        <v>74</v>
      </c>
      <c r="S120" t="s">
        <v>74</v>
      </c>
      <c r="T120" t="s">
        <v>2666</v>
      </c>
      <c r="U120" t="s">
        <v>74</v>
      </c>
      <c r="V120" t="s">
        <v>2667</v>
      </c>
      <c r="W120" t="s">
        <v>2668</v>
      </c>
      <c r="X120" t="s">
        <v>1996</v>
      </c>
      <c r="Y120" t="s">
        <v>2669</v>
      </c>
      <c r="Z120" t="s">
        <v>2670</v>
      </c>
      <c r="AA120" t="s">
        <v>2671</v>
      </c>
      <c r="AB120" t="s">
        <v>2672</v>
      </c>
      <c r="AC120" t="s">
        <v>2673</v>
      </c>
      <c r="AD120" t="s">
        <v>2674</v>
      </c>
      <c r="AE120" t="s">
        <v>2675</v>
      </c>
      <c r="AF120" t="s">
        <v>74</v>
      </c>
      <c r="AG120">
        <v>27</v>
      </c>
      <c r="AH120">
        <v>1</v>
      </c>
      <c r="AI120">
        <v>1</v>
      </c>
      <c r="AJ120">
        <v>0</v>
      </c>
      <c r="AK120">
        <v>0</v>
      </c>
      <c r="AL120" t="s">
        <v>700</v>
      </c>
      <c r="AM120" t="s">
        <v>701</v>
      </c>
      <c r="AN120" t="s">
        <v>702</v>
      </c>
      <c r="AO120" t="s">
        <v>74</v>
      </c>
      <c r="AP120" t="s">
        <v>2676</v>
      </c>
      <c r="AQ120" t="s">
        <v>74</v>
      </c>
      <c r="AR120" t="s">
        <v>2677</v>
      </c>
      <c r="AS120" t="s">
        <v>2678</v>
      </c>
      <c r="AT120" t="s">
        <v>2679</v>
      </c>
      <c r="AU120">
        <v>2023</v>
      </c>
      <c r="AV120">
        <v>4</v>
      </c>
      <c r="AW120" t="s">
        <v>74</v>
      </c>
      <c r="AX120" t="s">
        <v>74</v>
      </c>
      <c r="AY120" t="s">
        <v>74</v>
      </c>
      <c r="AZ120" t="s">
        <v>74</v>
      </c>
      <c r="BA120" t="s">
        <v>74</v>
      </c>
      <c r="BB120" t="s">
        <v>74</v>
      </c>
      <c r="BC120" t="s">
        <v>74</v>
      </c>
      <c r="BD120">
        <v>1149900</v>
      </c>
      <c r="BE120" t="s">
        <v>2680</v>
      </c>
      <c r="BF120" t="str">
        <f>HYPERLINK("http://dx.doi.org/10.3389/frsen.2023.1149900","http://dx.doi.org/10.3389/frsen.2023.1149900")</f>
        <v>http://dx.doi.org/10.3389/frsen.2023.1149900</v>
      </c>
      <c r="BG120" t="s">
        <v>74</v>
      </c>
      <c r="BH120" t="s">
        <v>74</v>
      </c>
      <c r="BI120">
        <v>15</v>
      </c>
      <c r="BJ120" t="s">
        <v>2681</v>
      </c>
      <c r="BK120" t="s">
        <v>160</v>
      </c>
      <c r="BL120" t="s">
        <v>2681</v>
      </c>
      <c r="BM120" t="s">
        <v>2682</v>
      </c>
      <c r="BN120" t="s">
        <v>74</v>
      </c>
      <c r="BO120" t="s">
        <v>359</v>
      </c>
      <c r="BP120" t="s">
        <v>74</v>
      </c>
      <c r="BQ120" t="s">
        <v>74</v>
      </c>
      <c r="BR120" t="s">
        <v>106</v>
      </c>
      <c r="BS120" t="s">
        <v>2683</v>
      </c>
      <c r="BT120" t="str">
        <f>HYPERLINK("https%3A%2F%2Fwww.webofscience.com%2Fwos%2Fwoscc%2Ffull-record%2FWOS:001064270300001","View Full Record in Web of Science")</f>
        <v>View Full Record in Web of Science</v>
      </c>
    </row>
    <row r="121" spans="1:72" x14ac:dyDescent="0.15">
      <c r="A121" t="s">
        <v>72</v>
      </c>
      <c r="B121" t="s">
        <v>2684</v>
      </c>
      <c r="C121" t="s">
        <v>74</v>
      </c>
      <c r="D121" t="s">
        <v>74</v>
      </c>
      <c r="E121" t="s">
        <v>74</v>
      </c>
      <c r="F121" t="s">
        <v>2685</v>
      </c>
      <c r="G121" t="s">
        <v>74</v>
      </c>
      <c r="H121" t="s">
        <v>74</v>
      </c>
      <c r="I121" t="s">
        <v>2686</v>
      </c>
      <c r="J121" t="s">
        <v>619</v>
      </c>
      <c r="K121" t="s">
        <v>74</v>
      </c>
      <c r="L121" t="s">
        <v>74</v>
      </c>
      <c r="M121" t="s">
        <v>78</v>
      </c>
      <c r="N121" t="s">
        <v>112</v>
      </c>
      <c r="O121" t="s">
        <v>74</v>
      </c>
      <c r="P121" t="s">
        <v>74</v>
      </c>
      <c r="Q121" t="s">
        <v>74</v>
      </c>
      <c r="R121" t="s">
        <v>74</v>
      </c>
      <c r="S121" t="s">
        <v>74</v>
      </c>
      <c r="T121" t="s">
        <v>2687</v>
      </c>
      <c r="U121" t="s">
        <v>2688</v>
      </c>
      <c r="V121" t="s">
        <v>2689</v>
      </c>
      <c r="W121" t="s">
        <v>2690</v>
      </c>
      <c r="X121" t="s">
        <v>2691</v>
      </c>
      <c r="Y121" t="s">
        <v>2692</v>
      </c>
      <c r="Z121" t="s">
        <v>2693</v>
      </c>
      <c r="AA121" t="s">
        <v>2694</v>
      </c>
      <c r="AB121" t="s">
        <v>2695</v>
      </c>
      <c r="AC121" t="s">
        <v>2696</v>
      </c>
      <c r="AD121" t="s">
        <v>2696</v>
      </c>
      <c r="AE121" t="s">
        <v>2697</v>
      </c>
      <c r="AF121" t="s">
        <v>74</v>
      </c>
      <c r="AG121">
        <v>88</v>
      </c>
      <c r="AH121">
        <v>1</v>
      </c>
      <c r="AI121">
        <v>1</v>
      </c>
      <c r="AJ121">
        <v>4</v>
      </c>
      <c r="AK121">
        <v>13</v>
      </c>
      <c r="AL121" t="s">
        <v>225</v>
      </c>
      <c r="AM121" t="s">
        <v>226</v>
      </c>
      <c r="AN121" t="s">
        <v>227</v>
      </c>
      <c r="AO121" t="s">
        <v>631</v>
      </c>
      <c r="AP121" t="s">
        <v>632</v>
      </c>
      <c r="AQ121" t="s">
        <v>74</v>
      </c>
      <c r="AR121" t="s">
        <v>633</v>
      </c>
      <c r="AS121" t="s">
        <v>634</v>
      </c>
      <c r="AT121" t="s">
        <v>232</v>
      </c>
      <c r="AU121">
        <v>2023</v>
      </c>
      <c r="AV121">
        <v>191</v>
      </c>
      <c r="AW121" t="s">
        <v>74</v>
      </c>
      <c r="AX121" t="s">
        <v>74</v>
      </c>
      <c r="AY121" t="s">
        <v>74</v>
      </c>
      <c r="AZ121" t="s">
        <v>74</v>
      </c>
      <c r="BA121" t="s">
        <v>74</v>
      </c>
      <c r="BB121" t="s">
        <v>74</v>
      </c>
      <c r="BC121" t="s">
        <v>74</v>
      </c>
      <c r="BD121">
        <v>114929</v>
      </c>
      <c r="BE121" t="s">
        <v>2698</v>
      </c>
      <c r="BF121" t="str">
        <f>HYPERLINK("http://dx.doi.org/10.1016/j.marpolbul.2023.114929","http://dx.doi.org/10.1016/j.marpolbul.2023.114929")</f>
        <v>http://dx.doi.org/10.1016/j.marpolbul.2023.114929</v>
      </c>
      <c r="BG121" t="s">
        <v>74</v>
      </c>
      <c r="BH121" t="s">
        <v>427</v>
      </c>
      <c r="BI121">
        <v>13</v>
      </c>
      <c r="BJ121" t="s">
        <v>636</v>
      </c>
      <c r="BK121" t="s">
        <v>103</v>
      </c>
      <c r="BL121" t="s">
        <v>637</v>
      </c>
      <c r="BM121" t="s">
        <v>2699</v>
      </c>
      <c r="BN121">
        <v>37075560</v>
      </c>
      <c r="BO121" t="s">
        <v>387</v>
      </c>
      <c r="BP121" t="s">
        <v>74</v>
      </c>
      <c r="BQ121" t="s">
        <v>74</v>
      </c>
      <c r="BR121" t="s">
        <v>106</v>
      </c>
      <c r="BS121" t="s">
        <v>2700</v>
      </c>
      <c r="BT121" t="str">
        <f>HYPERLINK("https%3A%2F%2Fwww.webofscience.com%2Fwos%2Fwoscc%2Ffull-record%2FWOS:000984466100001","View Full Record in Web of Science")</f>
        <v>View Full Record in Web of Science</v>
      </c>
    </row>
    <row r="122" spans="1:72" x14ac:dyDescent="0.15">
      <c r="A122" t="s">
        <v>72</v>
      </c>
      <c r="B122" t="s">
        <v>2701</v>
      </c>
      <c r="C122" t="s">
        <v>74</v>
      </c>
      <c r="D122" t="s">
        <v>74</v>
      </c>
      <c r="E122" t="s">
        <v>74</v>
      </c>
      <c r="F122" t="s">
        <v>2702</v>
      </c>
      <c r="G122" t="s">
        <v>74</v>
      </c>
      <c r="H122" t="s">
        <v>74</v>
      </c>
      <c r="I122" t="s">
        <v>2703</v>
      </c>
      <c r="J122" t="s">
        <v>1215</v>
      </c>
      <c r="K122" t="s">
        <v>74</v>
      </c>
      <c r="L122" t="s">
        <v>74</v>
      </c>
      <c r="M122" t="s">
        <v>78</v>
      </c>
      <c r="N122" t="s">
        <v>112</v>
      </c>
      <c r="O122" t="s">
        <v>74</v>
      </c>
      <c r="P122" t="s">
        <v>74</v>
      </c>
      <c r="Q122" t="s">
        <v>74</v>
      </c>
      <c r="R122" t="s">
        <v>74</v>
      </c>
      <c r="S122" t="s">
        <v>74</v>
      </c>
      <c r="T122" t="s">
        <v>2704</v>
      </c>
      <c r="U122" t="s">
        <v>2705</v>
      </c>
      <c r="V122" t="s">
        <v>2706</v>
      </c>
      <c r="W122" t="s">
        <v>2707</v>
      </c>
      <c r="X122" t="s">
        <v>2708</v>
      </c>
      <c r="Y122" t="s">
        <v>2709</v>
      </c>
      <c r="Z122" t="s">
        <v>2710</v>
      </c>
      <c r="AA122" t="s">
        <v>2711</v>
      </c>
      <c r="AB122" t="s">
        <v>2712</v>
      </c>
      <c r="AC122" t="s">
        <v>74</v>
      </c>
      <c r="AD122" t="s">
        <v>74</v>
      </c>
      <c r="AE122" t="s">
        <v>74</v>
      </c>
      <c r="AF122" t="s">
        <v>74</v>
      </c>
      <c r="AG122">
        <v>91</v>
      </c>
      <c r="AH122">
        <v>6</v>
      </c>
      <c r="AI122">
        <v>6</v>
      </c>
      <c r="AJ122">
        <v>18</v>
      </c>
      <c r="AK122">
        <v>31</v>
      </c>
      <c r="AL122" t="s">
        <v>700</v>
      </c>
      <c r="AM122" t="s">
        <v>701</v>
      </c>
      <c r="AN122" t="s">
        <v>702</v>
      </c>
      <c r="AO122" t="s">
        <v>74</v>
      </c>
      <c r="AP122" t="s">
        <v>1228</v>
      </c>
      <c r="AQ122" t="s">
        <v>74</v>
      </c>
      <c r="AR122" t="s">
        <v>1229</v>
      </c>
      <c r="AS122" t="s">
        <v>1230</v>
      </c>
      <c r="AT122" t="s">
        <v>2679</v>
      </c>
      <c r="AU122">
        <v>2023</v>
      </c>
      <c r="AV122">
        <v>10</v>
      </c>
      <c r="AW122" t="s">
        <v>74</v>
      </c>
      <c r="AX122" t="s">
        <v>74</v>
      </c>
      <c r="AY122" t="s">
        <v>74</v>
      </c>
      <c r="AZ122" t="s">
        <v>74</v>
      </c>
      <c r="BA122" t="s">
        <v>74</v>
      </c>
      <c r="BB122" t="s">
        <v>74</v>
      </c>
      <c r="BC122" t="s">
        <v>74</v>
      </c>
      <c r="BD122">
        <v>1159762</v>
      </c>
      <c r="BE122" t="s">
        <v>2713</v>
      </c>
      <c r="BF122" t="str">
        <f>HYPERLINK("http://dx.doi.org/10.3389/fmars.2023.1159762","http://dx.doi.org/10.3389/fmars.2023.1159762")</f>
        <v>http://dx.doi.org/10.3389/fmars.2023.1159762</v>
      </c>
      <c r="BG122" t="s">
        <v>74</v>
      </c>
      <c r="BH122" t="s">
        <v>74</v>
      </c>
      <c r="BI122">
        <v>17</v>
      </c>
      <c r="BJ122" t="s">
        <v>636</v>
      </c>
      <c r="BK122" t="s">
        <v>103</v>
      </c>
      <c r="BL122" t="s">
        <v>637</v>
      </c>
      <c r="BM122" t="s">
        <v>2714</v>
      </c>
      <c r="BN122" t="s">
        <v>74</v>
      </c>
      <c r="BO122" t="s">
        <v>136</v>
      </c>
      <c r="BP122" t="s">
        <v>74</v>
      </c>
      <c r="BQ122" t="s">
        <v>74</v>
      </c>
      <c r="BR122" t="s">
        <v>106</v>
      </c>
      <c r="BS122" t="s">
        <v>2715</v>
      </c>
      <c r="BT122" t="str">
        <f>HYPERLINK("https%3A%2F%2Fwww.webofscience.com%2Fwos%2Fwoscc%2Ffull-record%2FWOS:000976343000001","View Full Record in Web of Science")</f>
        <v>View Full Record in Web of Science</v>
      </c>
    </row>
    <row r="123" spans="1:72" x14ac:dyDescent="0.15">
      <c r="A123" t="s">
        <v>72</v>
      </c>
      <c r="B123" t="s">
        <v>2716</v>
      </c>
      <c r="C123" t="s">
        <v>74</v>
      </c>
      <c r="D123" t="s">
        <v>74</v>
      </c>
      <c r="E123" t="s">
        <v>74</v>
      </c>
      <c r="F123" t="s">
        <v>2717</v>
      </c>
      <c r="G123" t="s">
        <v>74</v>
      </c>
      <c r="H123" t="s">
        <v>74</v>
      </c>
      <c r="I123" t="s">
        <v>2718</v>
      </c>
      <c r="J123" t="s">
        <v>2719</v>
      </c>
      <c r="K123" t="s">
        <v>74</v>
      </c>
      <c r="L123" t="s">
        <v>74</v>
      </c>
      <c r="M123" t="s">
        <v>78</v>
      </c>
      <c r="N123" t="s">
        <v>112</v>
      </c>
      <c r="O123" t="s">
        <v>74</v>
      </c>
      <c r="P123" t="s">
        <v>74</v>
      </c>
      <c r="Q123" t="s">
        <v>74</v>
      </c>
      <c r="R123" t="s">
        <v>74</v>
      </c>
      <c r="S123" t="s">
        <v>74</v>
      </c>
      <c r="T123" t="s">
        <v>2720</v>
      </c>
      <c r="U123" t="s">
        <v>2721</v>
      </c>
      <c r="V123" t="s">
        <v>2722</v>
      </c>
      <c r="W123" t="s">
        <v>2723</v>
      </c>
      <c r="X123" t="s">
        <v>2724</v>
      </c>
      <c r="Y123" t="s">
        <v>2725</v>
      </c>
      <c r="Z123" t="s">
        <v>2726</v>
      </c>
      <c r="AA123" t="s">
        <v>74</v>
      </c>
      <c r="AB123" t="s">
        <v>2727</v>
      </c>
      <c r="AC123" t="s">
        <v>2728</v>
      </c>
      <c r="AD123" t="s">
        <v>2729</v>
      </c>
      <c r="AE123" t="s">
        <v>2730</v>
      </c>
      <c r="AF123" t="s">
        <v>74</v>
      </c>
      <c r="AG123">
        <v>167</v>
      </c>
      <c r="AH123">
        <v>1</v>
      </c>
      <c r="AI123">
        <v>1</v>
      </c>
      <c r="AJ123">
        <v>0</v>
      </c>
      <c r="AK123">
        <v>1</v>
      </c>
      <c r="AL123" t="s">
        <v>447</v>
      </c>
      <c r="AM123" t="s">
        <v>448</v>
      </c>
      <c r="AN123" t="s">
        <v>449</v>
      </c>
      <c r="AO123" t="s">
        <v>2731</v>
      </c>
      <c r="AP123" t="s">
        <v>2732</v>
      </c>
      <c r="AQ123" t="s">
        <v>74</v>
      </c>
      <c r="AR123" t="s">
        <v>2733</v>
      </c>
      <c r="AS123" t="s">
        <v>2734</v>
      </c>
      <c r="AT123" t="s">
        <v>570</v>
      </c>
      <c r="AU123">
        <v>2023</v>
      </c>
      <c r="AV123">
        <v>314</v>
      </c>
      <c r="AW123" t="s">
        <v>74</v>
      </c>
      <c r="AX123" t="s">
        <v>74</v>
      </c>
      <c r="AY123" t="s">
        <v>74</v>
      </c>
      <c r="AZ123" t="s">
        <v>74</v>
      </c>
      <c r="BA123" t="s">
        <v>74</v>
      </c>
      <c r="BB123" t="s">
        <v>74</v>
      </c>
      <c r="BC123" t="s">
        <v>74</v>
      </c>
      <c r="BD123">
        <v>104895</v>
      </c>
      <c r="BE123" t="s">
        <v>2735</v>
      </c>
      <c r="BF123" t="str">
        <f>HYPERLINK("http://dx.doi.org/10.1016/j.revpalbo.2023.104895","http://dx.doi.org/10.1016/j.revpalbo.2023.104895")</f>
        <v>http://dx.doi.org/10.1016/j.revpalbo.2023.104895</v>
      </c>
      <c r="BG123" t="s">
        <v>74</v>
      </c>
      <c r="BH123" t="s">
        <v>427</v>
      </c>
      <c r="BI123">
        <v>20</v>
      </c>
      <c r="BJ123" t="s">
        <v>2736</v>
      </c>
      <c r="BK123" t="s">
        <v>103</v>
      </c>
      <c r="BL123" t="s">
        <v>2736</v>
      </c>
      <c r="BM123" t="s">
        <v>2737</v>
      </c>
      <c r="BN123" t="s">
        <v>74</v>
      </c>
      <c r="BO123" t="s">
        <v>74</v>
      </c>
      <c r="BP123" t="s">
        <v>74</v>
      </c>
      <c r="BQ123" t="s">
        <v>74</v>
      </c>
      <c r="BR123" t="s">
        <v>106</v>
      </c>
      <c r="BS123" t="s">
        <v>2738</v>
      </c>
      <c r="BT123" t="str">
        <f>HYPERLINK("https%3A%2F%2Fwww.webofscience.com%2Fwos%2Fwoscc%2Ffull-record%2FWOS:000985851500001","View Full Record in Web of Science")</f>
        <v>View Full Record in Web of Science</v>
      </c>
    </row>
    <row r="124" spans="1:72" x14ac:dyDescent="0.15">
      <c r="A124" t="s">
        <v>72</v>
      </c>
      <c r="B124" t="s">
        <v>2739</v>
      </c>
      <c r="C124" t="s">
        <v>74</v>
      </c>
      <c r="D124" t="s">
        <v>74</v>
      </c>
      <c r="E124" t="s">
        <v>74</v>
      </c>
      <c r="F124" t="s">
        <v>2740</v>
      </c>
      <c r="G124" t="s">
        <v>74</v>
      </c>
      <c r="H124" t="s">
        <v>74</v>
      </c>
      <c r="I124" t="s">
        <v>2741</v>
      </c>
      <c r="J124" t="s">
        <v>782</v>
      </c>
      <c r="K124" t="s">
        <v>74</v>
      </c>
      <c r="L124" t="s">
        <v>74</v>
      </c>
      <c r="M124" t="s">
        <v>78</v>
      </c>
      <c r="N124" t="s">
        <v>112</v>
      </c>
      <c r="O124" t="s">
        <v>74</v>
      </c>
      <c r="P124" t="s">
        <v>74</v>
      </c>
      <c r="Q124" t="s">
        <v>74</v>
      </c>
      <c r="R124" t="s">
        <v>74</v>
      </c>
      <c r="S124" t="s">
        <v>74</v>
      </c>
      <c r="T124" t="s">
        <v>74</v>
      </c>
      <c r="U124" t="s">
        <v>2742</v>
      </c>
      <c r="V124" t="s">
        <v>2743</v>
      </c>
      <c r="W124" t="s">
        <v>2744</v>
      </c>
      <c r="X124" t="s">
        <v>2745</v>
      </c>
      <c r="Y124" t="s">
        <v>2746</v>
      </c>
      <c r="Z124" t="s">
        <v>2747</v>
      </c>
      <c r="AA124" t="s">
        <v>2748</v>
      </c>
      <c r="AB124" t="s">
        <v>2749</v>
      </c>
      <c r="AC124" t="s">
        <v>2750</v>
      </c>
      <c r="AD124" t="s">
        <v>2751</v>
      </c>
      <c r="AE124" t="s">
        <v>2752</v>
      </c>
      <c r="AF124" t="s">
        <v>74</v>
      </c>
      <c r="AG124">
        <v>69</v>
      </c>
      <c r="AH124">
        <v>6</v>
      </c>
      <c r="AI124">
        <v>6</v>
      </c>
      <c r="AJ124">
        <v>5</v>
      </c>
      <c r="AK124">
        <v>11</v>
      </c>
      <c r="AL124" t="s">
        <v>794</v>
      </c>
      <c r="AM124" t="s">
        <v>795</v>
      </c>
      <c r="AN124" t="s">
        <v>796</v>
      </c>
      <c r="AO124" t="s">
        <v>797</v>
      </c>
      <c r="AP124" t="s">
        <v>798</v>
      </c>
      <c r="AQ124" t="s">
        <v>74</v>
      </c>
      <c r="AR124" t="s">
        <v>782</v>
      </c>
      <c r="AS124" t="s">
        <v>799</v>
      </c>
      <c r="AT124" t="s">
        <v>2679</v>
      </c>
      <c r="AU124">
        <v>2023</v>
      </c>
      <c r="AV124">
        <v>17</v>
      </c>
      <c r="AW124">
        <v>4</v>
      </c>
      <c r="AX124" t="s">
        <v>74</v>
      </c>
      <c r="AY124" t="s">
        <v>74</v>
      </c>
      <c r="AZ124" t="s">
        <v>74</v>
      </c>
      <c r="BA124" t="s">
        <v>74</v>
      </c>
      <c r="BB124">
        <v>1675</v>
      </c>
      <c r="BC124">
        <v>1696</v>
      </c>
      <c r="BD124" t="s">
        <v>74</v>
      </c>
      <c r="BE124" t="s">
        <v>2753</v>
      </c>
      <c r="BF124" t="str">
        <f>HYPERLINK("http://dx.doi.org/10.5194/tc-17-1675-2023","http://dx.doi.org/10.5194/tc-17-1675-2023")</f>
        <v>http://dx.doi.org/10.5194/tc-17-1675-2023</v>
      </c>
      <c r="BG124" t="s">
        <v>74</v>
      </c>
      <c r="BH124" t="s">
        <v>74</v>
      </c>
      <c r="BI124">
        <v>22</v>
      </c>
      <c r="BJ124" t="s">
        <v>801</v>
      </c>
      <c r="BK124" t="s">
        <v>103</v>
      </c>
      <c r="BL124" t="s">
        <v>802</v>
      </c>
      <c r="BM124" t="s">
        <v>2754</v>
      </c>
      <c r="BN124" t="s">
        <v>74</v>
      </c>
      <c r="BO124" t="s">
        <v>359</v>
      </c>
      <c r="BP124" t="s">
        <v>74</v>
      </c>
      <c r="BQ124" t="s">
        <v>74</v>
      </c>
      <c r="BR124" t="s">
        <v>106</v>
      </c>
      <c r="BS124" t="s">
        <v>2755</v>
      </c>
      <c r="BT124" t="str">
        <f>HYPERLINK("https%3A%2F%2Fwww.webofscience.com%2Fwos%2Fwoscc%2Ffull-record%2FWOS:000973524300001","View Full Record in Web of Science")</f>
        <v>View Full Record in Web of Science</v>
      </c>
    </row>
    <row r="125" spans="1:72" x14ac:dyDescent="0.15">
      <c r="A125" t="s">
        <v>72</v>
      </c>
      <c r="B125" t="s">
        <v>2756</v>
      </c>
      <c r="C125" t="s">
        <v>74</v>
      </c>
      <c r="D125" t="s">
        <v>74</v>
      </c>
      <c r="E125" t="s">
        <v>74</v>
      </c>
      <c r="F125" t="s">
        <v>2757</v>
      </c>
      <c r="G125" t="s">
        <v>74</v>
      </c>
      <c r="H125" t="s">
        <v>74</v>
      </c>
      <c r="I125" t="s">
        <v>2758</v>
      </c>
      <c r="J125" t="s">
        <v>1215</v>
      </c>
      <c r="K125" t="s">
        <v>74</v>
      </c>
      <c r="L125" t="s">
        <v>74</v>
      </c>
      <c r="M125" t="s">
        <v>78</v>
      </c>
      <c r="N125" t="s">
        <v>112</v>
      </c>
      <c r="O125" t="s">
        <v>74</v>
      </c>
      <c r="P125" t="s">
        <v>74</v>
      </c>
      <c r="Q125" t="s">
        <v>74</v>
      </c>
      <c r="R125" t="s">
        <v>74</v>
      </c>
      <c r="S125" t="s">
        <v>74</v>
      </c>
      <c r="T125" t="s">
        <v>2759</v>
      </c>
      <c r="U125" t="s">
        <v>2760</v>
      </c>
      <c r="V125" t="s">
        <v>2761</v>
      </c>
      <c r="W125" t="s">
        <v>2762</v>
      </c>
      <c r="X125" t="s">
        <v>2244</v>
      </c>
      <c r="Y125" t="s">
        <v>2763</v>
      </c>
      <c r="Z125" t="s">
        <v>2764</v>
      </c>
      <c r="AA125" t="s">
        <v>74</v>
      </c>
      <c r="AB125" t="s">
        <v>2765</v>
      </c>
      <c r="AC125" t="s">
        <v>74</v>
      </c>
      <c r="AD125" t="s">
        <v>74</v>
      </c>
      <c r="AE125" t="s">
        <v>74</v>
      </c>
      <c r="AF125" t="s">
        <v>74</v>
      </c>
      <c r="AG125">
        <v>72</v>
      </c>
      <c r="AH125">
        <v>1</v>
      </c>
      <c r="AI125">
        <v>1</v>
      </c>
      <c r="AJ125">
        <v>5</v>
      </c>
      <c r="AK125">
        <v>5</v>
      </c>
      <c r="AL125" t="s">
        <v>700</v>
      </c>
      <c r="AM125" t="s">
        <v>701</v>
      </c>
      <c r="AN125" t="s">
        <v>702</v>
      </c>
      <c r="AO125" t="s">
        <v>74</v>
      </c>
      <c r="AP125" t="s">
        <v>1228</v>
      </c>
      <c r="AQ125" t="s">
        <v>74</v>
      </c>
      <c r="AR125" t="s">
        <v>1229</v>
      </c>
      <c r="AS125" t="s">
        <v>1230</v>
      </c>
      <c r="AT125" t="s">
        <v>2679</v>
      </c>
      <c r="AU125">
        <v>2023</v>
      </c>
      <c r="AV125">
        <v>10</v>
      </c>
      <c r="AW125" t="s">
        <v>74</v>
      </c>
      <c r="AX125" t="s">
        <v>74</v>
      </c>
      <c r="AY125" t="s">
        <v>74</v>
      </c>
      <c r="AZ125" t="s">
        <v>74</v>
      </c>
      <c r="BA125" t="s">
        <v>74</v>
      </c>
      <c r="BB125" t="s">
        <v>74</v>
      </c>
      <c r="BC125" t="s">
        <v>74</v>
      </c>
      <c r="BD125">
        <v>908112</v>
      </c>
      <c r="BE125" t="s">
        <v>2766</v>
      </c>
      <c r="BF125" t="str">
        <f>HYPERLINK("http://dx.doi.org/10.3389/fmars.2023.908112","http://dx.doi.org/10.3389/fmars.2023.908112")</f>
        <v>http://dx.doi.org/10.3389/fmars.2023.908112</v>
      </c>
      <c r="BG125" t="s">
        <v>74</v>
      </c>
      <c r="BH125" t="s">
        <v>74</v>
      </c>
      <c r="BI125">
        <v>13</v>
      </c>
      <c r="BJ125" t="s">
        <v>636</v>
      </c>
      <c r="BK125" t="s">
        <v>103</v>
      </c>
      <c r="BL125" t="s">
        <v>637</v>
      </c>
      <c r="BM125" t="s">
        <v>2767</v>
      </c>
      <c r="BN125" t="s">
        <v>74</v>
      </c>
      <c r="BO125" t="s">
        <v>2053</v>
      </c>
      <c r="BP125" t="s">
        <v>74</v>
      </c>
      <c r="BQ125" t="s">
        <v>74</v>
      </c>
      <c r="BR125" t="s">
        <v>106</v>
      </c>
      <c r="BS125" t="s">
        <v>2768</v>
      </c>
      <c r="BT125" t="str">
        <f>HYPERLINK("https%3A%2F%2Fwww.webofscience.com%2Fwos%2Fwoscc%2Ffull-record%2FWOS:000976409800001","View Full Record in Web of Science")</f>
        <v>View Full Record in Web of Science</v>
      </c>
    </row>
    <row r="126" spans="1:72" x14ac:dyDescent="0.15">
      <c r="A126" t="s">
        <v>72</v>
      </c>
      <c r="B126" t="s">
        <v>2769</v>
      </c>
      <c r="C126" t="s">
        <v>74</v>
      </c>
      <c r="D126" t="s">
        <v>74</v>
      </c>
      <c r="E126" t="s">
        <v>74</v>
      </c>
      <c r="F126" t="s">
        <v>2770</v>
      </c>
      <c r="G126" t="s">
        <v>74</v>
      </c>
      <c r="H126" t="s">
        <v>74</v>
      </c>
      <c r="I126" t="s">
        <v>2771</v>
      </c>
      <c r="J126" t="s">
        <v>2772</v>
      </c>
      <c r="K126" t="s">
        <v>74</v>
      </c>
      <c r="L126" t="s">
        <v>74</v>
      </c>
      <c r="M126" t="s">
        <v>78</v>
      </c>
      <c r="N126" t="s">
        <v>112</v>
      </c>
      <c r="O126" t="s">
        <v>74</v>
      </c>
      <c r="P126" t="s">
        <v>74</v>
      </c>
      <c r="Q126" t="s">
        <v>74</v>
      </c>
      <c r="R126" t="s">
        <v>74</v>
      </c>
      <c r="S126" t="s">
        <v>74</v>
      </c>
      <c r="T126" t="s">
        <v>2773</v>
      </c>
      <c r="U126" t="s">
        <v>2774</v>
      </c>
      <c r="V126" t="s">
        <v>2775</v>
      </c>
      <c r="W126" t="s">
        <v>2776</v>
      </c>
      <c r="X126" t="s">
        <v>2777</v>
      </c>
      <c r="Y126" t="s">
        <v>2778</v>
      </c>
      <c r="Z126" t="s">
        <v>2779</v>
      </c>
      <c r="AA126" t="s">
        <v>2780</v>
      </c>
      <c r="AB126" t="s">
        <v>2781</v>
      </c>
      <c r="AC126" t="s">
        <v>2782</v>
      </c>
      <c r="AD126" t="s">
        <v>2783</v>
      </c>
      <c r="AE126" t="s">
        <v>2784</v>
      </c>
      <c r="AF126" t="s">
        <v>74</v>
      </c>
      <c r="AG126">
        <v>41</v>
      </c>
      <c r="AH126">
        <v>4</v>
      </c>
      <c r="AI126">
        <v>4</v>
      </c>
      <c r="AJ126">
        <v>2</v>
      </c>
      <c r="AK126">
        <v>5</v>
      </c>
      <c r="AL126" t="s">
        <v>1101</v>
      </c>
      <c r="AM126" t="s">
        <v>1102</v>
      </c>
      <c r="AN126" t="s">
        <v>1103</v>
      </c>
      <c r="AO126" t="s">
        <v>2785</v>
      </c>
      <c r="AP126" t="s">
        <v>2786</v>
      </c>
      <c r="AQ126" t="s">
        <v>74</v>
      </c>
      <c r="AR126" t="s">
        <v>2787</v>
      </c>
      <c r="AS126" t="s">
        <v>2788</v>
      </c>
      <c r="AT126" t="s">
        <v>2789</v>
      </c>
      <c r="AU126">
        <v>2023</v>
      </c>
      <c r="AV126">
        <v>69</v>
      </c>
      <c r="AW126">
        <v>277</v>
      </c>
      <c r="AX126" t="s">
        <v>74</v>
      </c>
      <c r="AY126" t="s">
        <v>74</v>
      </c>
      <c r="AZ126" t="s">
        <v>74</v>
      </c>
      <c r="BA126" t="s">
        <v>74</v>
      </c>
      <c r="BB126">
        <v>1351</v>
      </c>
      <c r="BC126">
        <v>1364</v>
      </c>
      <c r="BD126" t="s">
        <v>2790</v>
      </c>
      <c r="BE126" t="s">
        <v>2791</v>
      </c>
      <c r="BF126" t="str">
        <f>HYPERLINK("http://dx.doi.org/10.1017/jog.2023.21","http://dx.doi.org/10.1017/jog.2023.21")</f>
        <v>http://dx.doi.org/10.1017/jog.2023.21</v>
      </c>
      <c r="BG126" t="s">
        <v>74</v>
      </c>
      <c r="BH126" t="s">
        <v>427</v>
      </c>
      <c r="BI126">
        <v>14</v>
      </c>
      <c r="BJ126" t="s">
        <v>801</v>
      </c>
      <c r="BK126" t="s">
        <v>103</v>
      </c>
      <c r="BL126" t="s">
        <v>802</v>
      </c>
      <c r="BM126" t="s">
        <v>2792</v>
      </c>
      <c r="BN126" t="s">
        <v>74</v>
      </c>
      <c r="BO126" t="s">
        <v>359</v>
      </c>
      <c r="BP126" t="s">
        <v>74</v>
      </c>
      <c r="BQ126" t="s">
        <v>74</v>
      </c>
      <c r="BR126" t="s">
        <v>106</v>
      </c>
      <c r="BS126" t="s">
        <v>2793</v>
      </c>
      <c r="BT126" t="str">
        <f>HYPERLINK("https%3A%2F%2Fwww.webofscience.com%2Fwos%2Fwoscc%2Ffull-record%2FWOS:000973588100001","View Full Record in Web of Science")</f>
        <v>View Full Record in Web of Science</v>
      </c>
    </row>
    <row r="127" spans="1:72" x14ac:dyDescent="0.15">
      <c r="A127" t="s">
        <v>72</v>
      </c>
      <c r="B127" t="s">
        <v>2794</v>
      </c>
      <c r="C127" t="s">
        <v>74</v>
      </c>
      <c r="D127" t="s">
        <v>74</v>
      </c>
      <c r="E127" t="s">
        <v>74</v>
      </c>
      <c r="F127" t="s">
        <v>2795</v>
      </c>
      <c r="G127" t="s">
        <v>74</v>
      </c>
      <c r="H127" t="s">
        <v>74</v>
      </c>
      <c r="I127" t="s">
        <v>2796</v>
      </c>
      <c r="J127" t="s">
        <v>869</v>
      </c>
      <c r="K127" t="s">
        <v>74</v>
      </c>
      <c r="L127" t="s">
        <v>74</v>
      </c>
      <c r="M127" t="s">
        <v>78</v>
      </c>
      <c r="N127" t="s">
        <v>112</v>
      </c>
      <c r="O127" t="s">
        <v>74</v>
      </c>
      <c r="P127" t="s">
        <v>74</v>
      </c>
      <c r="Q127" t="s">
        <v>74</v>
      </c>
      <c r="R127" t="s">
        <v>74</v>
      </c>
      <c r="S127" t="s">
        <v>74</v>
      </c>
      <c r="T127" t="s">
        <v>2797</v>
      </c>
      <c r="U127" t="s">
        <v>2798</v>
      </c>
      <c r="V127" t="s">
        <v>2799</v>
      </c>
      <c r="W127" t="s">
        <v>2800</v>
      </c>
      <c r="X127" t="s">
        <v>2801</v>
      </c>
      <c r="Y127" t="s">
        <v>2802</v>
      </c>
      <c r="Z127" t="s">
        <v>2803</v>
      </c>
      <c r="AA127" t="s">
        <v>2804</v>
      </c>
      <c r="AB127" t="s">
        <v>2805</v>
      </c>
      <c r="AC127" t="s">
        <v>2806</v>
      </c>
      <c r="AD127" t="s">
        <v>2807</v>
      </c>
      <c r="AE127" t="s">
        <v>2808</v>
      </c>
      <c r="AF127" t="s">
        <v>74</v>
      </c>
      <c r="AG127">
        <v>55</v>
      </c>
      <c r="AH127">
        <v>3</v>
      </c>
      <c r="AI127">
        <v>3</v>
      </c>
      <c r="AJ127">
        <v>3</v>
      </c>
      <c r="AK127">
        <v>7</v>
      </c>
      <c r="AL127" t="s">
        <v>305</v>
      </c>
      <c r="AM127" t="s">
        <v>306</v>
      </c>
      <c r="AN127" t="s">
        <v>307</v>
      </c>
      <c r="AO127" t="s">
        <v>882</v>
      </c>
      <c r="AP127" t="s">
        <v>883</v>
      </c>
      <c r="AQ127" t="s">
        <v>74</v>
      </c>
      <c r="AR127" t="s">
        <v>884</v>
      </c>
      <c r="AS127" t="s">
        <v>885</v>
      </c>
      <c r="AT127" t="s">
        <v>2809</v>
      </c>
      <c r="AU127">
        <v>2023</v>
      </c>
      <c r="AV127">
        <v>128</v>
      </c>
      <c r="AW127">
        <v>7</v>
      </c>
      <c r="AX127" t="s">
        <v>74</v>
      </c>
      <c r="AY127" t="s">
        <v>74</v>
      </c>
      <c r="AZ127" t="s">
        <v>74</v>
      </c>
      <c r="BA127" t="s">
        <v>74</v>
      </c>
      <c r="BB127" t="s">
        <v>74</v>
      </c>
      <c r="BC127" t="s">
        <v>74</v>
      </c>
      <c r="BD127" t="s">
        <v>2810</v>
      </c>
      <c r="BE127" t="s">
        <v>2811</v>
      </c>
      <c r="BF127" t="str">
        <f>HYPERLINK("http://dx.doi.org/10.1029/2022JD037859","http://dx.doi.org/10.1029/2022JD037859")</f>
        <v>http://dx.doi.org/10.1029/2022JD037859</v>
      </c>
      <c r="BG127" t="s">
        <v>74</v>
      </c>
      <c r="BH127" t="s">
        <v>74</v>
      </c>
      <c r="BI127">
        <v>18</v>
      </c>
      <c r="BJ127" t="s">
        <v>102</v>
      </c>
      <c r="BK127" t="s">
        <v>103</v>
      </c>
      <c r="BL127" t="s">
        <v>102</v>
      </c>
      <c r="BM127" t="s">
        <v>2812</v>
      </c>
      <c r="BN127" t="s">
        <v>74</v>
      </c>
      <c r="BO127" t="s">
        <v>2813</v>
      </c>
      <c r="BP127" t="s">
        <v>74</v>
      </c>
      <c r="BQ127" t="s">
        <v>74</v>
      </c>
      <c r="BR127" t="s">
        <v>106</v>
      </c>
      <c r="BS127" t="s">
        <v>2814</v>
      </c>
      <c r="BT127" t="str">
        <f>HYPERLINK("https%3A%2F%2Fwww.webofscience.com%2Fwos%2Fwoscc%2Ffull-record%2FWOS:000965021700001","View Full Record in Web of Science")</f>
        <v>View Full Record in Web of Science</v>
      </c>
    </row>
    <row r="128" spans="1:72" x14ac:dyDescent="0.15">
      <c r="A128" t="s">
        <v>72</v>
      </c>
      <c r="B128" t="s">
        <v>2815</v>
      </c>
      <c r="C128" t="s">
        <v>74</v>
      </c>
      <c r="D128" t="s">
        <v>74</v>
      </c>
      <c r="E128" t="s">
        <v>74</v>
      </c>
      <c r="F128" t="s">
        <v>2816</v>
      </c>
      <c r="G128" t="s">
        <v>74</v>
      </c>
      <c r="H128" t="s">
        <v>74</v>
      </c>
      <c r="I128" t="s">
        <v>2817</v>
      </c>
      <c r="J128" t="s">
        <v>643</v>
      </c>
      <c r="K128" t="s">
        <v>74</v>
      </c>
      <c r="L128" t="s">
        <v>74</v>
      </c>
      <c r="M128" t="s">
        <v>78</v>
      </c>
      <c r="N128" t="s">
        <v>112</v>
      </c>
      <c r="O128" t="s">
        <v>74</v>
      </c>
      <c r="P128" t="s">
        <v>74</v>
      </c>
      <c r="Q128" t="s">
        <v>74</v>
      </c>
      <c r="R128" t="s">
        <v>74</v>
      </c>
      <c r="S128" t="s">
        <v>74</v>
      </c>
      <c r="T128" t="s">
        <v>74</v>
      </c>
      <c r="U128" t="s">
        <v>2818</v>
      </c>
      <c r="V128" t="s">
        <v>2819</v>
      </c>
      <c r="W128" t="s">
        <v>2820</v>
      </c>
      <c r="X128" t="s">
        <v>2821</v>
      </c>
      <c r="Y128" t="s">
        <v>2822</v>
      </c>
      <c r="Z128" t="s">
        <v>2823</v>
      </c>
      <c r="AA128" t="s">
        <v>2824</v>
      </c>
      <c r="AB128" t="s">
        <v>2825</v>
      </c>
      <c r="AC128" t="s">
        <v>2826</v>
      </c>
      <c r="AD128" t="s">
        <v>2827</v>
      </c>
      <c r="AE128" t="s">
        <v>2828</v>
      </c>
      <c r="AF128" t="s">
        <v>74</v>
      </c>
      <c r="AG128">
        <v>44</v>
      </c>
      <c r="AH128">
        <v>2</v>
      </c>
      <c r="AI128">
        <v>2</v>
      </c>
      <c r="AJ128">
        <v>11</v>
      </c>
      <c r="AK128">
        <v>21</v>
      </c>
      <c r="AL128" t="s">
        <v>305</v>
      </c>
      <c r="AM128" t="s">
        <v>306</v>
      </c>
      <c r="AN128" t="s">
        <v>307</v>
      </c>
      <c r="AO128" t="s">
        <v>656</v>
      </c>
      <c r="AP128" t="s">
        <v>657</v>
      </c>
      <c r="AQ128" t="s">
        <v>74</v>
      </c>
      <c r="AR128" t="s">
        <v>658</v>
      </c>
      <c r="AS128" t="s">
        <v>659</v>
      </c>
      <c r="AT128" t="s">
        <v>2809</v>
      </c>
      <c r="AU128">
        <v>2023</v>
      </c>
      <c r="AV128">
        <v>50</v>
      </c>
      <c r="AW128">
        <v>7</v>
      </c>
      <c r="AX128" t="s">
        <v>74</v>
      </c>
      <c r="AY128" t="s">
        <v>74</v>
      </c>
      <c r="AZ128" t="s">
        <v>74</v>
      </c>
      <c r="BA128" t="s">
        <v>74</v>
      </c>
      <c r="BB128" t="s">
        <v>74</v>
      </c>
      <c r="BC128" t="s">
        <v>74</v>
      </c>
      <c r="BD128" t="s">
        <v>2829</v>
      </c>
      <c r="BE128" t="s">
        <v>2830</v>
      </c>
      <c r="BF128" t="str">
        <f>HYPERLINK("http://dx.doi.org/10.1029/2022GL102704","http://dx.doi.org/10.1029/2022GL102704")</f>
        <v>http://dx.doi.org/10.1029/2022GL102704</v>
      </c>
      <c r="BG128" t="s">
        <v>74</v>
      </c>
      <c r="BH128" t="s">
        <v>74</v>
      </c>
      <c r="BI128">
        <v>8</v>
      </c>
      <c r="BJ128" t="s">
        <v>261</v>
      </c>
      <c r="BK128" t="s">
        <v>103</v>
      </c>
      <c r="BL128" t="s">
        <v>262</v>
      </c>
      <c r="BM128" t="s">
        <v>2831</v>
      </c>
      <c r="BN128" t="s">
        <v>74</v>
      </c>
      <c r="BO128" t="s">
        <v>387</v>
      </c>
      <c r="BP128" t="s">
        <v>74</v>
      </c>
      <c r="BQ128" t="s">
        <v>74</v>
      </c>
      <c r="BR128" t="s">
        <v>106</v>
      </c>
      <c r="BS128" t="s">
        <v>2832</v>
      </c>
      <c r="BT128" t="str">
        <f>HYPERLINK("https%3A%2F%2Fwww.webofscience.com%2Fwos%2Fwoscc%2Ffull-record%2FWOS:000973419300001","View Full Record in Web of Science")</f>
        <v>View Full Record in Web of Science</v>
      </c>
    </row>
    <row r="129" spans="1:72" x14ac:dyDescent="0.15">
      <c r="A129" t="s">
        <v>72</v>
      </c>
      <c r="B129" t="s">
        <v>2833</v>
      </c>
      <c r="C129" t="s">
        <v>74</v>
      </c>
      <c r="D129" t="s">
        <v>74</v>
      </c>
      <c r="E129" t="s">
        <v>74</v>
      </c>
      <c r="F129" t="s">
        <v>2834</v>
      </c>
      <c r="G129" t="s">
        <v>74</v>
      </c>
      <c r="H129" t="s">
        <v>74</v>
      </c>
      <c r="I129" t="s">
        <v>2835</v>
      </c>
      <c r="J129" t="s">
        <v>2836</v>
      </c>
      <c r="K129" t="s">
        <v>74</v>
      </c>
      <c r="L129" t="s">
        <v>74</v>
      </c>
      <c r="M129" t="s">
        <v>78</v>
      </c>
      <c r="N129" t="s">
        <v>112</v>
      </c>
      <c r="O129" t="s">
        <v>74</v>
      </c>
      <c r="P129" t="s">
        <v>74</v>
      </c>
      <c r="Q129" t="s">
        <v>74</v>
      </c>
      <c r="R129" t="s">
        <v>74</v>
      </c>
      <c r="S129" t="s">
        <v>74</v>
      </c>
      <c r="T129" t="s">
        <v>2837</v>
      </c>
      <c r="U129" t="s">
        <v>2838</v>
      </c>
      <c r="V129" t="s">
        <v>2839</v>
      </c>
      <c r="W129" t="s">
        <v>2840</v>
      </c>
      <c r="X129" t="s">
        <v>2841</v>
      </c>
      <c r="Y129" t="s">
        <v>2842</v>
      </c>
      <c r="Z129" t="s">
        <v>2843</v>
      </c>
      <c r="AA129" t="s">
        <v>74</v>
      </c>
      <c r="AB129" t="s">
        <v>2844</v>
      </c>
      <c r="AC129" t="s">
        <v>2845</v>
      </c>
      <c r="AD129" t="s">
        <v>74</v>
      </c>
      <c r="AE129" t="s">
        <v>2846</v>
      </c>
      <c r="AF129" t="s">
        <v>74</v>
      </c>
      <c r="AG129">
        <v>50</v>
      </c>
      <c r="AH129">
        <v>0</v>
      </c>
      <c r="AI129">
        <v>0</v>
      </c>
      <c r="AJ129">
        <v>1</v>
      </c>
      <c r="AK129">
        <v>5</v>
      </c>
      <c r="AL129" t="s">
        <v>447</v>
      </c>
      <c r="AM129" t="s">
        <v>448</v>
      </c>
      <c r="AN129" t="s">
        <v>449</v>
      </c>
      <c r="AO129" t="s">
        <v>2847</v>
      </c>
      <c r="AP129" t="s">
        <v>74</v>
      </c>
      <c r="AQ129" t="s">
        <v>74</v>
      </c>
      <c r="AR129" t="s">
        <v>2848</v>
      </c>
      <c r="AS129" t="s">
        <v>2849</v>
      </c>
      <c r="AT129" t="s">
        <v>232</v>
      </c>
      <c r="AU129">
        <v>2023</v>
      </c>
      <c r="AV129">
        <v>9</v>
      </c>
      <c r="AW129" t="s">
        <v>74</v>
      </c>
      <c r="AX129" t="s">
        <v>74</v>
      </c>
      <c r="AY129" t="s">
        <v>74</v>
      </c>
      <c r="AZ129" t="s">
        <v>74</v>
      </c>
      <c r="BA129" t="s">
        <v>74</v>
      </c>
      <c r="BB129" t="s">
        <v>74</v>
      </c>
      <c r="BC129" t="s">
        <v>74</v>
      </c>
      <c r="BD129">
        <v>100112</v>
      </c>
      <c r="BE129" t="s">
        <v>2850</v>
      </c>
      <c r="BF129" t="str">
        <f>HYPERLINK("http://dx.doi.org/10.1016/j.cesys.2023.100112","http://dx.doi.org/10.1016/j.cesys.2023.100112")</f>
        <v>http://dx.doi.org/10.1016/j.cesys.2023.100112</v>
      </c>
      <c r="BG129" t="s">
        <v>74</v>
      </c>
      <c r="BH129" t="s">
        <v>427</v>
      </c>
      <c r="BI129">
        <v>14</v>
      </c>
      <c r="BJ129" t="s">
        <v>2851</v>
      </c>
      <c r="BK129" t="s">
        <v>160</v>
      </c>
      <c r="BL129" t="s">
        <v>2852</v>
      </c>
      <c r="BM129" t="s">
        <v>2853</v>
      </c>
      <c r="BN129" t="s">
        <v>74</v>
      </c>
      <c r="BO129" t="s">
        <v>359</v>
      </c>
      <c r="BP129" t="s">
        <v>74</v>
      </c>
      <c r="BQ129" t="s">
        <v>74</v>
      </c>
      <c r="BR129" t="s">
        <v>106</v>
      </c>
      <c r="BS129" t="s">
        <v>2854</v>
      </c>
      <c r="BT129" t="str">
        <f>HYPERLINK("https%3A%2F%2Fwww.webofscience.com%2Fwos%2Fwoscc%2Ffull-record%2FWOS:000982697400001","View Full Record in Web of Science")</f>
        <v>View Full Record in Web of Science</v>
      </c>
    </row>
    <row r="130" spans="1:72" x14ac:dyDescent="0.15">
      <c r="A130" t="s">
        <v>72</v>
      </c>
      <c r="B130" t="s">
        <v>2855</v>
      </c>
      <c r="C130" t="s">
        <v>74</v>
      </c>
      <c r="D130" t="s">
        <v>74</v>
      </c>
      <c r="E130" t="s">
        <v>74</v>
      </c>
      <c r="F130" t="s">
        <v>2856</v>
      </c>
      <c r="G130" t="s">
        <v>74</v>
      </c>
      <c r="H130" t="s">
        <v>74</v>
      </c>
      <c r="I130" t="s">
        <v>2857</v>
      </c>
      <c r="J130" t="s">
        <v>2858</v>
      </c>
      <c r="K130" t="s">
        <v>74</v>
      </c>
      <c r="L130" t="s">
        <v>74</v>
      </c>
      <c r="M130" t="s">
        <v>78</v>
      </c>
      <c r="N130" t="s">
        <v>365</v>
      </c>
      <c r="O130" t="s">
        <v>74</v>
      </c>
      <c r="P130" t="s">
        <v>74</v>
      </c>
      <c r="Q130" t="s">
        <v>74</v>
      </c>
      <c r="R130" t="s">
        <v>74</v>
      </c>
      <c r="S130" t="s">
        <v>74</v>
      </c>
      <c r="T130" t="s">
        <v>2859</v>
      </c>
      <c r="U130" t="s">
        <v>2860</v>
      </c>
      <c r="V130" t="s">
        <v>2861</v>
      </c>
      <c r="W130" t="s">
        <v>2862</v>
      </c>
      <c r="X130" t="s">
        <v>1053</v>
      </c>
      <c r="Y130" t="s">
        <v>2863</v>
      </c>
      <c r="Z130" t="s">
        <v>2864</v>
      </c>
      <c r="AA130" t="s">
        <v>74</v>
      </c>
      <c r="AB130" t="s">
        <v>2865</v>
      </c>
      <c r="AC130" t="s">
        <v>74</v>
      </c>
      <c r="AD130" t="s">
        <v>74</v>
      </c>
      <c r="AE130" t="s">
        <v>74</v>
      </c>
      <c r="AF130" t="s">
        <v>74</v>
      </c>
      <c r="AG130">
        <v>163</v>
      </c>
      <c r="AH130">
        <v>3</v>
      </c>
      <c r="AI130">
        <v>3</v>
      </c>
      <c r="AJ130">
        <v>4</v>
      </c>
      <c r="AK130">
        <v>12</v>
      </c>
      <c r="AL130" t="s">
        <v>768</v>
      </c>
      <c r="AM130" t="s">
        <v>2866</v>
      </c>
      <c r="AN130" t="s">
        <v>2867</v>
      </c>
      <c r="AO130" t="s">
        <v>2868</v>
      </c>
      <c r="AP130" t="s">
        <v>2869</v>
      </c>
      <c r="AQ130" t="s">
        <v>74</v>
      </c>
      <c r="AR130" t="s">
        <v>2870</v>
      </c>
      <c r="AS130" t="s">
        <v>2871</v>
      </c>
      <c r="AT130" t="s">
        <v>507</v>
      </c>
      <c r="AU130">
        <v>2023</v>
      </c>
      <c r="AV130">
        <v>35</v>
      </c>
      <c r="AW130">
        <v>4</v>
      </c>
      <c r="AX130" t="s">
        <v>74</v>
      </c>
      <c r="AY130" t="s">
        <v>74</v>
      </c>
      <c r="AZ130" t="s">
        <v>74</v>
      </c>
      <c r="BA130" t="s">
        <v>74</v>
      </c>
      <c r="BB130">
        <v>1485</v>
      </c>
      <c r="BC130">
        <v>1498</v>
      </c>
      <c r="BD130" t="s">
        <v>74</v>
      </c>
      <c r="BE130" t="s">
        <v>2872</v>
      </c>
      <c r="BF130" t="str">
        <f>HYPERLINK("http://dx.doi.org/10.1007/s10811-023-02968-3","http://dx.doi.org/10.1007/s10811-023-02968-3")</f>
        <v>http://dx.doi.org/10.1007/s10811-023-02968-3</v>
      </c>
      <c r="BG130" t="s">
        <v>74</v>
      </c>
      <c r="BH130" t="s">
        <v>427</v>
      </c>
      <c r="BI130">
        <v>14</v>
      </c>
      <c r="BJ130" t="s">
        <v>2873</v>
      </c>
      <c r="BK130" t="s">
        <v>103</v>
      </c>
      <c r="BL130" t="s">
        <v>2873</v>
      </c>
      <c r="BM130" t="s">
        <v>2874</v>
      </c>
      <c r="BN130" t="s">
        <v>74</v>
      </c>
      <c r="BO130" t="s">
        <v>387</v>
      </c>
      <c r="BP130" t="s">
        <v>74</v>
      </c>
      <c r="BQ130" t="s">
        <v>74</v>
      </c>
      <c r="BR130" t="s">
        <v>106</v>
      </c>
      <c r="BS130" t="s">
        <v>2875</v>
      </c>
      <c r="BT130" t="str">
        <f>HYPERLINK("https%3A%2F%2Fwww.webofscience.com%2Fwos%2Fwoscc%2Ffull-record%2FWOS:000972122900003","View Full Record in Web of Science")</f>
        <v>View Full Record in Web of Science</v>
      </c>
    </row>
    <row r="131" spans="1:72" x14ac:dyDescent="0.15">
      <c r="A131" t="s">
        <v>72</v>
      </c>
      <c r="B131" t="s">
        <v>2876</v>
      </c>
      <c r="C131" t="s">
        <v>74</v>
      </c>
      <c r="D131" t="s">
        <v>74</v>
      </c>
      <c r="E131" t="s">
        <v>74</v>
      </c>
      <c r="F131" t="s">
        <v>2877</v>
      </c>
      <c r="G131" t="s">
        <v>74</v>
      </c>
      <c r="H131" t="s">
        <v>74</v>
      </c>
      <c r="I131" t="s">
        <v>2878</v>
      </c>
      <c r="J131" t="s">
        <v>2032</v>
      </c>
      <c r="K131" t="s">
        <v>74</v>
      </c>
      <c r="L131" t="s">
        <v>74</v>
      </c>
      <c r="M131" t="s">
        <v>78</v>
      </c>
      <c r="N131" t="s">
        <v>112</v>
      </c>
      <c r="O131" t="s">
        <v>74</v>
      </c>
      <c r="P131" t="s">
        <v>74</v>
      </c>
      <c r="Q131" t="s">
        <v>74</v>
      </c>
      <c r="R131" t="s">
        <v>74</v>
      </c>
      <c r="S131" t="s">
        <v>74</v>
      </c>
      <c r="T131" t="s">
        <v>74</v>
      </c>
      <c r="U131" t="s">
        <v>2879</v>
      </c>
      <c r="V131" t="s">
        <v>2880</v>
      </c>
      <c r="W131" t="s">
        <v>2881</v>
      </c>
      <c r="X131" t="s">
        <v>2882</v>
      </c>
      <c r="Y131" t="s">
        <v>2883</v>
      </c>
      <c r="Z131" t="s">
        <v>2884</v>
      </c>
      <c r="AA131" t="s">
        <v>2885</v>
      </c>
      <c r="AB131" t="s">
        <v>2886</v>
      </c>
      <c r="AC131" t="s">
        <v>2887</v>
      </c>
      <c r="AD131" t="s">
        <v>2888</v>
      </c>
      <c r="AE131" t="s">
        <v>2889</v>
      </c>
      <c r="AF131" t="s">
        <v>74</v>
      </c>
      <c r="AG131">
        <v>53</v>
      </c>
      <c r="AH131">
        <v>0</v>
      </c>
      <c r="AI131">
        <v>0</v>
      </c>
      <c r="AJ131">
        <v>1</v>
      </c>
      <c r="AK131">
        <v>1</v>
      </c>
      <c r="AL131" t="s">
        <v>2044</v>
      </c>
      <c r="AM131" t="s">
        <v>2045</v>
      </c>
      <c r="AN131" t="s">
        <v>2046</v>
      </c>
      <c r="AO131" t="s">
        <v>2047</v>
      </c>
      <c r="AP131" t="s">
        <v>74</v>
      </c>
      <c r="AQ131" t="s">
        <v>74</v>
      </c>
      <c r="AR131" t="s">
        <v>2032</v>
      </c>
      <c r="AS131" t="s">
        <v>2048</v>
      </c>
      <c r="AT131" t="s">
        <v>2890</v>
      </c>
      <c r="AU131">
        <v>2023</v>
      </c>
      <c r="AV131">
        <v>18</v>
      </c>
      <c r="AW131">
        <v>4</v>
      </c>
      <c r="AX131" t="s">
        <v>74</v>
      </c>
      <c r="AY131" t="s">
        <v>74</v>
      </c>
      <c r="AZ131" t="s">
        <v>74</v>
      </c>
      <c r="BA131" t="s">
        <v>74</v>
      </c>
      <c r="BB131" t="s">
        <v>74</v>
      </c>
      <c r="BC131" t="s">
        <v>74</v>
      </c>
      <c r="BD131" t="s">
        <v>2891</v>
      </c>
      <c r="BE131" t="s">
        <v>2892</v>
      </c>
      <c r="BF131" t="str">
        <f>HYPERLINK("http://dx.doi.org/10.1371/journal.pone.0282516","http://dx.doi.org/10.1371/journal.pone.0282516")</f>
        <v>http://dx.doi.org/10.1371/journal.pone.0282516</v>
      </c>
      <c r="BG131" t="s">
        <v>74</v>
      </c>
      <c r="BH131" t="s">
        <v>74</v>
      </c>
      <c r="BI131">
        <v>13</v>
      </c>
      <c r="BJ131" t="s">
        <v>210</v>
      </c>
      <c r="BK131" t="s">
        <v>103</v>
      </c>
      <c r="BL131" t="s">
        <v>211</v>
      </c>
      <c r="BM131" t="s">
        <v>2893</v>
      </c>
      <c r="BN131">
        <v>37058520</v>
      </c>
      <c r="BO131" t="s">
        <v>136</v>
      </c>
      <c r="BP131" t="s">
        <v>74</v>
      </c>
      <c r="BQ131" t="s">
        <v>74</v>
      </c>
      <c r="BR131" t="s">
        <v>106</v>
      </c>
      <c r="BS131" t="s">
        <v>2894</v>
      </c>
      <c r="BT131" t="str">
        <f>HYPERLINK("https%3A%2F%2Fwww.webofscience.com%2Fwos%2Fwoscc%2Ffull-record%2FWOS:001017121000002","View Full Record in Web of Science")</f>
        <v>View Full Record in Web of Science</v>
      </c>
    </row>
    <row r="132" spans="1:72" x14ac:dyDescent="0.15">
      <c r="A132" t="s">
        <v>72</v>
      </c>
      <c r="B132" t="s">
        <v>2895</v>
      </c>
      <c r="C132" t="s">
        <v>74</v>
      </c>
      <c r="D132" t="s">
        <v>74</v>
      </c>
      <c r="E132" t="s">
        <v>74</v>
      </c>
      <c r="F132" t="s">
        <v>2896</v>
      </c>
      <c r="G132" t="s">
        <v>74</v>
      </c>
      <c r="H132" t="s">
        <v>74</v>
      </c>
      <c r="I132" t="s">
        <v>2897</v>
      </c>
      <c r="J132" t="s">
        <v>1832</v>
      </c>
      <c r="K132" t="s">
        <v>74</v>
      </c>
      <c r="L132" t="s">
        <v>74</v>
      </c>
      <c r="M132" t="s">
        <v>78</v>
      </c>
      <c r="N132" t="s">
        <v>2898</v>
      </c>
      <c r="O132" t="s">
        <v>74</v>
      </c>
      <c r="P132" t="s">
        <v>74</v>
      </c>
      <c r="Q132" t="s">
        <v>74</v>
      </c>
      <c r="R132" t="s">
        <v>74</v>
      </c>
      <c r="S132" t="s">
        <v>74</v>
      </c>
      <c r="T132" t="s">
        <v>74</v>
      </c>
      <c r="U132" t="s">
        <v>74</v>
      </c>
      <c r="V132" t="s">
        <v>74</v>
      </c>
      <c r="W132" t="s">
        <v>74</v>
      </c>
      <c r="X132" t="s">
        <v>74</v>
      </c>
      <c r="Y132" t="s">
        <v>74</v>
      </c>
      <c r="Z132" t="s">
        <v>74</v>
      </c>
      <c r="AA132" t="s">
        <v>74</v>
      </c>
      <c r="AB132" t="s">
        <v>74</v>
      </c>
      <c r="AC132" t="s">
        <v>74</v>
      </c>
      <c r="AD132" t="s">
        <v>74</v>
      </c>
      <c r="AE132" t="s">
        <v>74</v>
      </c>
      <c r="AF132" t="s">
        <v>74</v>
      </c>
      <c r="AG132">
        <v>0</v>
      </c>
      <c r="AH132">
        <v>0</v>
      </c>
      <c r="AI132">
        <v>0</v>
      </c>
      <c r="AJ132">
        <v>2</v>
      </c>
      <c r="AK132">
        <v>20</v>
      </c>
      <c r="AL132" t="s">
        <v>1841</v>
      </c>
      <c r="AM132" t="s">
        <v>306</v>
      </c>
      <c r="AN132" t="s">
        <v>1842</v>
      </c>
      <c r="AO132" t="s">
        <v>1843</v>
      </c>
      <c r="AP132" t="s">
        <v>1844</v>
      </c>
      <c r="AQ132" t="s">
        <v>74</v>
      </c>
      <c r="AR132" t="s">
        <v>1832</v>
      </c>
      <c r="AS132" t="s">
        <v>1845</v>
      </c>
      <c r="AT132" t="s">
        <v>2890</v>
      </c>
      <c r="AU132">
        <v>2023</v>
      </c>
      <c r="AV132">
        <v>380</v>
      </c>
      <c r="AW132">
        <v>6641</v>
      </c>
      <c r="AX132" t="s">
        <v>74</v>
      </c>
      <c r="AY132" t="s">
        <v>74</v>
      </c>
      <c r="AZ132" t="s">
        <v>74</v>
      </c>
      <c r="BA132" t="s">
        <v>74</v>
      </c>
      <c r="BB132">
        <v>118</v>
      </c>
      <c r="BC132">
        <v>119</v>
      </c>
      <c r="BD132" t="s">
        <v>74</v>
      </c>
      <c r="BE132" t="s">
        <v>74</v>
      </c>
      <c r="BF132" t="s">
        <v>74</v>
      </c>
      <c r="BG132" t="s">
        <v>74</v>
      </c>
      <c r="BH132" t="s">
        <v>74</v>
      </c>
      <c r="BI132">
        <v>2</v>
      </c>
      <c r="BJ132" t="s">
        <v>210</v>
      </c>
      <c r="BK132" t="s">
        <v>103</v>
      </c>
      <c r="BL132" t="s">
        <v>211</v>
      </c>
      <c r="BM132" t="s">
        <v>2899</v>
      </c>
      <c r="BN132">
        <v>37053318</v>
      </c>
      <c r="BO132" t="s">
        <v>74</v>
      </c>
      <c r="BP132" t="s">
        <v>74</v>
      </c>
      <c r="BQ132" t="s">
        <v>74</v>
      </c>
      <c r="BR132" t="s">
        <v>106</v>
      </c>
      <c r="BS132" t="s">
        <v>2900</v>
      </c>
      <c r="BT132" t="str">
        <f>HYPERLINK("https%3A%2F%2Fwww.webofscience.com%2Fwos%2Fwoscc%2Ffull-record%2FWOS:000989920200003","View Full Record in Web of Science")</f>
        <v>View Full Record in Web of Science</v>
      </c>
    </row>
    <row r="133" spans="1:72" x14ac:dyDescent="0.15">
      <c r="A133" t="s">
        <v>72</v>
      </c>
      <c r="B133" t="s">
        <v>2901</v>
      </c>
      <c r="C133" t="s">
        <v>74</v>
      </c>
      <c r="D133" t="s">
        <v>74</v>
      </c>
      <c r="E133" t="s">
        <v>74</v>
      </c>
      <c r="F133" t="s">
        <v>2902</v>
      </c>
      <c r="G133" t="s">
        <v>74</v>
      </c>
      <c r="H133" t="s">
        <v>74</v>
      </c>
      <c r="I133" t="s">
        <v>2903</v>
      </c>
      <c r="J133" t="s">
        <v>2904</v>
      </c>
      <c r="K133" t="s">
        <v>74</v>
      </c>
      <c r="L133" t="s">
        <v>74</v>
      </c>
      <c r="M133" t="s">
        <v>78</v>
      </c>
      <c r="N133" t="s">
        <v>365</v>
      </c>
      <c r="O133" t="s">
        <v>74</v>
      </c>
      <c r="P133" t="s">
        <v>74</v>
      </c>
      <c r="Q133" t="s">
        <v>74</v>
      </c>
      <c r="R133" t="s">
        <v>74</v>
      </c>
      <c r="S133" t="s">
        <v>74</v>
      </c>
      <c r="T133" t="s">
        <v>2905</v>
      </c>
      <c r="U133" t="s">
        <v>2906</v>
      </c>
      <c r="V133" t="s">
        <v>2907</v>
      </c>
      <c r="W133" t="s">
        <v>2908</v>
      </c>
      <c r="X133" t="s">
        <v>2909</v>
      </c>
      <c r="Y133" t="s">
        <v>2910</v>
      </c>
      <c r="Z133" t="s">
        <v>2911</v>
      </c>
      <c r="AA133" t="s">
        <v>2912</v>
      </c>
      <c r="AB133" t="s">
        <v>2913</v>
      </c>
      <c r="AC133" t="s">
        <v>2914</v>
      </c>
      <c r="AD133" t="s">
        <v>2914</v>
      </c>
      <c r="AE133" t="s">
        <v>2915</v>
      </c>
      <c r="AF133" t="s">
        <v>74</v>
      </c>
      <c r="AG133">
        <v>401</v>
      </c>
      <c r="AH133">
        <v>3</v>
      </c>
      <c r="AI133">
        <v>3</v>
      </c>
      <c r="AJ133">
        <v>2</v>
      </c>
      <c r="AK133">
        <v>3</v>
      </c>
      <c r="AL133" t="s">
        <v>447</v>
      </c>
      <c r="AM133" t="s">
        <v>448</v>
      </c>
      <c r="AN133" t="s">
        <v>449</v>
      </c>
      <c r="AO133" t="s">
        <v>2916</v>
      </c>
      <c r="AP133" t="s">
        <v>2917</v>
      </c>
      <c r="AQ133" t="s">
        <v>74</v>
      </c>
      <c r="AR133" t="s">
        <v>2918</v>
      </c>
      <c r="AS133" t="s">
        <v>2919</v>
      </c>
      <c r="AT133" t="s">
        <v>570</v>
      </c>
      <c r="AU133">
        <v>2023</v>
      </c>
      <c r="AV133">
        <v>119</v>
      </c>
      <c r="AW133" t="s">
        <v>74</v>
      </c>
      <c r="AX133" t="s">
        <v>74</v>
      </c>
      <c r="AY133" t="s">
        <v>74</v>
      </c>
      <c r="AZ133" t="s">
        <v>74</v>
      </c>
      <c r="BA133" t="s">
        <v>74</v>
      </c>
      <c r="BB133">
        <v>341</v>
      </c>
      <c r="BC133">
        <v>383</v>
      </c>
      <c r="BD133" t="s">
        <v>74</v>
      </c>
      <c r="BE133" t="s">
        <v>2920</v>
      </c>
      <c r="BF133" t="str">
        <f>HYPERLINK("http://dx.doi.org/10.1016/j.gr.2023.03.005","http://dx.doi.org/10.1016/j.gr.2023.03.005")</f>
        <v>http://dx.doi.org/10.1016/j.gr.2023.03.005</v>
      </c>
      <c r="BG133" t="s">
        <v>74</v>
      </c>
      <c r="BH133" t="s">
        <v>427</v>
      </c>
      <c r="BI133">
        <v>43</v>
      </c>
      <c r="BJ133" t="s">
        <v>261</v>
      </c>
      <c r="BK133" t="s">
        <v>103</v>
      </c>
      <c r="BL133" t="s">
        <v>262</v>
      </c>
      <c r="BM133" t="s">
        <v>2921</v>
      </c>
      <c r="BN133" t="s">
        <v>74</v>
      </c>
      <c r="BO133" t="s">
        <v>74</v>
      </c>
      <c r="BP133" t="s">
        <v>74</v>
      </c>
      <c r="BQ133" t="s">
        <v>74</v>
      </c>
      <c r="BR133" t="s">
        <v>106</v>
      </c>
      <c r="BS133" t="s">
        <v>2922</v>
      </c>
      <c r="BT133" t="str">
        <f>HYPERLINK("https%3A%2F%2Fwww.webofscience.com%2Fwos%2Fwoscc%2Ffull-record%2FWOS:000987885500001","View Full Record in Web of Science")</f>
        <v>View Full Record in Web of Science</v>
      </c>
    </row>
    <row r="134" spans="1:72" x14ac:dyDescent="0.15">
      <c r="A134" t="s">
        <v>72</v>
      </c>
      <c r="B134" t="s">
        <v>2923</v>
      </c>
      <c r="C134" t="s">
        <v>74</v>
      </c>
      <c r="D134" t="s">
        <v>74</v>
      </c>
      <c r="E134" t="s">
        <v>74</v>
      </c>
      <c r="F134" t="s">
        <v>2924</v>
      </c>
      <c r="G134" t="s">
        <v>74</v>
      </c>
      <c r="H134" t="s">
        <v>74</v>
      </c>
      <c r="I134" t="s">
        <v>2925</v>
      </c>
      <c r="J134" t="s">
        <v>2926</v>
      </c>
      <c r="K134" t="s">
        <v>74</v>
      </c>
      <c r="L134" t="s">
        <v>74</v>
      </c>
      <c r="M134" t="s">
        <v>78</v>
      </c>
      <c r="N134" t="s">
        <v>112</v>
      </c>
      <c r="O134" t="s">
        <v>74</v>
      </c>
      <c r="P134" t="s">
        <v>74</v>
      </c>
      <c r="Q134" t="s">
        <v>74</v>
      </c>
      <c r="R134" t="s">
        <v>74</v>
      </c>
      <c r="S134" t="s">
        <v>74</v>
      </c>
      <c r="T134" t="s">
        <v>2927</v>
      </c>
      <c r="U134" t="s">
        <v>2928</v>
      </c>
      <c r="V134" t="s">
        <v>2929</v>
      </c>
      <c r="W134" t="s">
        <v>2930</v>
      </c>
      <c r="X134" t="s">
        <v>2931</v>
      </c>
      <c r="Y134" t="s">
        <v>2932</v>
      </c>
      <c r="Z134" t="s">
        <v>2933</v>
      </c>
      <c r="AA134" t="s">
        <v>2934</v>
      </c>
      <c r="AB134" t="s">
        <v>2935</v>
      </c>
      <c r="AC134" t="s">
        <v>2936</v>
      </c>
      <c r="AD134" t="s">
        <v>2937</v>
      </c>
      <c r="AE134" t="s">
        <v>2938</v>
      </c>
      <c r="AF134" t="s">
        <v>74</v>
      </c>
      <c r="AG134">
        <v>72</v>
      </c>
      <c r="AH134">
        <v>1</v>
      </c>
      <c r="AI134">
        <v>1</v>
      </c>
      <c r="AJ134">
        <v>0</v>
      </c>
      <c r="AK134">
        <v>0</v>
      </c>
      <c r="AL134" t="s">
        <v>2939</v>
      </c>
      <c r="AM134" t="s">
        <v>2940</v>
      </c>
      <c r="AN134" t="s">
        <v>2941</v>
      </c>
      <c r="AO134" t="s">
        <v>2942</v>
      </c>
      <c r="AP134" t="s">
        <v>2943</v>
      </c>
      <c r="AQ134" t="s">
        <v>74</v>
      </c>
      <c r="AR134" t="s">
        <v>2944</v>
      </c>
      <c r="AS134" t="s">
        <v>2945</v>
      </c>
      <c r="AT134" t="s">
        <v>1437</v>
      </c>
      <c r="AU134">
        <v>2023</v>
      </c>
      <c r="AV134">
        <v>125</v>
      </c>
      <c r="AW134">
        <v>3</v>
      </c>
      <c r="AX134" t="s">
        <v>74</v>
      </c>
      <c r="AY134" t="s">
        <v>74</v>
      </c>
      <c r="AZ134" t="s">
        <v>74</v>
      </c>
      <c r="BA134" t="s">
        <v>74</v>
      </c>
      <c r="BB134" t="s">
        <v>74</v>
      </c>
      <c r="BC134" t="s">
        <v>74</v>
      </c>
      <c r="BD134">
        <v>152029</v>
      </c>
      <c r="BE134" t="s">
        <v>2946</v>
      </c>
      <c r="BF134" t="str">
        <f>HYPERLINK("http://dx.doi.org/10.1016/j.acthis.2023.152029","http://dx.doi.org/10.1016/j.acthis.2023.152029")</f>
        <v>http://dx.doi.org/10.1016/j.acthis.2023.152029</v>
      </c>
      <c r="BG134" t="s">
        <v>74</v>
      </c>
      <c r="BH134" t="s">
        <v>427</v>
      </c>
      <c r="BI134">
        <v>9</v>
      </c>
      <c r="BJ134" t="s">
        <v>2947</v>
      </c>
      <c r="BK134" t="s">
        <v>103</v>
      </c>
      <c r="BL134" t="s">
        <v>2947</v>
      </c>
      <c r="BM134" t="s">
        <v>2948</v>
      </c>
      <c r="BN134">
        <v>37062122</v>
      </c>
      <c r="BO134" t="s">
        <v>74</v>
      </c>
      <c r="BP134" t="s">
        <v>74</v>
      </c>
      <c r="BQ134" t="s">
        <v>74</v>
      </c>
      <c r="BR134" t="s">
        <v>106</v>
      </c>
      <c r="BS134" t="s">
        <v>2949</v>
      </c>
      <c r="BT134" t="str">
        <f>HYPERLINK("https%3A%2F%2Fwww.webofscience.com%2Fwos%2Fwoscc%2Ffull-record%2FWOS:000982253400001","View Full Record in Web of Science")</f>
        <v>View Full Record in Web of Science</v>
      </c>
    </row>
    <row r="135" spans="1:72" x14ac:dyDescent="0.15">
      <c r="A135" t="s">
        <v>72</v>
      </c>
      <c r="B135" t="s">
        <v>2950</v>
      </c>
      <c r="C135" t="s">
        <v>74</v>
      </c>
      <c r="D135" t="s">
        <v>74</v>
      </c>
      <c r="E135" t="s">
        <v>74</v>
      </c>
      <c r="F135" t="s">
        <v>2951</v>
      </c>
      <c r="G135" t="s">
        <v>74</v>
      </c>
      <c r="H135" t="s">
        <v>74</v>
      </c>
      <c r="I135" t="s">
        <v>2952</v>
      </c>
      <c r="J135" t="s">
        <v>2953</v>
      </c>
      <c r="K135" t="s">
        <v>74</v>
      </c>
      <c r="L135" t="s">
        <v>74</v>
      </c>
      <c r="M135" t="s">
        <v>78</v>
      </c>
      <c r="N135" t="s">
        <v>112</v>
      </c>
      <c r="O135" t="s">
        <v>74</v>
      </c>
      <c r="P135" t="s">
        <v>74</v>
      </c>
      <c r="Q135" t="s">
        <v>74</v>
      </c>
      <c r="R135" t="s">
        <v>74</v>
      </c>
      <c r="S135" t="s">
        <v>74</v>
      </c>
      <c r="T135" t="s">
        <v>2954</v>
      </c>
      <c r="U135" t="s">
        <v>2955</v>
      </c>
      <c r="V135" t="s">
        <v>2956</v>
      </c>
      <c r="W135" t="s">
        <v>2957</v>
      </c>
      <c r="X135" t="s">
        <v>2958</v>
      </c>
      <c r="Y135" t="s">
        <v>2959</v>
      </c>
      <c r="Z135" t="s">
        <v>2960</v>
      </c>
      <c r="AA135" t="s">
        <v>74</v>
      </c>
      <c r="AB135" t="s">
        <v>2961</v>
      </c>
      <c r="AC135" t="s">
        <v>2962</v>
      </c>
      <c r="AD135" t="s">
        <v>2963</v>
      </c>
      <c r="AE135" t="s">
        <v>2964</v>
      </c>
      <c r="AF135" t="s">
        <v>74</v>
      </c>
      <c r="AG135">
        <v>89</v>
      </c>
      <c r="AH135">
        <v>1</v>
      </c>
      <c r="AI135">
        <v>1</v>
      </c>
      <c r="AJ135">
        <v>2</v>
      </c>
      <c r="AK135">
        <v>9</v>
      </c>
      <c r="AL135" t="s">
        <v>447</v>
      </c>
      <c r="AM135" t="s">
        <v>448</v>
      </c>
      <c r="AN135" t="s">
        <v>449</v>
      </c>
      <c r="AO135" t="s">
        <v>2965</v>
      </c>
      <c r="AP135" t="s">
        <v>2966</v>
      </c>
      <c r="AQ135" t="s">
        <v>74</v>
      </c>
      <c r="AR135" t="s">
        <v>2967</v>
      </c>
      <c r="AS135" t="s">
        <v>2968</v>
      </c>
      <c r="AT135" t="s">
        <v>98</v>
      </c>
      <c r="AU135">
        <v>2023</v>
      </c>
      <c r="AV135">
        <v>181</v>
      </c>
      <c r="AW135" t="s">
        <v>74</v>
      </c>
      <c r="AX135" t="s">
        <v>74</v>
      </c>
      <c r="AY135" t="s">
        <v>74</v>
      </c>
      <c r="AZ135" t="s">
        <v>74</v>
      </c>
      <c r="BA135" t="s">
        <v>74</v>
      </c>
      <c r="BB135" t="s">
        <v>74</v>
      </c>
      <c r="BC135" t="s">
        <v>74</v>
      </c>
      <c r="BD135">
        <v>102245</v>
      </c>
      <c r="BE135" t="s">
        <v>2969</v>
      </c>
      <c r="BF135" t="str">
        <f>HYPERLINK("http://dx.doi.org/10.1016/j.marmicro.2023.102245","http://dx.doi.org/10.1016/j.marmicro.2023.102245")</f>
        <v>http://dx.doi.org/10.1016/j.marmicro.2023.102245</v>
      </c>
      <c r="BG135" t="s">
        <v>74</v>
      </c>
      <c r="BH135" t="s">
        <v>427</v>
      </c>
      <c r="BI135">
        <v>10</v>
      </c>
      <c r="BJ135" t="s">
        <v>2970</v>
      </c>
      <c r="BK135" t="s">
        <v>103</v>
      </c>
      <c r="BL135" t="s">
        <v>2970</v>
      </c>
      <c r="BM135" t="s">
        <v>2971</v>
      </c>
      <c r="BN135" t="s">
        <v>74</v>
      </c>
      <c r="BO135" t="s">
        <v>74</v>
      </c>
      <c r="BP135" t="s">
        <v>74</v>
      </c>
      <c r="BQ135" t="s">
        <v>74</v>
      </c>
      <c r="BR135" t="s">
        <v>106</v>
      </c>
      <c r="BS135" t="s">
        <v>2972</v>
      </c>
      <c r="BT135" t="str">
        <f>HYPERLINK("https%3A%2F%2Fwww.webofscience.com%2Fwos%2Fwoscc%2Ffull-record%2FWOS:000986046200001","View Full Record in Web of Science")</f>
        <v>View Full Record in Web of Science</v>
      </c>
    </row>
    <row r="136" spans="1:72" x14ac:dyDescent="0.15">
      <c r="A136" t="s">
        <v>72</v>
      </c>
      <c r="B136" t="s">
        <v>2973</v>
      </c>
      <c r="C136" t="s">
        <v>74</v>
      </c>
      <c r="D136" t="s">
        <v>74</v>
      </c>
      <c r="E136" t="s">
        <v>74</v>
      </c>
      <c r="F136" t="s">
        <v>2974</v>
      </c>
      <c r="G136" t="s">
        <v>74</v>
      </c>
      <c r="H136" t="s">
        <v>74</v>
      </c>
      <c r="I136" t="s">
        <v>2975</v>
      </c>
      <c r="J136" t="s">
        <v>2541</v>
      </c>
      <c r="K136" t="s">
        <v>74</v>
      </c>
      <c r="L136" t="s">
        <v>74</v>
      </c>
      <c r="M136" t="s">
        <v>78</v>
      </c>
      <c r="N136" t="s">
        <v>112</v>
      </c>
      <c r="O136" t="s">
        <v>74</v>
      </c>
      <c r="P136" t="s">
        <v>74</v>
      </c>
      <c r="Q136" t="s">
        <v>74</v>
      </c>
      <c r="R136" t="s">
        <v>74</v>
      </c>
      <c r="S136" t="s">
        <v>74</v>
      </c>
      <c r="T136" t="s">
        <v>74</v>
      </c>
      <c r="U136" t="s">
        <v>2976</v>
      </c>
      <c r="V136" t="s">
        <v>2977</v>
      </c>
      <c r="W136" t="s">
        <v>2978</v>
      </c>
      <c r="X136" t="s">
        <v>2979</v>
      </c>
      <c r="Y136" t="s">
        <v>2980</v>
      </c>
      <c r="Z136" t="s">
        <v>2981</v>
      </c>
      <c r="AA136" t="s">
        <v>2982</v>
      </c>
      <c r="AB136" t="s">
        <v>2983</v>
      </c>
      <c r="AC136" t="s">
        <v>2984</v>
      </c>
      <c r="AD136" t="s">
        <v>2985</v>
      </c>
      <c r="AE136" t="s">
        <v>2986</v>
      </c>
      <c r="AF136" t="s">
        <v>74</v>
      </c>
      <c r="AG136">
        <v>94</v>
      </c>
      <c r="AH136">
        <v>2</v>
      </c>
      <c r="AI136">
        <v>2</v>
      </c>
      <c r="AJ136">
        <v>8</v>
      </c>
      <c r="AK136">
        <v>13</v>
      </c>
      <c r="AL136" t="s">
        <v>794</v>
      </c>
      <c r="AM136" t="s">
        <v>795</v>
      </c>
      <c r="AN136" t="s">
        <v>796</v>
      </c>
      <c r="AO136" t="s">
        <v>2553</v>
      </c>
      <c r="AP136" t="s">
        <v>2554</v>
      </c>
      <c r="AQ136" t="s">
        <v>74</v>
      </c>
      <c r="AR136" t="s">
        <v>2555</v>
      </c>
      <c r="AS136" t="s">
        <v>2556</v>
      </c>
      <c r="AT136" t="s">
        <v>2890</v>
      </c>
      <c r="AU136">
        <v>2023</v>
      </c>
      <c r="AV136">
        <v>23</v>
      </c>
      <c r="AW136">
        <v>7</v>
      </c>
      <c r="AX136" t="s">
        <v>74</v>
      </c>
      <c r="AY136" t="s">
        <v>74</v>
      </c>
      <c r="AZ136" t="s">
        <v>74</v>
      </c>
      <c r="BA136" t="s">
        <v>74</v>
      </c>
      <c r="BB136">
        <v>4463</v>
      </c>
      <c r="BC136">
        <v>4488</v>
      </c>
      <c r="BD136" t="s">
        <v>74</v>
      </c>
      <c r="BE136" t="s">
        <v>2987</v>
      </c>
      <c r="BF136" t="str">
        <f>HYPERLINK("http://dx.doi.org/10.5194/acp-23-4463-2023","http://dx.doi.org/10.5194/acp-23-4463-2023")</f>
        <v>http://dx.doi.org/10.5194/acp-23-4463-2023</v>
      </c>
      <c r="BG136" t="s">
        <v>74</v>
      </c>
      <c r="BH136" t="s">
        <v>74</v>
      </c>
      <c r="BI136">
        <v>26</v>
      </c>
      <c r="BJ136" t="s">
        <v>356</v>
      </c>
      <c r="BK136" t="s">
        <v>103</v>
      </c>
      <c r="BL136" t="s">
        <v>357</v>
      </c>
      <c r="BM136" t="s">
        <v>2988</v>
      </c>
      <c r="BN136" t="s">
        <v>74</v>
      </c>
      <c r="BO136" t="s">
        <v>2989</v>
      </c>
      <c r="BP136" t="s">
        <v>74</v>
      </c>
      <c r="BQ136" t="s">
        <v>74</v>
      </c>
      <c r="BR136" t="s">
        <v>106</v>
      </c>
      <c r="BS136" t="s">
        <v>2990</v>
      </c>
      <c r="BT136" t="str">
        <f>HYPERLINK("https%3A%2F%2Fwww.webofscience.com%2Fwos%2Fwoscc%2Ffull-record%2FWOS:000971071500001","View Full Record in Web of Science")</f>
        <v>View Full Record in Web of Science</v>
      </c>
    </row>
    <row r="137" spans="1:72" x14ac:dyDescent="0.15">
      <c r="A137" t="s">
        <v>72</v>
      </c>
      <c r="B137" t="s">
        <v>2991</v>
      </c>
      <c r="C137" t="s">
        <v>74</v>
      </c>
      <c r="D137" t="s">
        <v>74</v>
      </c>
      <c r="E137" t="s">
        <v>74</v>
      </c>
      <c r="F137" t="s">
        <v>2992</v>
      </c>
      <c r="G137" t="s">
        <v>74</v>
      </c>
      <c r="H137" t="s">
        <v>74</v>
      </c>
      <c r="I137" t="s">
        <v>2993</v>
      </c>
      <c r="J137" t="s">
        <v>1881</v>
      </c>
      <c r="K137" t="s">
        <v>74</v>
      </c>
      <c r="L137" t="s">
        <v>74</v>
      </c>
      <c r="M137" t="s">
        <v>78</v>
      </c>
      <c r="N137" t="s">
        <v>112</v>
      </c>
      <c r="O137" t="s">
        <v>74</v>
      </c>
      <c r="P137" t="s">
        <v>74</v>
      </c>
      <c r="Q137" t="s">
        <v>74</v>
      </c>
      <c r="R137" t="s">
        <v>74</v>
      </c>
      <c r="S137" t="s">
        <v>74</v>
      </c>
      <c r="T137" t="s">
        <v>74</v>
      </c>
      <c r="U137" t="s">
        <v>2994</v>
      </c>
      <c r="V137" t="s">
        <v>2995</v>
      </c>
      <c r="W137" t="s">
        <v>2996</v>
      </c>
      <c r="X137" t="s">
        <v>2997</v>
      </c>
      <c r="Y137" t="s">
        <v>2998</v>
      </c>
      <c r="Z137" t="s">
        <v>2999</v>
      </c>
      <c r="AA137" t="s">
        <v>3000</v>
      </c>
      <c r="AB137" t="s">
        <v>3001</v>
      </c>
      <c r="AC137" t="s">
        <v>3002</v>
      </c>
      <c r="AD137" t="s">
        <v>3003</v>
      </c>
      <c r="AE137" t="s">
        <v>3004</v>
      </c>
      <c r="AF137" t="s">
        <v>74</v>
      </c>
      <c r="AG137">
        <v>90</v>
      </c>
      <c r="AH137">
        <v>2</v>
      </c>
      <c r="AI137">
        <v>2</v>
      </c>
      <c r="AJ137">
        <v>2</v>
      </c>
      <c r="AK137">
        <v>3</v>
      </c>
      <c r="AL137" t="s">
        <v>794</v>
      </c>
      <c r="AM137" t="s">
        <v>795</v>
      </c>
      <c r="AN137" t="s">
        <v>796</v>
      </c>
      <c r="AO137" t="s">
        <v>1893</v>
      </c>
      <c r="AP137" t="s">
        <v>1894</v>
      </c>
      <c r="AQ137" t="s">
        <v>74</v>
      </c>
      <c r="AR137" t="s">
        <v>1881</v>
      </c>
      <c r="AS137" t="s">
        <v>1895</v>
      </c>
      <c r="AT137" t="s">
        <v>2890</v>
      </c>
      <c r="AU137">
        <v>2023</v>
      </c>
      <c r="AV137">
        <v>20</v>
      </c>
      <c r="AW137">
        <v>7</v>
      </c>
      <c r="AX137" t="s">
        <v>74</v>
      </c>
      <c r="AY137" t="s">
        <v>74</v>
      </c>
      <c r="AZ137" t="s">
        <v>74</v>
      </c>
      <c r="BA137" t="s">
        <v>74</v>
      </c>
      <c r="BB137">
        <v>1505</v>
      </c>
      <c r="BC137">
        <v>1528</v>
      </c>
      <c r="BD137" t="s">
        <v>74</v>
      </c>
      <c r="BE137" t="s">
        <v>3005</v>
      </c>
      <c r="BF137" t="str">
        <f>HYPERLINK("http://dx.doi.org/10.5194/bg-20-1505-2023","http://dx.doi.org/10.5194/bg-20-1505-2023")</f>
        <v>http://dx.doi.org/10.5194/bg-20-1505-2023</v>
      </c>
      <c r="BG137" t="s">
        <v>74</v>
      </c>
      <c r="BH137" t="s">
        <v>74</v>
      </c>
      <c r="BI137">
        <v>24</v>
      </c>
      <c r="BJ137" t="s">
        <v>1897</v>
      </c>
      <c r="BK137" t="s">
        <v>103</v>
      </c>
      <c r="BL137" t="s">
        <v>1364</v>
      </c>
      <c r="BM137" t="s">
        <v>3006</v>
      </c>
      <c r="BN137" t="s">
        <v>74</v>
      </c>
      <c r="BO137" t="s">
        <v>359</v>
      </c>
      <c r="BP137" t="s">
        <v>74</v>
      </c>
      <c r="BQ137" t="s">
        <v>74</v>
      </c>
      <c r="BR137" t="s">
        <v>106</v>
      </c>
      <c r="BS137" t="s">
        <v>3007</v>
      </c>
      <c r="BT137" t="str">
        <f>HYPERLINK("https%3A%2F%2Fwww.webofscience.com%2Fwos%2Fwoscc%2Ffull-record%2FWOS:000971264200001","View Full Record in Web of Science")</f>
        <v>View Full Record in Web of Science</v>
      </c>
    </row>
    <row r="138" spans="1:72" x14ac:dyDescent="0.15">
      <c r="A138" t="s">
        <v>72</v>
      </c>
      <c r="B138" t="s">
        <v>3008</v>
      </c>
      <c r="C138" t="s">
        <v>74</v>
      </c>
      <c r="D138" t="s">
        <v>74</v>
      </c>
      <c r="E138" t="s">
        <v>74</v>
      </c>
      <c r="F138" t="s">
        <v>3009</v>
      </c>
      <c r="G138" t="s">
        <v>74</v>
      </c>
      <c r="H138" t="s">
        <v>74</v>
      </c>
      <c r="I138" t="s">
        <v>3010</v>
      </c>
      <c r="J138" t="s">
        <v>3011</v>
      </c>
      <c r="K138" t="s">
        <v>74</v>
      </c>
      <c r="L138" t="s">
        <v>74</v>
      </c>
      <c r="M138" t="s">
        <v>78</v>
      </c>
      <c r="N138" t="s">
        <v>112</v>
      </c>
      <c r="O138" t="s">
        <v>74</v>
      </c>
      <c r="P138" t="s">
        <v>74</v>
      </c>
      <c r="Q138" t="s">
        <v>74</v>
      </c>
      <c r="R138" t="s">
        <v>74</v>
      </c>
      <c r="S138" t="s">
        <v>74</v>
      </c>
      <c r="T138" t="s">
        <v>3012</v>
      </c>
      <c r="U138" t="s">
        <v>3013</v>
      </c>
      <c r="V138" t="s">
        <v>3014</v>
      </c>
      <c r="W138" t="s">
        <v>3015</v>
      </c>
      <c r="X138" t="s">
        <v>3016</v>
      </c>
      <c r="Y138" t="s">
        <v>3017</v>
      </c>
      <c r="Z138" t="s">
        <v>3018</v>
      </c>
      <c r="AA138" t="s">
        <v>3019</v>
      </c>
      <c r="AB138" t="s">
        <v>3020</v>
      </c>
      <c r="AC138" t="s">
        <v>3021</v>
      </c>
      <c r="AD138" t="s">
        <v>3021</v>
      </c>
      <c r="AE138" t="s">
        <v>3022</v>
      </c>
      <c r="AF138" t="s">
        <v>74</v>
      </c>
      <c r="AG138">
        <v>71</v>
      </c>
      <c r="AH138">
        <v>0</v>
      </c>
      <c r="AI138">
        <v>0</v>
      </c>
      <c r="AJ138">
        <v>1</v>
      </c>
      <c r="AK138">
        <v>3</v>
      </c>
      <c r="AL138" t="s">
        <v>700</v>
      </c>
      <c r="AM138" t="s">
        <v>701</v>
      </c>
      <c r="AN138" t="s">
        <v>702</v>
      </c>
      <c r="AO138" t="s">
        <v>74</v>
      </c>
      <c r="AP138" t="s">
        <v>3023</v>
      </c>
      <c r="AQ138" t="s">
        <v>74</v>
      </c>
      <c r="AR138" t="s">
        <v>3024</v>
      </c>
      <c r="AS138" t="s">
        <v>3025</v>
      </c>
      <c r="AT138" t="s">
        <v>2890</v>
      </c>
      <c r="AU138">
        <v>2023</v>
      </c>
      <c r="AV138">
        <v>11</v>
      </c>
      <c r="AW138" t="s">
        <v>74</v>
      </c>
      <c r="AX138" t="s">
        <v>74</v>
      </c>
      <c r="AY138" t="s">
        <v>74</v>
      </c>
      <c r="AZ138" t="s">
        <v>74</v>
      </c>
      <c r="BA138" t="s">
        <v>74</v>
      </c>
      <c r="BB138" t="s">
        <v>74</v>
      </c>
      <c r="BC138" t="s">
        <v>74</v>
      </c>
      <c r="BD138">
        <v>1048754</v>
      </c>
      <c r="BE138" t="s">
        <v>3026</v>
      </c>
      <c r="BF138" t="str">
        <f>HYPERLINK("http://dx.doi.org/10.3389/feart.2023.1048754","http://dx.doi.org/10.3389/feart.2023.1048754")</f>
        <v>http://dx.doi.org/10.3389/feart.2023.1048754</v>
      </c>
      <c r="BG138" t="s">
        <v>74</v>
      </c>
      <c r="BH138" t="s">
        <v>74</v>
      </c>
      <c r="BI138">
        <v>11</v>
      </c>
      <c r="BJ138" t="s">
        <v>261</v>
      </c>
      <c r="BK138" t="s">
        <v>103</v>
      </c>
      <c r="BL138" t="s">
        <v>262</v>
      </c>
      <c r="BM138" t="s">
        <v>3027</v>
      </c>
      <c r="BN138" t="s">
        <v>74</v>
      </c>
      <c r="BO138" t="s">
        <v>359</v>
      </c>
      <c r="BP138" t="s">
        <v>74</v>
      </c>
      <c r="BQ138" t="s">
        <v>74</v>
      </c>
      <c r="BR138" t="s">
        <v>106</v>
      </c>
      <c r="BS138" t="s">
        <v>3028</v>
      </c>
      <c r="BT138" t="str">
        <f>HYPERLINK("https%3A%2F%2Fwww.webofscience.com%2Fwos%2Fwoscc%2Ffull-record%2FWOS:000980215500001","View Full Record in Web of Science")</f>
        <v>View Full Record in Web of Science</v>
      </c>
    </row>
    <row r="139" spans="1:72" x14ac:dyDescent="0.15">
      <c r="A139" t="s">
        <v>72</v>
      </c>
      <c r="B139" t="s">
        <v>3029</v>
      </c>
      <c r="C139" t="s">
        <v>74</v>
      </c>
      <c r="D139" t="s">
        <v>74</v>
      </c>
      <c r="E139" t="s">
        <v>74</v>
      </c>
      <c r="F139" t="s">
        <v>3030</v>
      </c>
      <c r="G139" t="s">
        <v>74</v>
      </c>
      <c r="H139" t="s">
        <v>74</v>
      </c>
      <c r="I139" t="s">
        <v>3031</v>
      </c>
      <c r="J139" t="s">
        <v>1215</v>
      </c>
      <c r="K139" t="s">
        <v>74</v>
      </c>
      <c r="L139" t="s">
        <v>74</v>
      </c>
      <c r="M139" t="s">
        <v>78</v>
      </c>
      <c r="N139" t="s">
        <v>112</v>
      </c>
      <c r="O139" t="s">
        <v>74</v>
      </c>
      <c r="P139" t="s">
        <v>74</v>
      </c>
      <c r="Q139" t="s">
        <v>74</v>
      </c>
      <c r="R139" t="s">
        <v>74</v>
      </c>
      <c r="S139" t="s">
        <v>74</v>
      </c>
      <c r="T139" t="s">
        <v>3032</v>
      </c>
      <c r="U139" t="s">
        <v>3033</v>
      </c>
      <c r="V139" t="s">
        <v>3034</v>
      </c>
      <c r="W139" t="s">
        <v>3035</v>
      </c>
      <c r="X139" t="s">
        <v>3036</v>
      </c>
      <c r="Y139" t="s">
        <v>3037</v>
      </c>
      <c r="Z139" t="s">
        <v>3038</v>
      </c>
      <c r="AA139" t="s">
        <v>3039</v>
      </c>
      <c r="AB139" t="s">
        <v>74</v>
      </c>
      <c r="AC139" t="s">
        <v>3040</v>
      </c>
      <c r="AD139" t="s">
        <v>3041</v>
      </c>
      <c r="AE139" t="s">
        <v>3042</v>
      </c>
      <c r="AF139" t="s">
        <v>74</v>
      </c>
      <c r="AG139">
        <v>64</v>
      </c>
      <c r="AH139">
        <v>0</v>
      </c>
      <c r="AI139">
        <v>0</v>
      </c>
      <c r="AJ139">
        <v>4</v>
      </c>
      <c r="AK139">
        <v>12</v>
      </c>
      <c r="AL139" t="s">
        <v>700</v>
      </c>
      <c r="AM139" t="s">
        <v>701</v>
      </c>
      <c r="AN139" t="s">
        <v>702</v>
      </c>
      <c r="AO139" t="s">
        <v>74</v>
      </c>
      <c r="AP139" t="s">
        <v>1228</v>
      </c>
      <c r="AQ139" t="s">
        <v>74</v>
      </c>
      <c r="AR139" t="s">
        <v>1229</v>
      </c>
      <c r="AS139" t="s">
        <v>1230</v>
      </c>
      <c r="AT139" t="s">
        <v>2890</v>
      </c>
      <c r="AU139">
        <v>2023</v>
      </c>
      <c r="AV139">
        <v>10</v>
      </c>
      <c r="AW139" t="s">
        <v>74</v>
      </c>
      <c r="AX139" t="s">
        <v>74</v>
      </c>
      <c r="AY139" t="s">
        <v>74</v>
      </c>
      <c r="AZ139" t="s">
        <v>74</v>
      </c>
      <c r="BA139" t="s">
        <v>74</v>
      </c>
      <c r="BB139" t="s">
        <v>74</v>
      </c>
      <c r="BC139" t="s">
        <v>74</v>
      </c>
      <c r="BD139">
        <v>1094283</v>
      </c>
      <c r="BE139" t="s">
        <v>3043</v>
      </c>
      <c r="BF139" t="str">
        <f>HYPERLINK("http://dx.doi.org/10.3389/fmars.2023.1094283","http://dx.doi.org/10.3389/fmars.2023.1094283")</f>
        <v>http://dx.doi.org/10.3389/fmars.2023.1094283</v>
      </c>
      <c r="BG139" t="s">
        <v>74</v>
      </c>
      <c r="BH139" t="s">
        <v>74</v>
      </c>
      <c r="BI139">
        <v>12</v>
      </c>
      <c r="BJ139" t="s">
        <v>636</v>
      </c>
      <c r="BK139" t="s">
        <v>103</v>
      </c>
      <c r="BL139" t="s">
        <v>637</v>
      </c>
      <c r="BM139" t="s">
        <v>3044</v>
      </c>
      <c r="BN139" t="s">
        <v>74</v>
      </c>
      <c r="BO139" t="s">
        <v>359</v>
      </c>
      <c r="BP139" t="s">
        <v>74</v>
      </c>
      <c r="BQ139" t="s">
        <v>74</v>
      </c>
      <c r="BR139" t="s">
        <v>106</v>
      </c>
      <c r="BS139" t="s">
        <v>3045</v>
      </c>
      <c r="BT139" t="str">
        <f>HYPERLINK("https%3A%2F%2Fwww.webofscience.com%2Fwos%2Fwoscc%2Ffull-record%2FWOS:000978273200001","View Full Record in Web of Science")</f>
        <v>View Full Record in Web of Science</v>
      </c>
    </row>
    <row r="140" spans="1:72" x14ac:dyDescent="0.15">
      <c r="A140" t="s">
        <v>72</v>
      </c>
      <c r="B140" t="s">
        <v>3046</v>
      </c>
      <c r="C140" t="s">
        <v>74</v>
      </c>
      <c r="D140" t="s">
        <v>74</v>
      </c>
      <c r="E140" t="s">
        <v>74</v>
      </c>
      <c r="F140" t="s">
        <v>3047</v>
      </c>
      <c r="G140" t="s">
        <v>74</v>
      </c>
      <c r="H140" t="s">
        <v>74</v>
      </c>
      <c r="I140" t="s">
        <v>3048</v>
      </c>
      <c r="J140" t="s">
        <v>3049</v>
      </c>
      <c r="K140" t="s">
        <v>74</v>
      </c>
      <c r="L140" t="s">
        <v>74</v>
      </c>
      <c r="M140" t="s">
        <v>78</v>
      </c>
      <c r="N140" t="s">
        <v>112</v>
      </c>
      <c r="O140" t="s">
        <v>74</v>
      </c>
      <c r="P140" t="s">
        <v>74</v>
      </c>
      <c r="Q140" t="s">
        <v>74</v>
      </c>
      <c r="R140" t="s">
        <v>74</v>
      </c>
      <c r="S140" t="s">
        <v>74</v>
      </c>
      <c r="T140" t="s">
        <v>3050</v>
      </c>
      <c r="U140" t="s">
        <v>3051</v>
      </c>
      <c r="V140" t="s">
        <v>3052</v>
      </c>
      <c r="W140" t="s">
        <v>3053</v>
      </c>
      <c r="X140" t="s">
        <v>3054</v>
      </c>
      <c r="Y140" t="s">
        <v>3055</v>
      </c>
      <c r="Z140" t="s">
        <v>3056</v>
      </c>
      <c r="AA140" t="s">
        <v>3057</v>
      </c>
      <c r="AB140" t="s">
        <v>3058</v>
      </c>
      <c r="AC140" t="s">
        <v>3059</v>
      </c>
      <c r="AD140" t="s">
        <v>3060</v>
      </c>
      <c r="AE140" t="s">
        <v>3061</v>
      </c>
      <c r="AF140" t="s">
        <v>74</v>
      </c>
      <c r="AG140">
        <v>68</v>
      </c>
      <c r="AH140">
        <v>1</v>
      </c>
      <c r="AI140">
        <v>1</v>
      </c>
      <c r="AJ140">
        <v>1</v>
      </c>
      <c r="AK140">
        <v>3</v>
      </c>
      <c r="AL140" t="s">
        <v>1101</v>
      </c>
      <c r="AM140" t="s">
        <v>179</v>
      </c>
      <c r="AN140" t="s">
        <v>1543</v>
      </c>
      <c r="AO140" t="s">
        <v>3062</v>
      </c>
      <c r="AP140" t="s">
        <v>3063</v>
      </c>
      <c r="AQ140" t="s">
        <v>74</v>
      </c>
      <c r="AR140" t="s">
        <v>3064</v>
      </c>
      <c r="AS140" t="s">
        <v>3065</v>
      </c>
      <c r="AT140" t="s">
        <v>2890</v>
      </c>
      <c r="AU140">
        <v>2023</v>
      </c>
      <c r="AV140">
        <v>961</v>
      </c>
      <c r="AW140" t="s">
        <v>74</v>
      </c>
      <c r="AX140" t="s">
        <v>74</v>
      </c>
      <c r="AY140" t="s">
        <v>74</v>
      </c>
      <c r="AZ140" t="s">
        <v>74</v>
      </c>
      <c r="BA140" t="s">
        <v>74</v>
      </c>
      <c r="BB140" t="s">
        <v>74</v>
      </c>
      <c r="BC140" t="s">
        <v>74</v>
      </c>
      <c r="BD140" t="s">
        <v>3066</v>
      </c>
      <c r="BE140" t="s">
        <v>3067</v>
      </c>
      <c r="BF140" t="str">
        <f>HYPERLINK("http://dx.doi.org/10.1017/jfm.2023.130","http://dx.doi.org/10.1017/jfm.2023.130")</f>
        <v>http://dx.doi.org/10.1017/jfm.2023.130</v>
      </c>
      <c r="BG140" t="s">
        <v>74</v>
      </c>
      <c r="BH140" t="s">
        <v>74</v>
      </c>
      <c r="BI140">
        <v>40</v>
      </c>
      <c r="BJ140" t="s">
        <v>3068</v>
      </c>
      <c r="BK140" t="s">
        <v>103</v>
      </c>
      <c r="BL140" t="s">
        <v>3069</v>
      </c>
      <c r="BM140" t="s">
        <v>3070</v>
      </c>
      <c r="BN140" t="s">
        <v>74</v>
      </c>
      <c r="BO140" t="s">
        <v>3071</v>
      </c>
      <c r="BP140" t="s">
        <v>74</v>
      </c>
      <c r="BQ140" t="s">
        <v>74</v>
      </c>
      <c r="BR140" t="s">
        <v>106</v>
      </c>
      <c r="BS140" t="s">
        <v>3072</v>
      </c>
      <c r="BT140" t="str">
        <f>HYPERLINK("https%3A%2F%2Fwww.webofscience.com%2Fwos%2Fwoscc%2Ffull-record%2FWOS:000973042200001","View Full Record in Web of Science")</f>
        <v>View Full Record in Web of Science</v>
      </c>
    </row>
    <row r="141" spans="1:72" x14ac:dyDescent="0.15">
      <c r="A141" t="s">
        <v>72</v>
      </c>
      <c r="B141" t="s">
        <v>3073</v>
      </c>
      <c r="C141" t="s">
        <v>74</v>
      </c>
      <c r="D141" t="s">
        <v>74</v>
      </c>
      <c r="E141" t="s">
        <v>74</v>
      </c>
      <c r="F141" t="s">
        <v>3074</v>
      </c>
      <c r="G141" t="s">
        <v>74</v>
      </c>
      <c r="H141" t="s">
        <v>74</v>
      </c>
      <c r="I141" t="s">
        <v>3075</v>
      </c>
      <c r="J141" t="s">
        <v>1089</v>
      </c>
      <c r="K141" t="s">
        <v>74</v>
      </c>
      <c r="L141" t="s">
        <v>74</v>
      </c>
      <c r="M141" t="s">
        <v>78</v>
      </c>
      <c r="N141" t="s">
        <v>112</v>
      </c>
      <c r="O141" t="s">
        <v>74</v>
      </c>
      <c r="P141" t="s">
        <v>74</v>
      </c>
      <c r="Q141" t="s">
        <v>74</v>
      </c>
      <c r="R141" t="s">
        <v>74</v>
      </c>
      <c r="S141" t="s">
        <v>74</v>
      </c>
      <c r="T141" t="s">
        <v>3076</v>
      </c>
      <c r="U141" t="s">
        <v>3077</v>
      </c>
      <c r="V141" t="s">
        <v>3078</v>
      </c>
      <c r="W141" t="s">
        <v>3079</v>
      </c>
      <c r="X141" t="s">
        <v>3080</v>
      </c>
      <c r="Y141" t="s">
        <v>3081</v>
      </c>
      <c r="Z141" t="s">
        <v>3082</v>
      </c>
      <c r="AA141" t="s">
        <v>74</v>
      </c>
      <c r="AB141" t="s">
        <v>3083</v>
      </c>
      <c r="AC141" t="s">
        <v>74</v>
      </c>
      <c r="AD141" t="s">
        <v>74</v>
      </c>
      <c r="AE141" t="s">
        <v>74</v>
      </c>
      <c r="AF141" t="s">
        <v>74</v>
      </c>
      <c r="AG141">
        <v>17</v>
      </c>
      <c r="AH141">
        <v>1</v>
      </c>
      <c r="AI141">
        <v>1</v>
      </c>
      <c r="AJ141">
        <v>0</v>
      </c>
      <c r="AK141">
        <v>0</v>
      </c>
      <c r="AL141" t="s">
        <v>1101</v>
      </c>
      <c r="AM141" t="s">
        <v>1102</v>
      </c>
      <c r="AN141" t="s">
        <v>1103</v>
      </c>
      <c r="AO141" t="s">
        <v>1104</v>
      </c>
      <c r="AP141" t="s">
        <v>1105</v>
      </c>
      <c r="AQ141" t="s">
        <v>74</v>
      </c>
      <c r="AR141" t="s">
        <v>1106</v>
      </c>
      <c r="AS141" t="s">
        <v>1107</v>
      </c>
      <c r="AT141" t="s">
        <v>1108</v>
      </c>
      <c r="AU141">
        <v>2022</v>
      </c>
      <c r="AV141">
        <v>63</v>
      </c>
      <c r="AW141" t="s">
        <v>1109</v>
      </c>
      <c r="AX141" t="s">
        <v>74</v>
      </c>
      <c r="AY141" t="s">
        <v>74</v>
      </c>
      <c r="AZ141" t="s">
        <v>74</v>
      </c>
      <c r="BA141" t="s">
        <v>74</v>
      </c>
      <c r="BB141">
        <v>39</v>
      </c>
      <c r="BC141">
        <v>43</v>
      </c>
      <c r="BD141" t="s">
        <v>74</v>
      </c>
      <c r="BE141" t="s">
        <v>3084</v>
      </c>
      <c r="BF141" t="str">
        <f>HYPERLINK("http://dx.doi.org/10.1017/aog.2023.8","http://dx.doi.org/10.1017/aog.2023.8")</f>
        <v>http://dx.doi.org/10.1017/aog.2023.8</v>
      </c>
      <c r="BG141" t="s">
        <v>74</v>
      </c>
      <c r="BH141" t="s">
        <v>427</v>
      </c>
      <c r="BI141">
        <v>5</v>
      </c>
      <c r="BJ141" t="s">
        <v>801</v>
      </c>
      <c r="BK141" t="s">
        <v>103</v>
      </c>
      <c r="BL141" t="s">
        <v>802</v>
      </c>
      <c r="BM141" t="s">
        <v>1112</v>
      </c>
      <c r="BN141" t="s">
        <v>74</v>
      </c>
      <c r="BO141" t="s">
        <v>359</v>
      </c>
      <c r="BP141" t="s">
        <v>74</v>
      </c>
      <c r="BQ141" t="s">
        <v>74</v>
      </c>
      <c r="BR141" t="s">
        <v>106</v>
      </c>
      <c r="BS141" t="s">
        <v>3085</v>
      </c>
      <c r="BT141" t="str">
        <f>HYPERLINK("https%3A%2F%2Fwww.webofscience.com%2Fwos%2Fwoscc%2Ffull-record%2FWOS:000972155600001","View Full Record in Web of Science")</f>
        <v>View Full Record in Web of Science</v>
      </c>
    </row>
    <row r="142" spans="1:72" x14ac:dyDescent="0.15">
      <c r="A142" t="s">
        <v>72</v>
      </c>
      <c r="B142" t="s">
        <v>3086</v>
      </c>
      <c r="C142" t="s">
        <v>74</v>
      </c>
      <c r="D142" t="s">
        <v>74</v>
      </c>
      <c r="E142" t="s">
        <v>74</v>
      </c>
      <c r="F142" t="s">
        <v>3087</v>
      </c>
      <c r="G142" t="s">
        <v>74</v>
      </c>
      <c r="H142" t="s">
        <v>74</v>
      </c>
      <c r="I142" t="s">
        <v>3088</v>
      </c>
      <c r="J142" t="s">
        <v>3089</v>
      </c>
      <c r="K142" t="s">
        <v>74</v>
      </c>
      <c r="L142" t="s">
        <v>74</v>
      </c>
      <c r="M142" t="s">
        <v>78</v>
      </c>
      <c r="N142" t="s">
        <v>112</v>
      </c>
      <c r="O142" t="s">
        <v>74</v>
      </c>
      <c r="P142" t="s">
        <v>74</v>
      </c>
      <c r="Q142" t="s">
        <v>74</v>
      </c>
      <c r="R142" t="s">
        <v>74</v>
      </c>
      <c r="S142" t="s">
        <v>74</v>
      </c>
      <c r="T142" t="s">
        <v>3090</v>
      </c>
      <c r="U142" t="s">
        <v>3091</v>
      </c>
      <c r="V142" t="s">
        <v>3092</v>
      </c>
      <c r="W142" t="s">
        <v>3093</v>
      </c>
      <c r="X142" t="s">
        <v>3094</v>
      </c>
      <c r="Y142" t="s">
        <v>3095</v>
      </c>
      <c r="Z142" t="s">
        <v>3096</v>
      </c>
      <c r="AA142" t="s">
        <v>74</v>
      </c>
      <c r="AB142" t="s">
        <v>3097</v>
      </c>
      <c r="AC142" t="s">
        <v>74</v>
      </c>
      <c r="AD142" t="s">
        <v>74</v>
      </c>
      <c r="AE142" t="s">
        <v>74</v>
      </c>
      <c r="AF142" t="s">
        <v>74</v>
      </c>
      <c r="AG142">
        <v>80</v>
      </c>
      <c r="AH142">
        <v>0</v>
      </c>
      <c r="AI142">
        <v>0</v>
      </c>
      <c r="AJ142">
        <v>1</v>
      </c>
      <c r="AK142">
        <v>2</v>
      </c>
      <c r="AL142" t="s">
        <v>700</v>
      </c>
      <c r="AM142" t="s">
        <v>701</v>
      </c>
      <c r="AN142" t="s">
        <v>702</v>
      </c>
      <c r="AO142" t="s">
        <v>74</v>
      </c>
      <c r="AP142" t="s">
        <v>3098</v>
      </c>
      <c r="AQ142" t="s">
        <v>74</v>
      </c>
      <c r="AR142" t="s">
        <v>3099</v>
      </c>
      <c r="AS142" t="s">
        <v>3100</v>
      </c>
      <c r="AT142" t="s">
        <v>2890</v>
      </c>
      <c r="AU142">
        <v>2023</v>
      </c>
      <c r="AV142">
        <v>14</v>
      </c>
      <c r="AW142" t="s">
        <v>74</v>
      </c>
      <c r="AX142" t="s">
        <v>74</v>
      </c>
      <c r="AY142" t="s">
        <v>74</v>
      </c>
      <c r="AZ142" t="s">
        <v>74</v>
      </c>
      <c r="BA142" t="s">
        <v>74</v>
      </c>
      <c r="BB142" t="s">
        <v>74</v>
      </c>
      <c r="BC142" t="s">
        <v>74</v>
      </c>
      <c r="BD142">
        <v>1156817</v>
      </c>
      <c r="BE142" t="s">
        <v>3101</v>
      </c>
      <c r="BF142" t="str">
        <f>HYPERLINK("http://dx.doi.org/10.3389/fmicb.2023.1156817","http://dx.doi.org/10.3389/fmicb.2023.1156817")</f>
        <v>http://dx.doi.org/10.3389/fmicb.2023.1156817</v>
      </c>
      <c r="BG142" t="s">
        <v>74</v>
      </c>
      <c r="BH142" t="s">
        <v>74</v>
      </c>
      <c r="BI142">
        <v>21</v>
      </c>
      <c r="BJ142" t="s">
        <v>1387</v>
      </c>
      <c r="BK142" t="s">
        <v>103</v>
      </c>
      <c r="BL142" t="s">
        <v>1387</v>
      </c>
      <c r="BM142" t="s">
        <v>3102</v>
      </c>
      <c r="BN142">
        <v>37125210</v>
      </c>
      <c r="BO142" t="s">
        <v>614</v>
      </c>
      <c r="BP142" t="s">
        <v>74</v>
      </c>
      <c r="BQ142" t="s">
        <v>74</v>
      </c>
      <c r="BR142" t="s">
        <v>106</v>
      </c>
      <c r="BS142" t="s">
        <v>3103</v>
      </c>
      <c r="BT142" t="str">
        <f>HYPERLINK("https%3A%2F%2Fwww.webofscience.com%2Fwos%2Fwoscc%2Ffull-record%2FWOS:000975738700001","View Full Record in Web of Science")</f>
        <v>View Full Record in Web of Science</v>
      </c>
    </row>
    <row r="143" spans="1:72" x14ac:dyDescent="0.15">
      <c r="A143" t="s">
        <v>72</v>
      </c>
      <c r="B143" t="s">
        <v>3104</v>
      </c>
      <c r="C143" t="s">
        <v>74</v>
      </c>
      <c r="D143" t="s">
        <v>74</v>
      </c>
      <c r="E143" t="s">
        <v>74</v>
      </c>
      <c r="F143" t="s">
        <v>3105</v>
      </c>
      <c r="G143" t="s">
        <v>74</v>
      </c>
      <c r="H143" t="s">
        <v>74</v>
      </c>
      <c r="I143" t="s">
        <v>3106</v>
      </c>
      <c r="J143" t="s">
        <v>3107</v>
      </c>
      <c r="K143" t="s">
        <v>74</v>
      </c>
      <c r="L143" t="s">
        <v>74</v>
      </c>
      <c r="M143" t="s">
        <v>78</v>
      </c>
      <c r="N143" t="s">
        <v>1754</v>
      </c>
      <c r="O143" t="s">
        <v>74</v>
      </c>
      <c r="P143" t="s">
        <v>74</v>
      </c>
      <c r="Q143" t="s">
        <v>74</v>
      </c>
      <c r="R143" t="s">
        <v>74</v>
      </c>
      <c r="S143" t="s">
        <v>74</v>
      </c>
      <c r="T143" t="s">
        <v>3108</v>
      </c>
      <c r="U143" t="s">
        <v>3109</v>
      </c>
      <c r="V143" t="s">
        <v>3110</v>
      </c>
      <c r="W143" t="s">
        <v>3111</v>
      </c>
      <c r="X143" t="s">
        <v>3112</v>
      </c>
      <c r="Y143" t="s">
        <v>3113</v>
      </c>
      <c r="Z143" t="s">
        <v>3114</v>
      </c>
      <c r="AA143" t="s">
        <v>74</v>
      </c>
      <c r="AB143" t="s">
        <v>3115</v>
      </c>
      <c r="AC143" t="s">
        <v>3116</v>
      </c>
      <c r="AD143" t="s">
        <v>3117</v>
      </c>
      <c r="AE143" t="s">
        <v>3118</v>
      </c>
      <c r="AF143" t="s">
        <v>74</v>
      </c>
      <c r="AG143">
        <v>56</v>
      </c>
      <c r="AH143">
        <v>2</v>
      </c>
      <c r="AI143">
        <v>2</v>
      </c>
      <c r="AJ143">
        <v>21</v>
      </c>
      <c r="AK143">
        <v>40</v>
      </c>
      <c r="AL143" t="s">
        <v>3119</v>
      </c>
      <c r="AM143" t="s">
        <v>306</v>
      </c>
      <c r="AN143" t="s">
        <v>3120</v>
      </c>
      <c r="AO143" t="s">
        <v>3121</v>
      </c>
      <c r="AP143" t="s">
        <v>3122</v>
      </c>
      <c r="AQ143" t="s">
        <v>74</v>
      </c>
      <c r="AR143" t="s">
        <v>3123</v>
      </c>
      <c r="AS143" t="s">
        <v>3124</v>
      </c>
      <c r="AT143" t="s">
        <v>3125</v>
      </c>
      <c r="AU143">
        <v>2023</v>
      </c>
      <c r="AV143" t="s">
        <v>74</v>
      </c>
      <c r="AW143" t="s">
        <v>74</v>
      </c>
      <c r="AX143" t="s">
        <v>74</v>
      </c>
      <c r="AY143" t="s">
        <v>74</v>
      </c>
      <c r="AZ143" t="s">
        <v>74</v>
      </c>
      <c r="BA143" t="s">
        <v>74</v>
      </c>
      <c r="BB143" t="s">
        <v>74</v>
      </c>
      <c r="BC143" t="s">
        <v>74</v>
      </c>
      <c r="BD143" t="s">
        <v>74</v>
      </c>
      <c r="BE143" t="s">
        <v>3126</v>
      </c>
      <c r="BF143" t="str">
        <f>HYPERLINK("http://dx.doi.org/10.1021/acs.jafc.3c00159","http://dx.doi.org/10.1021/acs.jafc.3c00159")</f>
        <v>http://dx.doi.org/10.1021/acs.jafc.3c00159</v>
      </c>
      <c r="BG143" t="s">
        <v>74</v>
      </c>
      <c r="BH143" t="s">
        <v>427</v>
      </c>
      <c r="BI143">
        <v>13</v>
      </c>
      <c r="BJ143" t="s">
        <v>3127</v>
      </c>
      <c r="BK143" t="s">
        <v>103</v>
      </c>
      <c r="BL143" t="s">
        <v>3128</v>
      </c>
      <c r="BM143" t="s">
        <v>3129</v>
      </c>
      <c r="BN143">
        <v>37057995</v>
      </c>
      <c r="BO143" t="s">
        <v>74</v>
      </c>
      <c r="BP143" t="s">
        <v>74</v>
      </c>
      <c r="BQ143" t="s">
        <v>74</v>
      </c>
      <c r="BR143" t="s">
        <v>106</v>
      </c>
      <c r="BS143" t="s">
        <v>3130</v>
      </c>
      <c r="BT143" t="str">
        <f>HYPERLINK("https%3A%2F%2Fwww.webofscience.com%2Fwos%2Fwoscc%2Ffull-record%2FWOS:000972545600001","View Full Record in Web of Science")</f>
        <v>View Full Record in Web of Science</v>
      </c>
    </row>
    <row r="144" spans="1:72" x14ac:dyDescent="0.15">
      <c r="A144" t="s">
        <v>72</v>
      </c>
      <c r="B144" t="s">
        <v>3131</v>
      </c>
      <c r="C144" t="s">
        <v>74</v>
      </c>
      <c r="D144" t="s">
        <v>74</v>
      </c>
      <c r="E144" t="s">
        <v>74</v>
      </c>
      <c r="F144" t="s">
        <v>3132</v>
      </c>
      <c r="G144" t="s">
        <v>74</v>
      </c>
      <c r="H144" t="s">
        <v>74</v>
      </c>
      <c r="I144" t="s">
        <v>3133</v>
      </c>
      <c r="J144" t="s">
        <v>759</v>
      </c>
      <c r="K144" t="s">
        <v>74</v>
      </c>
      <c r="L144" t="s">
        <v>74</v>
      </c>
      <c r="M144" t="s">
        <v>78</v>
      </c>
      <c r="N144" t="s">
        <v>365</v>
      </c>
      <c r="O144" t="s">
        <v>74</v>
      </c>
      <c r="P144" t="s">
        <v>74</v>
      </c>
      <c r="Q144" t="s">
        <v>74</v>
      </c>
      <c r="R144" t="s">
        <v>74</v>
      </c>
      <c r="S144" t="s">
        <v>74</v>
      </c>
      <c r="T144" t="s">
        <v>3134</v>
      </c>
      <c r="U144" t="s">
        <v>3135</v>
      </c>
      <c r="V144" t="s">
        <v>3136</v>
      </c>
      <c r="W144" t="s">
        <v>3137</v>
      </c>
      <c r="X144" t="s">
        <v>3138</v>
      </c>
      <c r="Y144" t="s">
        <v>3139</v>
      </c>
      <c r="Z144" t="s">
        <v>3140</v>
      </c>
      <c r="AA144" t="s">
        <v>3141</v>
      </c>
      <c r="AB144" t="s">
        <v>3142</v>
      </c>
      <c r="AC144" t="s">
        <v>74</v>
      </c>
      <c r="AD144" t="s">
        <v>74</v>
      </c>
      <c r="AE144" t="s">
        <v>74</v>
      </c>
      <c r="AF144" t="s">
        <v>74</v>
      </c>
      <c r="AG144">
        <v>82</v>
      </c>
      <c r="AH144">
        <v>1</v>
      </c>
      <c r="AI144">
        <v>2</v>
      </c>
      <c r="AJ144">
        <v>17</v>
      </c>
      <c r="AK144">
        <v>27</v>
      </c>
      <c r="AL144" t="s">
        <v>768</v>
      </c>
      <c r="AM144" t="s">
        <v>179</v>
      </c>
      <c r="AN144" t="s">
        <v>769</v>
      </c>
      <c r="AO144" t="s">
        <v>770</v>
      </c>
      <c r="AP144" t="s">
        <v>771</v>
      </c>
      <c r="AQ144" t="s">
        <v>74</v>
      </c>
      <c r="AR144" t="s">
        <v>772</v>
      </c>
      <c r="AS144" t="s">
        <v>773</v>
      </c>
      <c r="AT144" t="s">
        <v>98</v>
      </c>
      <c r="AU144">
        <v>2023</v>
      </c>
      <c r="AV144">
        <v>46</v>
      </c>
      <c r="AW144">
        <v>5</v>
      </c>
      <c r="AX144" t="s">
        <v>74</v>
      </c>
      <c r="AY144" t="s">
        <v>74</v>
      </c>
      <c r="AZ144" t="s">
        <v>74</v>
      </c>
      <c r="BA144" t="s">
        <v>74</v>
      </c>
      <c r="BB144">
        <v>381</v>
      </c>
      <c r="BC144">
        <v>396</v>
      </c>
      <c r="BD144" t="s">
        <v>74</v>
      </c>
      <c r="BE144" t="s">
        <v>3143</v>
      </c>
      <c r="BF144" t="str">
        <f>HYPERLINK("http://dx.doi.org/10.1007/s00300-023-03137-5","http://dx.doi.org/10.1007/s00300-023-03137-5")</f>
        <v>http://dx.doi.org/10.1007/s00300-023-03137-5</v>
      </c>
      <c r="BG144" t="s">
        <v>74</v>
      </c>
      <c r="BH144" t="s">
        <v>427</v>
      </c>
      <c r="BI144">
        <v>16</v>
      </c>
      <c r="BJ144" t="s">
        <v>775</v>
      </c>
      <c r="BK144" t="s">
        <v>103</v>
      </c>
      <c r="BL144" t="s">
        <v>776</v>
      </c>
      <c r="BM144" t="s">
        <v>1265</v>
      </c>
      <c r="BN144" t="s">
        <v>74</v>
      </c>
      <c r="BO144" t="s">
        <v>74</v>
      </c>
      <c r="BP144" t="s">
        <v>74</v>
      </c>
      <c r="BQ144" t="s">
        <v>74</v>
      </c>
      <c r="BR144" t="s">
        <v>106</v>
      </c>
      <c r="BS144" t="s">
        <v>3144</v>
      </c>
      <c r="BT144" t="str">
        <f>HYPERLINK("https%3A%2F%2Fwww.webofscience.com%2Fwos%2Fwoscc%2Ffull-record%2FWOS:000968270900001","View Full Record in Web of Science")</f>
        <v>View Full Record in Web of Science</v>
      </c>
    </row>
    <row r="145" spans="1:72" x14ac:dyDescent="0.15">
      <c r="A145" t="s">
        <v>72</v>
      </c>
      <c r="B145" t="s">
        <v>3145</v>
      </c>
      <c r="C145" t="s">
        <v>74</v>
      </c>
      <c r="D145" t="s">
        <v>74</v>
      </c>
      <c r="E145" t="s">
        <v>74</v>
      </c>
      <c r="F145" t="s">
        <v>3146</v>
      </c>
      <c r="G145" t="s">
        <v>74</v>
      </c>
      <c r="H145" t="s">
        <v>74</v>
      </c>
      <c r="I145" t="s">
        <v>3147</v>
      </c>
      <c r="J145" t="s">
        <v>3148</v>
      </c>
      <c r="K145" t="s">
        <v>74</v>
      </c>
      <c r="L145" t="s">
        <v>74</v>
      </c>
      <c r="M145" t="s">
        <v>78</v>
      </c>
      <c r="N145" t="s">
        <v>112</v>
      </c>
      <c r="O145" t="s">
        <v>74</v>
      </c>
      <c r="P145" t="s">
        <v>74</v>
      </c>
      <c r="Q145" t="s">
        <v>74</v>
      </c>
      <c r="R145" t="s">
        <v>74</v>
      </c>
      <c r="S145" t="s">
        <v>74</v>
      </c>
      <c r="T145" t="s">
        <v>74</v>
      </c>
      <c r="U145" t="s">
        <v>3149</v>
      </c>
      <c r="V145" t="s">
        <v>3150</v>
      </c>
      <c r="W145" t="s">
        <v>3151</v>
      </c>
      <c r="X145" t="s">
        <v>3152</v>
      </c>
      <c r="Y145" t="s">
        <v>3153</v>
      </c>
      <c r="Z145" t="s">
        <v>3154</v>
      </c>
      <c r="AA145" t="s">
        <v>3155</v>
      </c>
      <c r="AB145" t="s">
        <v>3156</v>
      </c>
      <c r="AC145" t="s">
        <v>3157</v>
      </c>
      <c r="AD145" t="s">
        <v>3158</v>
      </c>
      <c r="AE145" t="s">
        <v>3159</v>
      </c>
      <c r="AF145" t="s">
        <v>74</v>
      </c>
      <c r="AG145">
        <v>36</v>
      </c>
      <c r="AH145">
        <v>0</v>
      </c>
      <c r="AI145">
        <v>0</v>
      </c>
      <c r="AJ145">
        <v>3</v>
      </c>
      <c r="AK145">
        <v>6</v>
      </c>
      <c r="AL145" t="s">
        <v>3160</v>
      </c>
      <c r="AM145" t="s">
        <v>3161</v>
      </c>
      <c r="AN145" t="s">
        <v>3162</v>
      </c>
      <c r="AO145" t="s">
        <v>3163</v>
      </c>
      <c r="AP145" t="s">
        <v>3164</v>
      </c>
      <c r="AQ145" t="s">
        <v>74</v>
      </c>
      <c r="AR145" t="s">
        <v>3148</v>
      </c>
      <c r="AS145" t="s">
        <v>262</v>
      </c>
      <c r="AT145" t="s">
        <v>3165</v>
      </c>
      <c r="AU145">
        <v>2023</v>
      </c>
      <c r="AV145">
        <v>51</v>
      </c>
      <c r="AW145">
        <v>6</v>
      </c>
      <c r="AX145" t="s">
        <v>74</v>
      </c>
      <c r="AY145" t="s">
        <v>74</v>
      </c>
      <c r="AZ145" t="s">
        <v>74</v>
      </c>
      <c r="BA145" t="s">
        <v>74</v>
      </c>
      <c r="BB145">
        <v>554</v>
      </c>
      <c r="BC145">
        <v>558</v>
      </c>
      <c r="BD145" t="s">
        <v>74</v>
      </c>
      <c r="BE145" t="s">
        <v>3166</v>
      </c>
      <c r="BF145" t="str">
        <f>HYPERLINK("http://dx.doi.org/10.1130/G50927.1","http://dx.doi.org/10.1130/G50927.1")</f>
        <v>http://dx.doi.org/10.1130/G50927.1</v>
      </c>
      <c r="BG145" t="s">
        <v>74</v>
      </c>
      <c r="BH145" t="s">
        <v>427</v>
      </c>
      <c r="BI145">
        <v>5</v>
      </c>
      <c r="BJ145" t="s">
        <v>262</v>
      </c>
      <c r="BK145" t="s">
        <v>103</v>
      </c>
      <c r="BL145" t="s">
        <v>262</v>
      </c>
      <c r="BM145" t="s">
        <v>3167</v>
      </c>
      <c r="BN145" t="s">
        <v>74</v>
      </c>
      <c r="BO145" t="s">
        <v>3168</v>
      </c>
      <c r="BP145" t="s">
        <v>74</v>
      </c>
      <c r="BQ145" t="s">
        <v>74</v>
      </c>
      <c r="BR145" t="s">
        <v>106</v>
      </c>
      <c r="BS145" t="s">
        <v>3169</v>
      </c>
      <c r="BT145" t="str">
        <f>HYPERLINK("https%3A%2F%2Fwww.webofscience.com%2Fwos%2Fwoscc%2Ffull-record%2FWOS:000982534500001","View Full Record in Web of Science")</f>
        <v>View Full Record in Web of Science</v>
      </c>
    </row>
    <row r="146" spans="1:72" x14ac:dyDescent="0.15">
      <c r="A146" t="s">
        <v>72</v>
      </c>
      <c r="B146" t="s">
        <v>3170</v>
      </c>
      <c r="C146" t="s">
        <v>74</v>
      </c>
      <c r="D146" t="s">
        <v>74</v>
      </c>
      <c r="E146" t="s">
        <v>74</v>
      </c>
      <c r="F146" t="s">
        <v>3171</v>
      </c>
      <c r="G146" t="s">
        <v>74</v>
      </c>
      <c r="H146" t="s">
        <v>74</v>
      </c>
      <c r="I146" t="s">
        <v>3172</v>
      </c>
      <c r="J146" t="s">
        <v>1146</v>
      </c>
      <c r="K146" t="s">
        <v>74</v>
      </c>
      <c r="L146" t="s">
        <v>74</v>
      </c>
      <c r="M146" t="s">
        <v>78</v>
      </c>
      <c r="N146" t="s">
        <v>112</v>
      </c>
      <c r="O146" t="s">
        <v>74</v>
      </c>
      <c r="P146" t="s">
        <v>74</v>
      </c>
      <c r="Q146" t="s">
        <v>74</v>
      </c>
      <c r="R146" t="s">
        <v>74</v>
      </c>
      <c r="S146" t="s">
        <v>74</v>
      </c>
      <c r="T146" t="s">
        <v>3173</v>
      </c>
      <c r="U146" t="s">
        <v>3174</v>
      </c>
      <c r="V146" t="s">
        <v>3175</v>
      </c>
      <c r="W146" t="s">
        <v>3176</v>
      </c>
      <c r="X146" t="s">
        <v>3177</v>
      </c>
      <c r="Y146" t="s">
        <v>3178</v>
      </c>
      <c r="Z146" t="s">
        <v>3179</v>
      </c>
      <c r="AA146" t="s">
        <v>3180</v>
      </c>
      <c r="AB146" t="s">
        <v>3181</v>
      </c>
      <c r="AC146" t="s">
        <v>3182</v>
      </c>
      <c r="AD146" t="s">
        <v>3183</v>
      </c>
      <c r="AE146" t="s">
        <v>3184</v>
      </c>
      <c r="AF146" t="s">
        <v>74</v>
      </c>
      <c r="AG146">
        <v>49</v>
      </c>
      <c r="AH146">
        <v>1</v>
      </c>
      <c r="AI146">
        <v>1</v>
      </c>
      <c r="AJ146">
        <v>4</v>
      </c>
      <c r="AK146">
        <v>8</v>
      </c>
      <c r="AL146" t="s">
        <v>225</v>
      </c>
      <c r="AM146" t="s">
        <v>226</v>
      </c>
      <c r="AN146" t="s">
        <v>227</v>
      </c>
      <c r="AO146" t="s">
        <v>1159</v>
      </c>
      <c r="AP146" t="s">
        <v>1160</v>
      </c>
      <c r="AQ146" t="s">
        <v>74</v>
      </c>
      <c r="AR146" t="s">
        <v>1146</v>
      </c>
      <c r="AS146" t="s">
        <v>1161</v>
      </c>
      <c r="AT146" t="s">
        <v>570</v>
      </c>
      <c r="AU146">
        <v>2023</v>
      </c>
      <c r="AV146">
        <v>329</v>
      </c>
      <c r="AW146" t="s">
        <v>74</v>
      </c>
      <c r="AX146" t="s">
        <v>74</v>
      </c>
      <c r="AY146" t="s">
        <v>74</v>
      </c>
      <c r="AZ146" t="s">
        <v>74</v>
      </c>
      <c r="BA146" t="s">
        <v>74</v>
      </c>
      <c r="BB146" t="s">
        <v>74</v>
      </c>
      <c r="BC146" t="s">
        <v>74</v>
      </c>
      <c r="BD146">
        <v>138674</v>
      </c>
      <c r="BE146" t="s">
        <v>3185</v>
      </c>
      <c r="BF146" t="str">
        <f>HYPERLINK("http://dx.doi.org/10.1016/j.chemosphere.2023.138674","http://dx.doi.org/10.1016/j.chemosphere.2023.138674")</f>
        <v>http://dx.doi.org/10.1016/j.chemosphere.2023.138674</v>
      </c>
      <c r="BG146" t="s">
        <v>74</v>
      </c>
      <c r="BH146" t="s">
        <v>427</v>
      </c>
      <c r="BI146">
        <v>10</v>
      </c>
      <c r="BJ146" t="s">
        <v>1163</v>
      </c>
      <c r="BK146" t="s">
        <v>103</v>
      </c>
      <c r="BL146" t="s">
        <v>1164</v>
      </c>
      <c r="BM146" t="s">
        <v>3186</v>
      </c>
      <c r="BN146">
        <v>37054845</v>
      </c>
      <c r="BO146" t="s">
        <v>387</v>
      </c>
      <c r="BP146" t="s">
        <v>74</v>
      </c>
      <c r="BQ146" t="s">
        <v>74</v>
      </c>
      <c r="BR146" t="s">
        <v>106</v>
      </c>
      <c r="BS146" t="s">
        <v>3187</v>
      </c>
      <c r="BT146" t="str">
        <f>HYPERLINK("https%3A%2F%2Fwww.webofscience.com%2Fwos%2Fwoscc%2Ffull-record%2FWOS:000983642000001","View Full Record in Web of Science")</f>
        <v>View Full Record in Web of Science</v>
      </c>
    </row>
    <row r="147" spans="1:72" x14ac:dyDescent="0.15">
      <c r="A147" t="s">
        <v>72</v>
      </c>
      <c r="B147" t="s">
        <v>3188</v>
      </c>
      <c r="C147" t="s">
        <v>74</v>
      </c>
      <c r="D147" t="s">
        <v>74</v>
      </c>
      <c r="E147" t="s">
        <v>74</v>
      </c>
      <c r="F147" t="s">
        <v>3189</v>
      </c>
      <c r="G147" t="s">
        <v>74</v>
      </c>
      <c r="H147" t="s">
        <v>74</v>
      </c>
      <c r="I147" t="s">
        <v>3190</v>
      </c>
      <c r="J147" t="s">
        <v>3191</v>
      </c>
      <c r="K147" t="s">
        <v>74</v>
      </c>
      <c r="L147" t="s">
        <v>74</v>
      </c>
      <c r="M147" t="s">
        <v>78</v>
      </c>
      <c r="N147" t="s">
        <v>3192</v>
      </c>
      <c r="O147" t="s">
        <v>74</v>
      </c>
      <c r="P147" t="s">
        <v>74</v>
      </c>
      <c r="Q147" t="s">
        <v>74</v>
      </c>
      <c r="R147" t="s">
        <v>74</v>
      </c>
      <c r="S147" t="s">
        <v>74</v>
      </c>
      <c r="T147" t="s">
        <v>74</v>
      </c>
      <c r="U147" t="s">
        <v>74</v>
      </c>
      <c r="V147" t="s">
        <v>74</v>
      </c>
      <c r="W147" t="s">
        <v>3193</v>
      </c>
      <c r="X147" t="s">
        <v>2244</v>
      </c>
      <c r="Y147" t="s">
        <v>3194</v>
      </c>
      <c r="Z147" t="s">
        <v>3195</v>
      </c>
      <c r="AA147" t="s">
        <v>3196</v>
      </c>
      <c r="AB147" t="s">
        <v>74</v>
      </c>
      <c r="AC147" t="s">
        <v>74</v>
      </c>
      <c r="AD147" t="s">
        <v>74</v>
      </c>
      <c r="AE147" t="s">
        <v>74</v>
      </c>
      <c r="AF147" t="s">
        <v>74</v>
      </c>
      <c r="AG147">
        <v>0</v>
      </c>
      <c r="AH147">
        <v>0</v>
      </c>
      <c r="AI147">
        <v>0</v>
      </c>
      <c r="AJ147">
        <v>0</v>
      </c>
      <c r="AK147">
        <v>1</v>
      </c>
      <c r="AL147" t="s">
        <v>768</v>
      </c>
      <c r="AM147" t="s">
        <v>2866</v>
      </c>
      <c r="AN147" t="s">
        <v>2867</v>
      </c>
      <c r="AO147" t="s">
        <v>3197</v>
      </c>
      <c r="AP147" t="s">
        <v>3198</v>
      </c>
      <c r="AQ147" t="s">
        <v>74</v>
      </c>
      <c r="AR147" t="s">
        <v>3199</v>
      </c>
      <c r="AS147" t="s">
        <v>3200</v>
      </c>
      <c r="AT147" t="s">
        <v>98</v>
      </c>
      <c r="AU147">
        <v>2023</v>
      </c>
      <c r="AV147">
        <v>28</v>
      </c>
      <c r="AW147">
        <v>3</v>
      </c>
      <c r="AX147" t="s">
        <v>74</v>
      </c>
      <c r="AY147" t="s">
        <v>74</v>
      </c>
      <c r="AZ147" t="s">
        <v>74</v>
      </c>
      <c r="BA147" t="s">
        <v>74</v>
      </c>
      <c r="BB147">
        <v>221</v>
      </c>
      <c r="BC147">
        <v>221</v>
      </c>
      <c r="BD147" t="s">
        <v>74</v>
      </c>
      <c r="BE147" t="s">
        <v>3201</v>
      </c>
      <c r="BF147" t="str">
        <f>HYPERLINK("http://dx.doi.org/10.1007/s12192-023-01344-x","http://dx.doi.org/10.1007/s12192-023-01344-x")</f>
        <v>http://dx.doi.org/10.1007/s12192-023-01344-x</v>
      </c>
      <c r="BG147" t="s">
        <v>74</v>
      </c>
      <c r="BH147" t="s">
        <v>427</v>
      </c>
      <c r="BI147">
        <v>1</v>
      </c>
      <c r="BJ147" t="s">
        <v>2947</v>
      </c>
      <c r="BK147" t="s">
        <v>103</v>
      </c>
      <c r="BL147" t="s">
        <v>2947</v>
      </c>
      <c r="BM147" t="s">
        <v>3202</v>
      </c>
      <c r="BN147">
        <v>37052763</v>
      </c>
      <c r="BO147" t="s">
        <v>1748</v>
      </c>
      <c r="BP147" t="s">
        <v>74</v>
      </c>
      <c r="BQ147" t="s">
        <v>74</v>
      </c>
      <c r="BR147" t="s">
        <v>106</v>
      </c>
      <c r="BS147" t="s">
        <v>3203</v>
      </c>
      <c r="BT147" t="str">
        <f>HYPERLINK("https%3A%2F%2Fwww.webofscience.com%2Fwos%2Fwoscc%2Ffull-record%2FWOS:000971712000002","View Full Record in Web of Science")</f>
        <v>View Full Record in Web of Science</v>
      </c>
    </row>
    <row r="148" spans="1:72" x14ac:dyDescent="0.15">
      <c r="A148" t="s">
        <v>72</v>
      </c>
      <c r="B148" t="s">
        <v>3204</v>
      </c>
      <c r="C148" t="s">
        <v>74</v>
      </c>
      <c r="D148" t="s">
        <v>74</v>
      </c>
      <c r="E148" t="s">
        <v>74</v>
      </c>
      <c r="F148" t="s">
        <v>3205</v>
      </c>
      <c r="G148" t="s">
        <v>74</v>
      </c>
      <c r="H148" t="s">
        <v>74</v>
      </c>
      <c r="I148" t="s">
        <v>3206</v>
      </c>
      <c r="J148" t="s">
        <v>3207</v>
      </c>
      <c r="K148" t="s">
        <v>74</v>
      </c>
      <c r="L148" t="s">
        <v>74</v>
      </c>
      <c r="M148" t="s">
        <v>78</v>
      </c>
      <c r="N148" t="s">
        <v>112</v>
      </c>
      <c r="O148" t="s">
        <v>74</v>
      </c>
      <c r="P148" t="s">
        <v>74</v>
      </c>
      <c r="Q148" t="s">
        <v>74</v>
      </c>
      <c r="R148" t="s">
        <v>74</v>
      </c>
      <c r="S148" t="s">
        <v>74</v>
      </c>
      <c r="T148" t="s">
        <v>3208</v>
      </c>
      <c r="U148" t="s">
        <v>3209</v>
      </c>
      <c r="V148" t="s">
        <v>3210</v>
      </c>
      <c r="W148" t="s">
        <v>3211</v>
      </c>
      <c r="X148" t="s">
        <v>3212</v>
      </c>
      <c r="Y148" t="s">
        <v>3213</v>
      </c>
      <c r="Z148" t="s">
        <v>3214</v>
      </c>
      <c r="AA148" t="s">
        <v>74</v>
      </c>
      <c r="AB148" t="s">
        <v>3215</v>
      </c>
      <c r="AC148" t="s">
        <v>3216</v>
      </c>
      <c r="AD148" t="s">
        <v>3216</v>
      </c>
      <c r="AE148" t="s">
        <v>3216</v>
      </c>
      <c r="AF148" t="s">
        <v>74</v>
      </c>
      <c r="AG148">
        <v>41</v>
      </c>
      <c r="AH148">
        <v>0</v>
      </c>
      <c r="AI148">
        <v>0</v>
      </c>
      <c r="AJ148">
        <v>1</v>
      </c>
      <c r="AK148">
        <v>2</v>
      </c>
      <c r="AL148" t="s">
        <v>2092</v>
      </c>
      <c r="AM148" t="s">
        <v>2093</v>
      </c>
      <c r="AN148" t="s">
        <v>2094</v>
      </c>
      <c r="AO148" t="s">
        <v>3217</v>
      </c>
      <c r="AP148" t="s">
        <v>3218</v>
      </c>
      <c r="AQ148" t="s">
        <v>74</v>
      </c>
      <c r="AR148" t="s">
        <v>3219</v>
      </c>
      <c r="AS148" t="s">
        <v>3220</v>
      </c>
      <c r="AT148" t="s">
        <v>232</v>
      </c>
      <c r="AU148">
        <v>2023</v>
      </c>
      <c r="AV148">
        <v>30</v>
      </c>
      <c r="AW148">
        <v>3</v>
      </c>
      <c r="AX148" t="s">
        <v>74</v>
      </c>
      <c r="AY148" t="s">
        <v>74</v>
      </c>
      <c r="AZ148" t="s">
        <v>74</v>
      </c>
      <c r="BA148" t="s">
        <v>74</v>
      </c>
      <c r="BB148">
        <v>323</v>
      </c>
      <c r="BC148">
        <v>331</v>
      </c>
      <c r="BD148" t="s">
        <v>74</v>
      </c>
      <c r="BE148" t="s">
        <v>3221</v>
      </c>
      <c r="BF148" t="str">
        <f>HYPERLINK("http://dx.doi.org/10.1111/fme.12625","http://dx.doi.org/10.1111/fme.12625")</f>
        <v>http://dx.doi.org/10.1111/fme.12625</v>
      </c>
      <c r="BG148" t="s">
        <v>74</v>
      </c>
      <c r="BH148" t="s">
        <v>427</v>
      </c>
      <c r="BI148">
        <v>9</v>
      </c>
      <c r="BJ148" t="s">
        <v>3222</v>
      </c>
      <c r="BK148" t="s">
        <v>103</v>
      </c>
      <c r="BL148" t="s">
        <v>3222</v>
      </c>
      <c r="BM148" t="s">
        <v>3223</v>
      </c>
      <c r="BN148" t="s">
        <v>74</v>
      </c>
      <c r="BO148" t="s">
        <v>387</v>
      </c>
      <c r="BP148" t="s">
        <v>74</v>
      </c>
      <c r="BQ148" t="s">
        <v>74</v>
      </c>
      <c r="BR148" t="s">
        <v>106</v>
      </c>
      <c r="BS148" t="s">
        <v>3224</v>
      </c>
      <c r="BT148" t="str">
        <f>HYPERLINK("https%3A%2F%2Fwww.webofscience.com%2Fwos%2Fwoscc%2Ffull-record%2FWOS:000970404400001","View Full Record in Web of Science")</f>
        <v>View Full Record in Web of Science</v>
      </c>
    </row>
    <row r="149" spans="1:72" x14ac:dyDescent="0.15">
      <c r="A149" t="s">
        <v>72</v>
      </c>
      <c r="B149" t="s">
        <v>3225</v>
      </c>
      <c r="C149" t="s">
        <v>74</v>
      </c>
      <c r="D149" t="s">
        <v>74</v>
      </c>
      <c r="E149" t="s">
        <v>74</v>
      </c>
      <c r="F149" t="s">
        <v>3226</v>
      </c>
      <c r="G149" t="s">
        <v>74</v>
      </c>
      <c r="H149" t="s">
        <v>74</v>
      </c>
      <c r="I149" t="s">
        <v>3227</v>
      </c>
      <c r="J149" t="s">
        <v>782</v>
      </c>
      <c r="K149" t="s">
        <v>74</v>
      </c>
      <c r="L149" t="s">
        <v>74</v>
      </c>
      <c r="M149" t="s">
        <v>78</v>
      </c>
      <c r="N149" t="s">
        <v>112</v>
      </c>
      <c r="O149" t="s">
        <v>74</v>
      </c>
      <c r="P149" t="s">
        <v>74</v>
      </c>
      <c r="Q149" t="s">
        <v>74</v>
      </c>
      <c r="R149" t="s">
        <v>74</v>
      </c>
      <c r="S149" t="s">
        <v>74</v>
      </c>
      <c r="T149" t="s">
        <v>74</v>
      </c>
      <c r="U149" t="s">
        <v>3228</v>
      </c>
      <c r="V149" t="s">
        <v>3229</v>
      </c>
      <c r="W149" t="s">
        <v>3230</v>
      </c>
      <c r="X149" t="s">
        <v>3231</v>
      </c>
      <c r="Y149" t="s">
        <v>3232</v>
      </c>
      <c r="Z149" t="s">
        <v>3233</v>
      </c>
      <c r="AA149" t="s">
        <v>3234</v>
      </c>
      <c r="AB149" t="s">
        <v>74</v>
      </c>
      <c r="AC149" t="s">
        <v>3235</v>
      </c>
      <c r="AD149" t="s">
        <v>3236</v>
      </c>
      <c r="AE149" t="s">
        <v>3237</v>
      </c>
      <c r="AF149" t="s">
        <v>74</v>
      </c>
      <c r="AG149">
        <v>67</v>
      </c>
      <c r="AH149">
        <v>0</v>
      </c>
      <c r="AI149">
        <v>0</v>
      </c>
      <c r="AJ149">
        <v>3</v>
      </c>
      <c r="AK149">
        <v>4</v>
      </c>
      <c r="AL149" t="s">
        <v>794</v>
      </c>
      <c r="AM149" t="s">
        <v>795</v>
      </c>
      <c r="AN149" t="s">
        <v>796</v>
      </c>
      <c r="AO149" t="s">
        <v>797</v>
      </c>
      <c r="AP149" t="s">
        <v>798</v>
      </c>
      <c r="AQ149" t="s">
        <v>74</v>
      </c>
      <c r="AR149" t="s">
        <v>782</v>
      </c>
      <c r="AS149" t="s">
        <v>799</v>
      </c>
      <c r="AT149" t="s">
        <v>3238</v>
      </c>
      <c r="AU149">
        <v>2023</v>
      </c>
      <c r="AV149">
        <v>17</v>
      </c>
      <c r="AW149">
        <v>4</v>
      </c>
      <c r="AX149" t="s">
        <v>74</v>
      </c>
      <c r="AY149" t="s">
        <v>74</v>
      </c>
      <c r="AZ149" t="s">
        <v>74</v>
      </c>
      <c r="BA149" t="s">
        <v>74</v>
      </c>
      <c r="BB149">
        <v>1623</v>
      </c>
      <c r="BC149">
        <v>1643</v>
      </c>
      <c r="BD149" t="s">
        <v>74</v>
      </c>
      <c r="BE149" t="s">
        <v>3239</v>
      </c>
      <c r="BF149" t="str">
        <f>HYPERLINK("http://dx.doi.org/10.5194/tc-17-1623-2023","http://dx.doi.org/10.5194/tc-17-1623-2023")</f>
        <v>http://dx.doi.org/10.5194/tc-17-1623-2023</v>
      </c>
      <c r="BG149" t="s">
        <v>74</v>
      </c>
      <c r="BH149" t="s">
        <v>74</v>
      </c>
      <c r="BI149">
        <v>21</v>
      </c>
      <c r="BJ149" t="s">
        <v>801</v>
      </c>
      <c r="BK149" t="s">
        <v>103</v>
      </c>
      <c r="BL149" t="s">
        <v>802</v>
      </c>
      <c r="BM149" t="s">
        <v>3240</v>
      </c>
      <c r="BN149" t="s">
        <v>74</v>
      </c>
      <c r="BO149" t="s">
        <v>3241</v>
      </c>
      <c r="BP149" t="s">
        <v>74</v>
      </c>
      <c r="BQ149" t="s">
        <v>74</v>
      </c>
      <c r="BR149" t="s">
        <v>106</v>
      </c>
      <c r="BS149" t="s">
        <v>3242</v>
      </c>
      <c r="BT149" t="str">
        <f>HYPERLINK("https%3A%2F%2Fwww.webofscience.com%2Fwos%2Fwoscc%2Ffull-record%2FWOS:000970521200001","View Full Record in Web of Science")</f>
        <v>View Full Record in Web of Science</v>
      </c>
    </row>
    <row r="150" spans="1:72" x14ac:dyDescent="0.15">
      <c r="A150" t="s">
        <v>72</v>
      </c>
      <c r="B150" t="s">
        <v>3243</v>
      </c>
      <c r="C150" t="s">
        <v>74</v>
      </c>
      <c r="D150" t="s">
        <v>74</v>
      </c>
      <c r="E150" t="s">
        <v>74</v>
      </c>
      <c r="F150" t="s">
        <v>3244</v>
      </c>
      <c r="G150" t="s">
        <v>74</v>
      </c>
      <c r="H150" t="s">
        <v>74</v>
      </c>
      <c r="I150" t="s">
        <v>3245</v>
      </c>
      <c r="J150" t="s">
        <v>3246</v>
      </c>
      <c r="K150" t="s">
        <v>74</v>
      </c>
      <c r="L150" t="s">
        <v>74</v>
      </c>
      <c r="M150" t="s">
        <v>78</v>
      </c>
      <c r="N150" t="s">
        <v>112</v>
      </c>
      <c r="O150" t="s">
        <v>74</v>
      </c>
      <c r="P150" t="s">
        <v>74</v>
      </c>
      <c r="Q150" t="s">
        <v>74</v>
      </c>
      <c r="R150" t="s">
        <v>74</v>
      </c>
      <c r="S150" t="s">
        <v>74</v>
      </c>
      <c r="T150" t="s">
        <v>3247</v>
      </c>
      <c r="U150" t="s">
        <v>3248</v>
      </c>
      <c r="V150" t="s">
        <v>3249</v>
      </c>
      <c r="W150" t="s">
        <v>3250</v>
      </c>
      <c r="X150" t="s">
        <v>3251</v>
      </c>
      <c r="Y150" t="s">
        <v>3252</v>
      </c>
      <c r="Z150" t="s">
        <v>3253</v>
      </c>
      <c r="AA150" t="s">
        <v>3254</v>
      </c>
      <c r="AB150" t="s">
        <v>3255</v>
      </c>
      <c r="AC150" t="s">
        <v>3256</v>
      </c>
      <c r="AD150" t="s">
        <v>3257</v>
      </c>
      <c r="AE150" t="s">
        <v>3258</v>
      </c>
      <c r="AF150" t="s">
        <v>74</v>
      </c>
      <c r="AG150">
        <v>84</v>
      </c>
      <c r="AH150">
        <v>1</v>
      </c>
      <c r="AI150">
        <v>1</v>
      </c>
      <c r="AJ150">
        <v>3</v>
      </c>
      <c r="AK150">
        <v>13</v>
      </c>
      <c r="AL150" t="s">
        <v>2092</v>
      </c>
      <c r="AM150" t="s">
        <v>2093</v>
      </c>
      <c r="AN150" t="s">
        <v>2094</v>
      </c>
      <c r="AO150" t="s">
        <v>3259</v>
      </c>
      <c r="AP150" t="s">
        <v>3260</v>
      </c>
      <c r="AQ150" t="s">
        <v>74</v>
      </c>
      <c r="AR150" t="s">
        <v>3261</v>
      </c>
      <c r="AS150" t="s">
        <v>3262</v>
      </c>
      <c r="AT150" t="s">
        <v>570</v>
      </c>
      <c r="AU150">
        <v>2023</v>
      </c>
      <c r="AV150">
        <v>60</v>
      </c>
      <c r="AW150">
        <v>7</v>
      </c>
      <c r="AX150" t="s">
        <v>74</v>
      </c>
      <c r="AY150" t="s">
        <v>74</v>
      </c>
      <c r="AZ150" t="s">
        <v>74</v>
      </c>
      <c r="BA150" t="s">
        <v>74</v>
      </c>
      <c r="BB150">
        <v>1254</v>
      </c>
      <c r="BC150">
        <v>1273</v>
      </c>
      <c r="BD150" t="s">
        <v>74</v>
      </c>
      <c r="BE150" t="s">
        <v>3263</v>
      </c>
      <c r="BF150" t="str">
        <f>HYPERLINK("http://dx.doi.org/10.1111/1365-2664.14408","http://dx.doi.org/10.1111/1365-2664.14408")</f>
        <v>http://dx.doi.org/10.1111/1365-2664.14408</v>
      </c>
      <c r="BG150" t="s">
        <v>74</v>
      </c>
      <c r="BH150" t="s">
        <v>427</v>
      </c>
      <c r="BI150">
        <v>20</v>
      </c>
      <c r="BJ150" t="s">
        <v>775</v>
      </c>
      <c r="BK150" t="s">
        <v>103</v>
      </c>
      <c r="BL150" t="s">
        <v>776</v>
      </c>
      <c r="BM150" t="s">
        <v>3264</v>
      </c>
      <c r="BN150" t="s">
        <v>74</v>
      </c>
      <c r="BO150" t="s">
        <v>387</v>
      </c>
      <c r="BP150" t="s">
        <v>74</v>
      </c>
      <c r="BQ150" t="s">
        <v>74</v>
      </c>
      <c r="BR150" t="s">
        <v>106</v>
      </c>
      <c r="BS150" t="s">
        <v>3265</v>
      </c>
      <c r="BT150" t="str">
        <f>HYPERLINK("https%3A%2F%2Fwww.webofscience.com%2Fwos%2Fwoscc%2Ffull-record%2FWOS:000970485600001","View Full Record in Web of Science")</f>
        <v>View Full Record in Web of Science</v>
      </c>
    </row>
    <row r="151" spans="1:72" x14ac:dyDescent="0.15">
      <c r="A151" t="s">
        <v>72</v>
      </c>
      <c r="B151" t="s">
        <v>3266</v>
      </c>
      <c r="C151" t="s">
        <v>74</v>
      </c>
      <c r="D151" t="s">
        <v>74</v>
      </c>
      <c r="E151" t="s">
        <v>74</v>
      </c>
      <c r="F151" t="s">
        <v>3267</v>
      </c>
      <c r="G151" t="s">
        <v>74</v>
      </c>
      <c r="H151" t="s">
        <v>74</v>
      </c>
      <c r="I151" t="s">
        <v>3268</v>
      </c>
      <c r="J151" t="s">
        <v>3269</v>
      </c>
      <c r="K151" t="s">
        <v>74</v>
      </c>
      <c r="L151" t="s">
        <v>74</v>
      </c>
      <c r="M151" t="s">
        <v>78</v>
      </c>
      <c r="N151" t="s">
        <v>112</v>
      </c>
      <c r="O151" t="s">
        <v>74</v>
      </c>
      <c r="P151" t="s">
        <v>74</v>
      </c>
      <c r="Q151" t="s">
        <v>74</v>
      </c>
      <c r="R151" t="s">
        <v>74</v>
      </c>
      <c r="S151" t="s">
        <v>74</v>
      </c>
      <c r="T151" t="s">
        <v>3270</v>
      </c>
      <c r="U151" t="s">
        <v>3271</v>
      </c>
      <c r="V151" t="s">
        <v>3272</v>
      </c>
      <c r="W151" t="s">
        <v>3273</v>
      </c>
      <c r="X151" t="s">
        <v>3274</v>
      </c>
      <c r="Y151" t="s">
        <v>3275</v>
      </c>
      <c r="Z151" t="s">
        <v>3276</v>
      </c>
      <c r="AA151" t="s">
        <v>3277</v>
      </c>
      <c r="AB151" t="s">
        <v>3278</v>
      </c>
      <c r="AC151" t="s">
        <v>3279</v>
      </c>
      <c r="AD151" t="s">
        <v>3280</v>
      </c>
      <c r="AE151" t="s">
        <v>3281</v>
      </c>
      <c r="AF151" t="s">
        <v>74</v>
      </c>
      <c r="AG151">
        <v>128</v>
      </c>
      <c r="AH151">
        <v>1</v>
      </c>
      <c r="AI151">
        <v>1</v>
      </c>
      <c r="AJ151">
        <v>7</v>
      </c>
      <c r="AK151">
        <v>21</v>
      </c>
      <c r="AL151" t="s">
        <v>2092</v>
      </c>
      <c r="AM151" t="s">
        <v>2093</v>
      </c>
      <c r="AN151" t="s">
        <v>2094</v>
      </c>
      <c r="AO151" t="s">
        <v>3282</v>
      </c>
      <c r="AP151" t="s">
        <v>3283</v>
      </c>
      <c r="AQ151" t="s">
        <v>74</v>
      </c>
      <c r="AR151" t="s">
        <v>3284</v>
      </c>
      <c r="AS151" t="s">
        <v>3285</v>
      </c>
      <c r="AT151" t="s">
        <v>570</v>
      </c>
      <c r="AU151">
        <v>2023</v>
      </c>
      <c r="AV151">
        <v>32</v>
      </c>
      <c r="AW151">
        <v>13</v>
      </c>
      <c r="AX151" t="s">
        <v>74</v>
      </c>
      <c r="AY151" t="s">
        <v>74</v>
      </c>
      <c r="AZ151" t="s">
        <v>74</v>
      </c>
      <c r="BA151" t="s">
        <v>74</v>
      </c>
      <c r="BB151">
        <v>3382</v>
      </c>
      <c r="BC151">
        <v>3402</v>
      </c>
      <c r="BD151" t="s">
        <v>74</v>
      </c>
      <c r="BE151" t="s">
        <v>3286</v>
      </c>
      <c r="BF151" t="str">
        <f>HYPERLINK("http://dx.doi.org/10.1111/mec.16951","http://dx.doi.org/10.1111/mec.16951")</f>
        <v>http://dx.doi.org/10.1111/mec.16951</v>
      </c>
      <c r="BG151" t="s">
        <v>74</v>
      </c>
      <c r="BH151" t="s">
        <v>427</v>
      </c>
      <c r="BI151">
        <v>21</v>
      </c>
      <c r="BJ151" t="s">
        <v>3287</v>
      </c>
      <c r="BK151" t="s">
        <v>103</v>
      </c>
      <c r="BL151" t="s">
        <v>3288</v>
      </c>
      <c r="BM151" t="s">
        <v>3289</v>
      </c>
      <c r="BN151">
        <v>37009938</v>
      </c>
      <c r="BO151" t="s">
        <v>387</v>
      </c>
      <c r="BP151" t="s">
        <v>74</v>
      </c>
      <c r="BQ151" t="s">
        <v>74</v>
      </c>
      <c r="BR151" t="s">
        <v>106</v>
      </c>
      <c r="BS151" t="s">
        <v>3290</v>
      </c>
      <c r="BT151" t="str">
        <f>HYPERLINK("https%3A%2F%2Fwww.webofscience.com%2Fwos%2Fwoscc%2Ffull-record%2FWOS:000970985800001","View Full Record in Web of Science")</f>
        <v>View Full Record in Web of Science</v>
      </c>
    </row>
    <row r="152" spans="1:72" x14ac:dyDescent="0.15">
      <c r="A152" t="s">
        <v>72</v>
      </c>
      <c r="B152" t="s">
        <v>3291</v>
      </c>
      <c r="C152" t="s">
        <v>74</v>
      </c>
      <c r="D152" t="s">
        <v>74</v>
      </c>
      <c r="E152" t="s">
        <v>74</v>
      </c>
      <c r="F152" t="s">
        <v>3292</v>
      </c>
      <c r="G152" t="s">
        <v>74</v>
      </c>
      <c r="H152" t="s">
        <v>74</v>
      </c>
      <c r="I152" t="s">
        <v>3293</v>
      </c>
      <c r="J152" t="s">
        <v>759</v>
      </c>
      <c r="K152" t="s">
        <v>74</v>
      </c>
      <c r="L152" t="s">
        <v>74</v>
      </c>
      <c r="M152" t="s">
        <v>78</v>
      </c>
      <c r="N152" t="s">
        <v>112</v>
      </c>
      <c r="O152" t="s">
        <v>74</v>
      </c>
      <c r="P152" t="s">
        <v>74</v>
      </c>
      <c r="Q152" t="s">
        <v>74</v>
      </c>
      <c r="R152" t="s">
        <v>74</v>
      </c>
      <c r="S152" t="s">
        <v>74</v>
      </c>
      <c r="T152" t="s">
        <v>3294</v>
      </c>
      <c r="U152" t="s">
        <v>3295</v>
      </c>
      <c r="V152" t="s">
        <v>3296</v>
      </c>
      <c r="W152" t="s">
        <v>3297</v>
      </c>
      <c r="X152" t="s">
        <v>3298</v>
      </c>
      <c r="Y152" t="s">
        <v>3299</v>
      </c>
      <c r="Z152" t="s">
        <v>3300</v>
      </c>
      <c r="AA152" t="s">
        <v>3301</v>
      </c>
      <c r="AB152" t="s">
        <v>3302</v>
      </c>
      <c r="AC152" t="s">
        <v>74</v>
      </c>
      <c r="AD152" t="s">
        <v>74</v>
      </c>
      <c r="AE152" t="s">
        <v>74</v>
      </c>
      <c r="AF152" t="s">
        <v>74</v>
      </c>
      <c r="AG152">
        <v>55</v>
      </c>
      <c r="AH152">
        <v>1</v>
      </c>
      <c r="AI152">
        <v>1</v>
      </c>
      <c r="AJ152">
        <v>1</v>
      </c>
      <c r="AK152">
        <v>2</v>
      </c>
      <c r="AL152" t="s">
        <v>768</v>
      </c>
      <c r="AM152" t="s">
        <v>179</v>
      </c>
      <c r="AN152" t="s">
        <v>769</v>
      </c>
      <c r="AO152" t="s">
        <v>770</v>
      </c>
      <c r="AP152" t="s">
        <v>771</v>
      </c>
      <c r="AQ152" t="s">
        <v>74</v>
      </c>
      <c r="AR152" t="s">
        <v>772</v>
      </c>
      <c r="AS152" t="s">
        <v>773</v>
      </c>
      <c r="AT152" t="s">
        <v>98</v>
      </c>
      <c r="AU152">
        <v>2023</v>
      </c>
      <c r="AV152">
        <v>46</v>
      </c>
      <c r="AW152">
        <v>5</v>
      </c>
      <c r="AX152" t="s">
        <v>74</v>
      </c>
      <c r="AY152" t="s">
        <v>74</v>
      </c>
      <c r="AZ152" t="s">
        <v>74</v>
      </c>
      <c r="BA152" t="s">
        <v>74</v>
      </c>
      <c r="BB152">
        <v>445</v>
      </c>
      <c r="BC152">
        <v>459</v>
      </c>
      <c r="BD152" t="s">
        <v>74</v>
      </c>
      <c r="BE152" t="s">
        <v>3303</v>
      </c>
      <c r="BF152" t="str">
        <f>HYPERLINK("http://dx.doi.org/10.1007/s00300-023-03135-7","http://dx.doi.org/10.1007/s00300-023-03135-7")</f>
        <v>http://dx.doi.org/10.1007/s00300-023-03135-7</v>
      </c>
      <c r="BG152" t="s">
        <v>74</v>
      </c>
      <c r="BH152" t="s">
        <v>427</v>
      </c>
      <c r="BI152">
        <v>15</v>
      </c>
      <c r="BJ152" t="s">
        <v>775</v>
      </c>
      <c r="BK152" t="s">
        <v>103</v>
      </c>
      <c r="BL152" t="s">
        <v>776</v>
      </c>
      <c r="BM152" t="s">
        <v>1265</v>
      </c>
      <c r="BN152" t="s">
        <v>74</v>
      </c>
      <c r="BO152" t="s">
        <v>3168</v>
      </c>
      <c r="BP152" t="s">
        <v>74</v>
      </c>
      <c r="BQ152" t="s">
        <v>74</v>
      </c>
      <c r="BR152" t="s">
        <v>106</v>
      </c>
      <c r="BS152" t="s">
        <v>3304</v>
      </c>
      <c r="BT152" t="str">
        <f>HYPERLINK("https%3A%2F%2Fwww.webofscience.com%2Fwos%2Fwoscc%2Ffull-record%2FWOS:000967791300001","View Full Record in Web of Science")</f>
        <v>View Full Record in Web of Science</v>
      </c>
    </row>
    <row r="153" spans="1:72" x14ac:dyDescent="0.15">
      <c r="A153" t="s">
        <v>72</v>
      </c>
      <c r="B153" t="s">
        <v>3305</v>
      </c>
      <c r="C153" t="s">
        <v>74</v>
      </c>
      <c r="D153" t="s">
        <v>74</v>
      </c>
      <c r="E153" t="s">
        <v>74</v>
      </c>
      <c r="F153" t="s">
        <v>3306</v>
      </c>
      <c r="G153" t="s">
        <v>74</v>
      </c>
      <c r="H153" t="s">
        <v>74</v>
      </c>
      <c r="I153" t="s">
        <v>3307</v>
      </c>
      <c r="J153" t="s">
        <v>3308</v>
      </c>
      <c r="K153" t="s">
        <v>74</v>
      </c>
      <c r="L153" t="s">
        <v>74</v>
      </c>
      <c r="M153" t="s">
        <v>78</v>
      </c>
      <c r="N153" t="s">
        <v>112</v>
      </c>
      <c r="O153" t="s">
        <v>74</v>
      </c>
      <c r="P153" t="s">
        <v>74</v>
      </c>
      <c r="Q153" t="s">
        <v>74</v>
      </c>
      <c r="R153" t="s">
        <v>74</v>
      </c>
      <c r="S153" t="s">
        <v>74</v>
      </c>
      <c r="T153" t="s">
        <v>3309</v>
      </c>
      <c r="U153" t="s">
        <v>3310</v>
      </c>
      <c r="V153" t="s">
        <v>3311</v>
      </c>
      <c r="W153" t="s">
        <v>3312</v>
      </c>
      <c r="X153" t="s">
        <v>3313</v>
      </c>
      <c r="Y153" t="s">
        <v>3314</v>
      </c>
      <c r="Z153" t="s">
        <v>3315</v>
      </c>
      <c r="AA153" t="s">
        <v>3316</v>
      </c>
      <c r="AB153" t="s">
        <v>3317</v>
      </c>
      <c r="AC153" t="s">
        <v>3318</v>
      </c>
      <c r="AD153" t="s">
        <v>3318</v>
      </c>
      <c r="AE153" t="s">
        <v>3319</v>
      </c>
      <c r="AF153" t="s">
        <v>74</v>
      </c>
      <c r="AG153">
        <v>54</v>
      </c>
      <c r="AH153">
        <v>1</v>
      </c>
      <c r="AI153">
        <v>1</v>
      </c>
      <c r="AJ153">
        <v>0</v>
      </c>
      <c r="AK153">
        <v>0</v>
      </c>
      <c r="AL153" t="s">
        <v>700</v>
      </c>
      <c r="AM153" t="s">
        <v>701</v>
      </c>
      <c r="AN153" t="s">
        <v>702</v>
      </c>
      <c r="AO153" t="s">
        <v>74</v>
      </c>
      <c r="AP153" t="s">
        <v>3320</v>
      </c>
      <c r="AQ153" t="s">
        <v>74</v>
      </c>
      <c r="AR153" t="s">
        <v>3321</v>
      </c>
      <c r="AS153" t="s">
        <v>3322</v>
      </c>
      <c r="AT153" t="s">
        <v>3323</v>
      </c>
      <c r="AU153">
        <v>2023</v>
      </c>
      <c r="AV153">
        <v>3</v>
      </c>
      <c r="AW153" t="s">
        <v>74</v>
      </c>
      <c r="AX153" t="s">
        <v>74</v>
      </c>
      <c r="AY153" t="s">
        <v>74</v>
      </c>
      <c r="AZ153" t="s">
        <v>74</v>
      </c>
      <c r="BA153" t="s">
        <v>74</v>
      </c>
      <c r="BB153" t="s">
        <v>74</v>
      </c>
      <c r="BC153" t="s">
        <v>74</v>
      </c>
      <c r="BD153">
        <v>1144266</v>
      </c>
      <c r="BE153" t="s">
        <v>3324</v>
      </c>
      <c r="BF153" t="str">
        <f>HYPERLINK("http://dx.doi.org/10.3389/fbinf.2023.1144266","http://dx.doi.org/10.3389/fbinf.2023.1144266")</f>
        <v>http://dx.doi.org/10.3389/fbinf.2023.1144266</v>
      </c>
      <c r="BG153" t="s">
        <v>74</v>
      </c>
      <c r="BH153" t="s">
        <v>74</v>
      </c>
      <c r="BI153">
        <v>16</v>
      </c>
      <c r="BJ153" t="s">
        <v>3325</v>
      </c>
      <c r="BK153" t="s">
        <v>160</v>
      </c>
      <c r="BL153" t="s">
        <v>3325</v>
      </c>
      <c r="BM153" t="s">
        <v>3326</v>
      </c>
      <c r="BN153">
        <v>37122996</v>
      </c>
      <c r="BO153" t="s">
        <v>136</v>
      </c>
      <c r="BP153" t="s">
        <v>74</v>
      </c>
      <c r="BQ153" t="s">
        <v>74</v>
      </c>
      <c r="BR153" t="s">
        <v>106</v>
      </c>
      <c r="BS153" t="s">
        <v>3327</v>
      </c>
      <c r="BT153" t="str">
        <f>HYPERLINK("https%3A%2F%2Fwww.webofscience.com%2Fwos%2Fwoscc%2Ffull-record%2FWOS:001086440100001","View Full Record in Web of Science")</f>
        <v>View Full Record in Web of Science</v>
      </c>
    </row>
    <row r="154" spans="1:72" x14ac:dyDescent="0.15">
      <c r="A154" t="s">
        <v>72</v>
      </c>
      <c r="B154" t="s">
        <v>3328</v>
      </c>
      <c r="C154" t="s">
        <v>74</v>
      </c>
      <c r="D154" t="s">
        <v>74</v>
      </c>
      <c r="E154" t="s">
        <v>74</v>
      </c>
      <c r="F154" t="s">
        <v>3329</v>
      </c>
      <c r="G154" t="s">
        <v>74</v>
      </c>
      <c r="H154" t="s">
        <v>74</v>
      </c>
      <c r="I154" t="s">
        <v>3330</v>
      </c>
      <c r="J154" t="s">
        <v>1685</v>
      </c>
      <c r="K154" t="s">
        <v>74</v>
      </c>
      <c r="L154" t="s">
        <v>74</v>
      </c>
      <c r="M154" t="s">
        <v>78</v>
      </c>
      <c r="N154" t="s">
        <v>112</v>
      </c>
      <c r="O154" t="s">
        <v>74</v>
      </c>
      <c r="P154" t="s">
        <v>74</v>
      </c>
      <c r="Q154" t="s">
        <v>74</v>
      </c>
      <c r="R154" t="s">
        <v>74</v>
      </c>
      <c r="S154" t="s">
        <v>74</v>
      </c>
      <c r="T154" t="s">
        <v>74</v>
      </c>
      <c r="U154" t="s">
        <v>3331</v>
      </c>
      <c r="V154" t="s">
        <v>3332</v>
      </c>
      <c r="W154" t="s">
        <v>3333</v>
      </c>
      <c r="X154" t="s">
        <v>3334</v>
      </c>
      <c r="Y154" t="s">
        <v>3335</v>
      </c>
      <c r="Z154" t="s">
        <v>3336</v>
      </c>
      <c r="AA154" t="s">
        <v>3337</v>
      </c>
      <c r="AB154" t="s">
        <v>3338</v>
      </c>
      <c r="AC154" t="s">
        <v>3339</v>
      </c>
      <c r="AD154" t="s">
        <v>3340</v>
      </c>
      <c r="AE154" t="s">
        <v>3341</v>
      </c>
      <c r="AF154" t="s">
        <v>74</v>
      </c>
      <c r="AG154">
        <v>99</v>
      </c>
      <c r="AH154">
        <v>3</v>
      </c>
      <c r="AI154">
        <v>3</v>
      </c>
      <c r="AJ154">
        <v>6</v>
      </c>
      <c r="AK154">
        <v>12</v>
      </c>
      <c r="AL154" t="s">
        <v>203</v>
      </c>
      <c r="AM154" t="s">
        <v>204</v>
      </c>
      <c r="AN154" t="s">
        <v>205</v>
      </c>
      <c r="AO154" t="s">
        <v>74</v>
      </c>
      <c r="AP154" t="s">
        <v>1696</v>
      </c>
      <c r="AQ154" t="s">
        <v>74</v>
      </c>
      <c r="AR154" t="s">
        <v>1697</v>
      </c>
      <c r="AS154" t="s">
        <v>1698</v>
      </c>
      <c r="AT154" t="s">
        <v>3323</v>
      </c>
      <c r="AU154">
        <v>2023</v>
      </c>
      <c r="AV154">
        <v>14</v>
      </c>
      <c r="AW154">
        <v>1</v>
      </c>
      <c r="AX154" t="s">
        <v>74</v>
      </c>
      <c r="AY154" t="s">
        <v>74</v>
      </c>
      <c r="AZ154" t="s">
        <v>74</v>
      </c>
      <c r="BA154" t="s">
        <v>74</v>
      </c>
      <c r="BB154" t="s">
        <v>74</v>
      </c>
      <c r="BC154" t="s">
        <v>74</v>
      </c>
      <c r="BD154" t="s">
        <v>74</v>
      </c>
      <c r="BE154" t="s">
        <v>3342</v>
      </c>
      <c r="BF154" t="str">
        <f>HYPERLINK("http://dx.doi.org/10.1038/s41467-023-37799-w","http://dx.doi.org/10.1038/s41467-023-37799-w")</f>
        <v>http://dx.doi.org/10.1038/s41467-023-37799-w</v>
      </c>
      <c r="BG154" t="s">
        <v>74</v>
      </c>
      <c r="BH154" t="s">
        <v>74</v>
      </c>
      <c r="BI154">
        <v>13</v>
      </c>
      <c r="BJ154" t="s">
        <v>210</v>
      </c>
      <c r="BK154" t="s">
        <v>103</v>
      </c>
      <c r="BL154" t="s">
        <v>211</v>
      </c>
      <c r="BM154" t="s">
        <v>3343</v>
      </c>
      <c r="BN154">
        <v>37045842</v>
      </c>
      <c r="BO154" t="s">
        <v>136</v>
      </c>
      <c r="BP154" t="s">
        <v>74</v>
      </c>
      <c r="BQ154" t="s">
        <v>74</v>
      </c>
      <c r="BR154" t="s">
        <v>106</v>
      </c>
      <c r="BS154" t="s">
        <v>3344</v>
      </c>
      <c r="BT154" t="str">
        <f>HYPERLINK("https%3A%2F%2Fwww.webofscience.com%2Fwos%2Fwoscc%2Ffull-record%2FWOS:001003644100012","View Full Record in Web of Science")</f>
        <v>View Full Record in Web of Science</v>
      </c>
    </row>
    <row r="155" spans="1:72" x14ac:dyDescent="0.15">
      <c r="A155" t="s">
        <v>72</v>
      </c>
      <c r="B155" t="s">
        <v>3345</v>
      </c>
      <c r="C155" t="s">
        <v>74</v>
      </c>
      <c r="D155" t="s">
        <v>74</v>
      </c>
      <c r="E155" t="s">
        <v>74</v>
      </c>
      <c r="F155" t="s">
        <v>3346</v>
      </c>
      <c r="G155" t="s">
        <v>74</v>
      </c>
      <c r="H155" t="s">
        <v>74</v>
      </c>
      <c r="I155" t="s">
        <v>3347</v>
      </c>
      <c r="J155" t="s">
        <v>1685</v>
      </c>
      <c r="K155" t="s">
        <v>74</v>
      </c>
      <c r="L155" t="s">
        <v>74</v>
      </c>
      <c r="M155" t="s">
        <v>78</v>
      </c>
      <c r="N155" t="s">
        <v>112</v>
      </c>
      <c r="O155" t="s">
        <v>74</v>
      </c>
      <c r="P155" t="s">
        <v>74</v>
      </c>
      <c r="Q155" t="s">
        <v>74</v>
      </c>
      <c r="R155" t="s">
        <v>74</v>
      </c>
      <c r="S155" t="s">
        <v>74</v>
      </c>
      <c r="T155" t="s">
        <v>74</v>
      </c>
      <c r="U155" t="s">
        <v>3348</v>
      </c>
      <c r="V155" t="s">
        <v>3349</v>
      </c>
      <c r="W155" t="s">
        <v>3350</v>
      </c>
      <c r="X155" t="s">
        <v>3351</v>
      </c>
      <c r="Y155" t="s">
        <v>3352</v>
      </c>
      <c r="Z155" t="s">
        <v>3353</v>
      </c>
      <c r="AA155" t="s">
        <v>3354</v>
      </c>
      <c r="AB155" t="s">
        <v>3355</v>
      </c>
      <c r="AC155" t="s">
        <v>3356</v>
      </c>
      <c r="AD155" t="s">
        <v>3357</v>
      </c>
      <c r="AE155" t="s">
        <v>3358</v>
      </c>
      <c r="AF155" t="s">
        <v>74</v>
      </c>
      <c r="AG155">
        <v>80</v>
      </c>
      <c r="AH155">
        <v>1</v>
      </c>
      <c r="AI155">
        <v>1</v>
      </c>
      <c r="AJ155">
        <v>10</v>
      </c>
      <c r="AK155">
        <v>22</v>
      </c>
      <c r="AL155" t="s">
        <v>203</v>
      </c>
      <c r="AM155" t="s">
        <v>204</v>
      </c>
      <c r="AN155" t="s">
        <v>205</v>
      </c>
      <c r="AO155" t="s">
        <v>74</v>
      </c>
      <c r="AP155" t="s">
        <v>1696</v>
      </c>
      <c r="AQ155" t="s">
        <v>74</v>
      </c>
      <c r="AR155" t="s">
        <v>1697</v>
      </c>
      <c r="AS155" t="s">
        <v>1698</v>
      </c>
      <c r="AT155" t="s">
        <v>3323</v>
      </c>
      <c r="AU155">
        <v>2023</v>
      </c>
      <c r="AV155">
        <v>14</v>
      </c>
      <c r="AW155">
        <v>1</v>
      </c>
      <c r="AX155" t="s">
        <v>74</v>
      </c>
      <c r="AY155" t="s">
        <v>74</v>
      </c>
      <c r="AZ155" t="s">
        <v>74</v>
      </c>
      <c r="BA155" t="s">
        <v>74</v>
      </c>
      <c r="BB155" t="s">
        <v>74</v>
      </c>
      <c r="BC155" t="s">
        <v>74</v>
      </c>
      <c r="BD155" t="s">
        <v>74</v>
      </c>
      <c r="BE155" t="s">
        <v>3359</v>
      </c>
      <c r="BF155" t="str">
        <f>HYPERLINK("http://dx.doi.org/10.1038/s41467-023-37841-x","http://dx.doi.org/10.1038/s41467-023-37841-x")</f>
        <v>http://dx.doi.org/10.1038/s41467-023-37841-x</v>
      </c>
      <c r="BG155" t="s">
        <v>74</v>
      </c>
      <c r="BH155" t="s">
        <v>74</v>
      </c>
      <c r="BI155">
        <v>9</v>
      </c>
      <c r="BJ155" t="s">
        <v>210</v>
      </c>
      <c r="BK155" t="s">
        <v>103</v>
      </c>
      <c r="BL155" t="s">
        <v>211</v>
      </c>
      <c r="BM155" t="s">
        <v>3343</v>
      </c>
      <c r="BN155">
        <v>37045863</v>
      </c>
      <c r="BO155" t="s">
        <v>614</v>
      </c>
      <c r="BP155" t="s">
        <v>74</v>
      </c>
      <c r="BQ155" t="s">
        <v>74</v>
      </c>
      <c r="BR155" t="s">
        <v>106</v>
      </c>
      <c r="BS155" t="s">
        <v>3360</v>
      </c>
      <c r="BT155" t="str">
        <f>HYPERLINK("https%3A%2F%2Fwww.webofscience.com%2Fwos%2Fwoscc%2Ffull-record%2FWOS:001003644100031","View Full Record in Web of Science")</f>
        <v>View Full Record in Web of Science</v>
      </c>
    </row>
    <row r="156" spans="1:72" x14ac:dyDescent="0.15">
      <c r="A156" t="s">
        <v>72</v>
      </c>
      <c r="B156" t="s">
        <v>3361</v>
      </c>
      <c r="C156" t="s">
        <v>74</v>
      </c>
      <c r="D156" t="s">
        <v>74</v>
      </c>
      <c r="E156" t="s">
        <v>74</v>
      </c>
      <c r="F156" t="s">
        <v>3362</v>
      </c>
      <c r="G156" t="s">
        <v>74</v>
      </c>
      <c r="H156" t="s">
        <v>74</v>
      </c>
      <c r="I156" t="s">
        <v>3363</v>
      </c>
      <c r="J156" t="s">
        <v>1193</v>
      </c>
      <c r="K156" t="s">
        <v>74</v>
      </c>
      <c r="L156" t="s">
        <v>74</v>
      </c>
      <c r="M156" t="s">
        <v>78</v>
      </c>
      <c r="N156" t="s">
        <v>112</v>
      </c>
      <c r="O156" t="s">
        <v>74</v>
      </c>
      <c r="P156" t="s">
        <v>74</v>
      </c>
      <c r="Q156" t="s">
        <v>74</v>
      </c>
      <c r="R156" t="s">
        <v>74</v>
      </c>
      <c r="S156" t="s">
        <v>74</v>
      </c>
      <c r="T156" t="s">
        <v>3364</v>
      </c>
      <c r="U156" t="s">
        <v>3365</v>
      </c>
      <c r="V156" t="s">
        <v>3366</v>
      </c>
      <c r="W156" t="s">
        <v>3367</v>
      </c>
      <c r="X156" t="s">
        <v>3368</v>
      </c>
      <c r="Y156" t="s">
        <v>3369</v>
      </c>
      <c r="Z156" t="s">
        <v>876</v>
      </c>
      <c r="AA156" t="s">
        <v>74</v>
      </c>
      <c r="AB156" t="s">
        <v>74</v>
      </c>
      <c r="AC156" t="s">
        <v>3370</v>
      </c>
      <c r="AD156" t="s">
        <v>3117</v>
      </c>
      <c r="AE156" t="s">
        <v>3371</v>
      </c>
      <c r="AF156" t="s">
        <v>74</v>
      </c>
      <c r="AG156">
        <v>90</v>
      </c>
      <c r="AH156">
        <v>0</v>
      </c>
      <c r="AI156">
        <v>0</v>
      </c>
      <c r="AJ156">
        <v>12</v>
      </c>
      <c r="AK156">
        <v>25</v>
      </c>
      <c r="AL156" t="s">
        <v>447</v>
      </c>
      <c r="AM156" t="s">
        <v>448</v>
      </c>
      <c r="AN156" t="s">
        <v>449</v>
      </c>
      <c r="AO156" t="s">
        <v>1204</v>
      </c>
      <c r="AP156" t="s">
        <v>1205</v>
      </c>
      <c r="AQ156" t="s">
        <v>74</v>
      </c>
      <c r="AR156" t="s">
        <v>1206</v>
      </c>
      <c r="AS156" t="s">
        <v>1207</v>
      </c>
      <c r="AT156" t="s">
        <v>2343</v>
      </c>
      <c r="AU156">
        <v>2023</v>
      </c>
      <c r="AV156">
        <v>881</v>
      </c>
      <c r="AW156" t="s">
        <v>74</v>
      </c>
      <c r="AX156" t="s">
        <v>74</v>
      </c>
      <c r="AY156" t="s">
        <v>74</v>
      </c>
      <c r="AZ156" t="s">
        <v>74</v>
      </c>
      <c r="BA156" t="s">
        <v>74</v>
      </c>
      <c r="BB156" t="s">
        <v>74</v>
      </c>
      <c r="BC156" t="s">
        <v>74</v>
      </c>
      <c r="BD156">
        <v>163373</v>
      </c>
      <c r="BE156" t="s">
        <v>3372</v>
      </c>
      <c r="BF156" t="str">
        <f>HYPERLINK("http://dx.doi.org/10.1016/j.scitotenv.2023.163373","http://dx.doi.org/10.1016/j.scitotenv.2023.163373")</f>
        <v>http://dx.doi.org/10.1016/j.scitotenv.2023.163373</v>
      </c>
      <c r="BG156" t="s">
        <v>74</v>
      </c>
      <c r="BH156" t="s">
        <v>427</v>
      </c>
      <c r="BI156">
        <v>15</v>
      </c>
      <c r="BJ156" t="s">
        <v>1163</v>
      </c>
      <c r="BK156" t="s">
        <v>103</v>
      </c>
      <c r="BL156" t="s">
        <v>1164</v>
      </c>
      <c r="BM156" t="s">
        <v>3373</v>
      </c>
      <c r="BN156">
        <v>37044333</v>
      </c>
      <c r="BO156" t="s">
        <v>74</v>
      </c>
      <c r="BP156" t="s">
        <v>74</v>
      </c>
      <c r="BQ156" t="s">
        <v>74</v>
      </c>
      <c r="BR156" t="s">
        <v>106</v>
      </c>
      <c r="BS156" t="s">
        <v>3374</v>
      </c>
      <c r="BT156" t="str">
        <f>HYPERLINK("https%3A%2F%2Fwww.webofscience.com%2Fwos%2Fwoscc%2Ffull-record%2FWOS:000980849100001","View Full Record in Web of Science")</f>
        <v>View Full Record in Web of Science</v>
      </c>
    </row>
    <row r="157" spans="1:72" x14ac:dyDescent="0.15">
      <c r="A157" t="s">
        <v>72</v>
      </c>
      <c r="B157" t="s">
        <v>3375</v>
      </c>
      <c r="C157" t="s">
        <v>74</v>
      </c>
      <c r="D157" t="s">
        <v>74</v>
      </c>
      <c r="E157" t="s">
        <v>74</v>
      </c>
      <c r="F157" t="s">
        <v>3376</v>
      </c>
      <c r="G157" t="s">
        <v>74</v>
      </c>
      <c r="H157" t="s">
        <v>74</v>
      </c>
      <c r="I157" t="s">
        <v>3377</v>
      </c>
      <c r="J157" t="s">
        <v>1215</v>
      </c>
      <c r="K157" t="s">
        <v>74</v>
      </c>
      <c r="L157" t="s">
        <v>74</v>
      </c>
      <c r="M157" t="s">
        <v>78</v>
      </c>
      <c r="N157" t="s">
        <v>112</v>
      </c>
      <c r="O157" t="s">
        <v>74</v>
      </c>
      <c r="P157" t="s">
        <v>74</v>
      </c>
      <c r="Q157" t="s">
        <v>74</v>
      </c>
      <c r="R157" t="s">
        <v>74</v>
      </c>
      <c r="S157" t="s">
        <v>74</v>
      </c>
      <c r="T157" t="s">
        <v>3378</v>
      </c>
      <c r="U157" t="s">
        <v>3379</v>
      </c>
      <c r="V157" t="s">
        <v>3380</v>
      </c>
      <c r="W157" t="s">
        <v>3381</v>
      </c>
      <c r="X157" t="s">
        <v>3382</v>
      </c>
      <c r="Y157" t="s">
        <v>3383</v>
      </c>
      <c r="Z157" t="s">
        <v>3384</v>
      </c>
      <c r="AA157" t="s">
        <v>3385</v>
      </c>
      <c r="AB157" t="s">
        <v>3386</v>
      </c>
      <c r="AC157" t="s">
        <v>74</v>
      </c>
      <c r="AD157" t="s">
        <v>74</v>
      </c>
      <c r="AE157" t="s">
        <v>74</v>
      </c>
      <c r="AF157" t="s">
        <v>74</v>
      </c>
      <c r="AG157">
        <v>118</v>
      </c>
      <c r="AH157">
        <v>1</v>
      </c>
      <c r="AI157">
        <v>1</v>
      </c>
      <c r="AJ157">
        <v>2</v>
      </c>
      <c r="AK157">
        <v>3</v>
      </c>
      <c r="AL157" t="s">
        <v>700</v>
      </c>
      <c r="AM157" t="s">
        <v>701</v>
      </c>
      <c r="AN157" t="s">
        <v>702</v>
      </c>
      <c r="AO157" t="s">
        <v>74</v>
      </c>
      <c r="AP157" t="s">
        <v>1228</v>
      </c>
      <c r="AQ157" t="s">
        <v>74</v>
      </c>
      <c r="AR157" t="s">
        <v>1229</v>
      </c>
      <c r="AS157" t="s">
        <v>1230</v>
      </c>
      <c r="AT157" t="s">
        <v>3323</v>
      </c>
      <c r="AU157">
        <v>2023</v>
      </c>
      <c r="AV157">
        <v>10</v>
      </c>
      <c r="AW157" t="s">
        <v>74</v>
      </c>
      <c r="AX157" t="s">
        <v>74</v>
      </c>
      <c r="AY157" t="s">
        <v>74</v>
      </c>
      <c r="AZ157" t="s">
        <v>74</v>
      </c>
      <c r="BA157" t="s">
        <v>74</v>
      </c>
      <c r="BB157" t="s">
        <v>74</v>
      </c>
      <c r="BC157" t="s">
        <v>74</v>
      </c>
      <c r="BD157">
        <v>1027704</v>
      </c>
      <c r="BE157" t="s">
        <v>3387</v>
      </c>
      <c r="BF157" t="str">
        <f>HYPERLINK("http://dx.doi.org/10.3389/fmars.2023.1027704","http://dx.doi.org/10.3389/fmars.2023.1027704")</f>
        <v>http://dx.doi.org/10.3389/fmars.2023.1027704</v>
      </c>
      <c r="BG157" t="s">
        <v>74</v>
      </c>
      <c r="BH157" t="s">
        <v>74</v>
      </c>
      <c r="BI157">
        <v>23</v>
      </c>
      <c r="BJ157" t="s">
        <v>636</v>
      </c>
      <c r="BK157" t="s">
        <v>103</v>
      </c>
      <c r="BL157" t="s">
        <v>637</v>
      </c>
      <c r="BM157" t="s">
        <v>3388</v>
      </c>
      <c r="BN157" t="s">
        <v>74</v>
      </c>
      <c r="BO157" t="s">
        <v>136</v>
      </c>
      <c r="BP157" t="s">
        <v>74</v>
      </c>
      <c r="BQ157" t="s">
        <v>74</v>
      </c>
      <c r="BR157" t="s">
        <v>106</v>
      </c>
      <c r="BS157" t="s">
        <v>3389</v>
      </c>
      <c r="BT157" t="str">
        <f>HYPERLINK("https%3A%2F%2Fwww.webofscience.com%2Fwos%2Fwoscc%2Ffull-record%2FWOS:000975451500001","View Full Record in Web of Science")</f>
        <v>View Full Record in Web of Science</v>
      </c>
    </row>
    <row r="158" spans="1:72" x14ac:dyDescent="0.15">
      <c r="A158" t="s">
        <v>72</v>
      </c>
      <c r="B158" t="s">
        <v>3390</v>
      </c>
      <c r="C158" t="s">
        <v>74</v>
      </c>
      <c r="D158" t="s">
        <v>74</v>
      </c>
      <c r="E158" t="s">
        <v>74</v>
      </c>
      <c r="F158" t="s">
        <v>3391</v>
      </c>
      <c r="G158" t="s">
        <v>74</v>
      </c>
      <c r="H158" t="s">
        <v>74</v>
      </c>
      <c r="I158" t="s">
        <v>3392</v>
      </c>
      <c r="J158" t="s">
        <v>3393</v>
      </c>
      <c r="K158" t="s">
        <v>74</v>
      </c>
      <c r="L158" t="s">
        <v>74</v>
      </c>
      <c r="M158" t="s">
        <v>78</v>
      </c>
      <c r="N158" t="s">
        <v>112</v>
      </c>
      <c r="O158" t="s">
        <v>74</v>
      </c>
      <c r="P158" t="s">
        <v>74</v>
      </c>
      <c r="Q158" t="s">
        <v>74</v>
      </c>
      <c r="R158" t="s">
        <v>74</v>
      </c>
      <c r="S158" t="s">
        <v>74</v>
      </c>
      <c r="T158" t="s">
        <v>3394</v>
      </c>
      <c r="U158" t="s">
        <v>3395</v>
      </c>
      <c r="V158" t="s">
        <v>3396</v>
      </c>
      <c r="W158" t="s">
        <v>3397</v>
      </c>
      <c r="X158" t="s">
        <v>3398</v>
      </c>
      <c r="Y158" t="s">
        <v>3399</v>
      </c>
      <c r="Z158" t="s">
        <v>3400</v>
      </c>
      <c r="AA158" t="s">
        <v>3401</v>
      </c>
      <c r="AB158" t="s">
        <v>3402</v>
      </c>
      <c r="AC158" t="s">
        <v>3403</v>
      </c>
      <c r="AD158" t="s">
        <v>3404</v>
      </c>
      <c r="AE158" t="s">
        <v>3405</v>
      </c>
      <c r="AF158" t="s">
        <v>74</v>
      </c>
      <c r="AG158">
        <v>95</v>
      </c>
      <c r="AH158">
        <v>0</v>
      </c>
      <c r="AI158">
        <v>0</v>
      </c>
      <c r="AJ158">
        <v>3</v>
      </c>
      <c r="AK158">
        <v>10</v>
      </c>
      <c r="AL158" t="s">
        <v>3406</v>
      </c>
      <c r="AM158" t="s">
        <v>3407</v>
      </c>
      <c r="AN158" t="s">
        <v>3408</v>
      </c>
      <c r="AO158" t="s">
        <v>3409</v>
      </c>
      <c r="AP158" t="s">
        <v>74</v>
      </c>
      <c r="AQ158" t="s">
        <v>74</v>
      </c>
      <c r="AR158" t="s">
        <v>3410</v>
      </c>
      <c r="AS158" t="s">
        <v>3411</v>
      </c>
      <c r="AT158" t="s">
        <v>1108</v>
      </c>
      <c r="AU158">
        <v>2023</v>
      </c>
      <c r="AV158">
        <v>56</v>
      </c>
      <c r="AW158">
        <v>4</v>
      </c>
      <c r="AX158" t="s">
        <v>74</v>
      </c>
      <c r="AY158" t="s">
        <v>74</v>
      </c>
      <c r="AZ158" t="s">
        <v>74</v>
      </c>
      <c r="BA158" t="s">
        <v>74</v>
      </c>
      <c r="BB158">
        <v>457</v>
      </c>
      <c r="BC158">
        <v>484</v>
      </c>
      <c r="BD158" t="s">
        <v>74</v>
      </c>
      <c r="BE158" t="s">
        <v>3412</v>
      </c>
      <c r="BF158" t="str">
        <f>HYPERLINK("http://dx.doi.org/10.1127/nos/2023/0749","http://dx.doi.org/10.1127/nos/2023/0749")</f>
        <v>http://dx.doi.org/10.1127/nos/2023/0749</v>
      </c>
      <c r="BG158" t="s">
        <v>74</v>
      </c>
      <c r="BH158" t="s">
        <v>427</v>
      </c>
      <c r="BI158">
        <v>28</v>
      </c>
      <c r="BJ158" t="s">
        <v>262</v>
      </c>
      <c r="BK158" t="s">
        <v>103</v>
      </c>
      <c r="BL158" t="s">
        <v>262</v>
      </c>
      <c r="BM158" t="s">
        <v>3413</v>
      </c>
      <c r="BN158" t="s">
        <v>74</v>
      </c>
      <c r="BO158" t="s">
        <v>74</v>
      </c>
      <c r="BP158" t="s">
        <v>74</v>
      </c>
      <c r="BQ158" t="s">
        <v>74</v>
      </c>
      <c r="BR158" t="s">
        <v>106</v>
      </c>
      <c r="BS158" t="s">
        <v>3414</v>
      </c>
      <c r="BT158" t="str">
        <f>HYPERLINK("https%3A%2F%2Fwww.webofscience.com%2Fwos%2Fwoscc%2Ffull-record%2FWOS:000971790900001","View Full Record in Web of Science")</f>
        <v>View Full Record in Web of Science</v>
      </c>
    </row>
    <row r="159" spans="1:72" x14ac:dyDescent="0.15">
      <c r="A159" t="s">
        <v>72</v>
      </c>
      <c r="B159" t="s">
        <v>3415</v>
      </c>
      <c r="C159" t="s">
        <v>74</v>
      </c>
      <c r="D159" t="s">
        <v>74</v>
      </c>
      <c r="E159" t="s">
        <v>74</v>
      </c>
      <c r="F159" t="s">
        <v>3416</v>
      </c>
      <c r="G159" t="s">
        <v>74</v>
      </c>
      <c r="H159" t="s">
        <v>74</v>
      </c>
      <c r="I159" t="s">
        <v>3417</v>
      </c>
      <c r="J159" t="s">
        <v>1534</v>
      </c>
      <c r="K159" t="s">
        <v>74</v>
      </c>
      <c r="L159" t="s">
        <v>74</v>
      </c>
      <c r="M159" t="s">
        <v>78</v>
      </c>
      <c r="N159" t="s">
        <v>112</v>
      </c>
      <c r="O159" t="s">
        <v>74</v>
      </c>
      <c r="P159" t="s">
        <v>74</v>
      </c>
      <c r="Q159" t="s">
        <v>74</v>
      </c>
      <c r="R159" t="s">
        <v>74</v>
      </c>
      <c r="S159" t="s">
        <v>74</v>
      </c>
      <c r="T159" t="s">
        <v>3418</v>
      </c>
      <c r="U159" t="s">
        <v>3419</v>
      </c>
      <c r="V159" t="s">
        <v>3420</v>
      </c>
      <c r="W159" t="s">
        <v>3421</v>
      </c>
      <c r="X159" t="s">
        <v>3422</v>
      </c>
      <c r="Y159" t="s">
        <v>3423</v>
      </c>
      <c r="Z159" t="s">
        <v>3424</v>
      </c>
      <c r="AA159" t="s">
        <v>3425</v>
      </c>
      <c r="AB159" t="s">
        <v>3426</v>
      </c>
      <c r="AC159" t="s">
        <v>3427</v>
      </c>
      <c r="AD159" t="s">
        <v>3427</v>
      </c>
      <c r="AE159" t="s">
        <v>3428</v>
      </c>
      <c r="AF159" t="s">
        <v>74</v>
      </c>
      <c r="AG159">
        <v>92</v>
      </c>
      <c r="AH159">
        <v>1</v>
      </c>
      <c r="AI159">
        <v>1</v>
      </c>
      <c r="AJ159">
        <v>1</v>
      </c>
      <c r="AK159">
        <v>3</v>
      </c>
      <c r="AL159" t="s">
        <v>1101</v>
      </c>
      <c r="AM159" t="s">
        <v>179</v>
      </c>
      <c r="AN159" t="s">
        <v>1543</v>
      </c>
      <c r="AO159" t="s">
        <v>1544</v>
      </c>
      <c r="AP159" t="s">
        <v>1545</v>
      </c>
      <c r="AQ159" t="s">
        <v>74</v>
      </c>
      <c r="AR159" t="s">
        <v>1546</v>
      </c>
      <c r="AS159" t="s">
        <v>1547</v>
      </c>
      <c r="AT159" t="s">
        <v>1437</v>
      </c>
      <c r="AU159">
        <v>2023</v>
      </c>
      <c r="AV159">
        <v>35</v>
      </c>
      <c r="AW159">
        <v>2</v>
      </c>
      <c r="AX159" t="s">
        <v>74</v>
      </c>
      <c r="AY159" t="s">
        <v>74</v>
      </c>
      <c r="AZ159" t="s">
        <v>74</v>
      </c>
      <c r="BA159" t="s">
        <v>74</v>
      </c>
      <c r="BB159">
        <v>141</v>
      </c>
      <c r="BC159">
        <v>160</v>
      </c>
      <c r="BD159" t="s">
        <v>74</v>
      </c>
      <c r="BE159" t="s">
        <v>3429</v>
      </c>
      <c r="BF159" t="str">
        <f>HYPERLINK("http://dx.doi.org/10.1017/S0954102023000020","http://dx.doi.org/10.1017/S0954102023000020")</f>
        <v>http://dx.doi.org/10.1017/S0954102023000020</v>
      </c>
      <c r="BG159" t="s">
        <v>74</v>
      </c>
      <c r="BH159" t="s">
        <v>427</v>
      </c>
      <c r="BI159">
        <v>20</v>
      </c>
      <c r="BJ159" t="s">
        <v>1550</v>
      </c>
      <c r="BK159" t="s">
        <v>103</v>
      </c>
      <c r="BL159" t="s">
        <v>1551</v>
      </c>
      <c r="BM159" t="s">
        <v>1581</v>
      </c>
      <c r="BN159" t="s">
        <v>74</v>
      </c>
      <c r="BO159" t="s">
        <v>1748</v>
      </c>
      <c r="BP159" t="s">
        <v>74</v>
      </c>
      <c r="BQ159" t="s">
        <v>74</v>
      </c>
      <c r="BR159" t="s">
        <v>106</v>
      </c>
      <c r="BS159" t="s">
        <v>3430</v>
      </c>
      <c r="BT159" t="str">
        <f>HYPERLINK("https%3A%2F%2Fwww.webofscience.com%2Fwos%2Fwoscc%2Ffull-record%2FWOS:000969124500001","View Full Record in Web of Science")</f>
        <v>View Full Record in Web of Science</v>
      </c>
    </row>
    <row r="160" spans="1:72" x14ac:dyDescent="0.15">
      <c r="A160" t="s">
        <v>72</v>
      </c>
      <c r="B160" t="s">
        <v>3431</v>
      </c>
      <c r="C160" t="s">
        <v>74</v>
      </c>
      <c r="D160" t="s">
        <v>74</v>
      </c>
      <c r="E160" t="s">
        <v>74</v>
      </c>
      <c r="F160" t="s">
        <v>3432</v>
      </c>
      <c r="G160" t="s">
        <v>74</v>
      </c>
      <c r="H160" t="s">
        <v>74</v>
      </c>
      <c r="I160" t="s">
        <v>3433</v>
      </c>
      <c r="J160" t="s">
        <v>782</v>
      </c>
      <c r="K160" t="s">
        <v>74</v>
      </c>
      <c r="L160" t="s">
        <v>74</v>
      </c>
      <c r="M160" t="s">
        <v>78</v>
      </c>
      <c r="N160" t="s">
        <v>112</v>
      </c>
      <c r="O160" t="s">
        <v>74</v>
      </c>
      <c r="P160" t="s">
        <v>74</v>
      </c>
      <c r="Q160" t="s">
        <v>74</v>
      </c>
      <c r="R160" t="s">
        <v>74</v>
      </c>
      <c r="S160" t="s">
        <v>74</v>
      </c>
      <c r="T160" t="s">
        <v>74</v>
      </c>
      <c r="U160" t="s">
        <v>3434</v>
      </c>
      <c r="V160" t="s">
        <v>3435</v>
      </c>
      <c r="W160" t="s">
        <v>3436</v>
      </c>
      <c r="X160" t="s">
        <v>3437</v>
      </c>
      <c r="Y160" t="s">
        <v>3438</v>
      </c>
      <c r="Z160" t="s">
        <v>3439</v>
      </c>
      <c r="AA160" t="s">
        <v>3440</v>
      </c>
      <c r="AB160" t="s">
        <v>3441</v>
      </c>
      <c r="AC160" t="s">
        <v>3442</v>
      </c>
      <c r="AD160" t="s">
        <v>3443</v>
      </c>
      <c r="AE160" t="s">
        <v>3444</v>
      </c>
      <c r="AF160" t="s">
        <v>74</v>
      </c>
      <c r="AG160">
        <v>41</v>
      </c>
      <c r="AH160">
        <v>2</v>
      </c>
      <c r="AI160">
        <v>2</v>
      </c>
      <c r="AJ160">
        <v>1</v>
      </c>
      <c r="AK160">
        <v>1</v>
      </c>
      <c r="AL160" t="s">
        <v>794</v>
      </c>
      <c r="AM160" t="s">
        <v>795</v>
      </c>
      <c r="AN160" t="s">
        <v>796</v>
      </c>
      <c r="AO160" t="s">
        <v>797</v>
      </c>
      <c r="AP160" t="s">
        <v>798</v>
      </c>
      <c r="AQ160" t="s">
        <v>74</v>
      </c>
      <c r="AR160" t="s">
        <v>782</v>
      </c>
      <c r="AS160" t="s">
        <v>799</v>
      </c>
      <c r="AT160" t="s">
        <v>3323</v>
      </c>
      <c r="AU160">
        <v>2023</v>
      </c>
      <c r="AV160">
        <v>17</v>
      </c>
      <c r="AW160">
        <v>4</v>
      </c>
      <c r="AX160" t="s">
        <v>74</v>
      </c>
      <c r="AY160" t="s">
        <v>74</v>
      </c>
      <c r="AZ160" t="s">
        <v>74</v>
      </c>
      <c r="BA160" t="s">
        <v>74</v>
      </c>
      <c r="BB160">
        <v>1585</v>
      </c>
      <c r="BC160">
        <v>1600</v>
      </c>
      <c r="BD160" t="s">
        <v>74</v>
      </c>
      <c r="BE160" t="s">
        <v>3445</v>
      </c>
      <c r="BF160" t="str">
        <f>HYPERLINK("http://dx.doi.org/10.5194/tc-17-1585-2023","http://dx.doi.org/10.5194/tc-17-1585-2023")</f>
        <v>http://dx.doi.org/10.5194/tc-17-1585-2023</v>
      </c>
      <c r="BG160" t="s">
        <v>74</v>
      </c>
      <c r="BH160" t="s">
        <v>74</v>
      </c>
      <c r="BI160">
        <v>16</v>
      </c>
      <c r="BJ160" t="s">
        <v>801</v>
      </c>
      <c r="BK160" t="s">
        <v>103</v>
      </c>
      <c r="BL160" t="s">
        <v>802</v>
      </c>
      <c r="BM160" t="s">
        <v>3446</v>
      </c>
      <c r="BN160" t="s">
        <v>74</v>
      </c>
      <c r="BO160" t="s">
        <v>3241</v>
      </c>
      <c r="BP160" t="s">
        <v>74</v>
      </c>
      <c r="BQ160" t="s">
        <v>74</v>
      </c>
      <c r="BR160" t="s">
        <v>106</v>
      </c>
      <c r="BS160" t="s">
        <v>3447</v>
      </c>
      <c r="BT160" t="str">
        <f>HYPERLINK("https%3A%2F%2Fwww.webofscience.com%2Fwos%2Fwoscc%2Ffull-record%2FWOS:000969330500001","View Full Record in Web of Science")</f>
        <v>View Full Record in Web of Science</v>
      </c>
    </row>
    <row r="161" spans="1:72" x14ac:dyDescent="0.15">
      <c r="A161" t="s">
        <v>72</v>
      </c>
      <c r="B161" t="s">
        <v>3448</v>
      </c>
      <c r="C161" t="s">
        <v>74</v>
      </c>
      <c r="D161" t="s">
        <v>74</v>
      </c>
      <c r="E161" t="s">
        <v>74</v>
      </c>
      <c r="F161" t="s">
        <v>3449</v>
      </c>
      <c r="G161" t="s">
        <v>74</v>
      </c>
      <c r="H161" t="s">
        <v>74</v>
      </c>
      <c r="I161" t="s">
        <v>3450</v>
      </c>
      <c r="J161" t="s">
        <v>759</v>
      </c>
      <c r="K161" t="s">
        <v>74</v>
      </c>
      <c r="L161" t="s">
        <v>74</v>
      </c>
      <c r="M161" t="s">
        <v>78</v>
      </c>
      <c r="N161" t="s">
        <v>112</v>
      </c>
      <c r="O161" t="s">
        <v>74</v>
      </c>
      <c r="P161" t="s">
        <v>74</v>
      </c>
      <c r="Q161" t="s">
        <v>74</v>
      </c>
      <c r="R161" t="s">
        <v>74</v>
      </c>
      <c r="S161" t="s">
        <v>74</v>
      </c>
      <c r="T161" t="s">
        <v>3451</v>
      </c>
      <c r="U161" t="s">
        <v>3452</v>
      </c>
      <c r="V161" t="s">
        <v>3453</v>
      </c>
      <c r="W161" t="s">
        <v>3454</v>
      </c>
      <c r="X161" t="s">
        <v>3455</v>
      </c>
      <c r="Y161" t="s">
        <v>3456</v>
      </c>
      <c r="Z161" t="s">
        <v>3457</v>
      </c>
      <c r="AA161" t="s">
        <v>74</v>
      </c>
      <c r="AB161" t="s">
        <v>3458</v>
      </c>
      <c r="AC161" t="s">
        <v>3459</v>
      </c>
      <c r="AD161" t="s">
        <v>3460</v>
      </c>
      <c r="AE161" t="s">
        <v>3461</v>
      </c>
      <c r="AF161" t="s">
        <v>74</v>
      </c>
      <c r="AG161">
        <v>87</v>
      </c>
      <c r="AH161">
        <v>1</v>
      </c>
      <c r="AI161">
        <v>1</v>
      </c>
      <c r="AJ161">
        <v>3</v>
      </c>
      <c r="AK161">
        <v>8</v>
      </c>
      <c r="AL161" t="s">
        <v>768</v>
      </c>
      <c r="AM161" t="s">
        <v>179</v>
      </c>
      <c r="AN161" t="s">
        <v>769</v>
      </c>
      <c r="AO161" t="s">
        <v>770</v>
      </c>
      <c r="AP161" t="s">
        <v>771</v>
      </c>
      <c r="AQ161" t="s">
        <v>74</v>
      </c>
      <c r="AR161" t="s">
        <v>772</v>
      </c>
      <c r="AS161" t="s">
        <v>773</v>
      </c>
      <c r="AT161" t="s">
        <v>98</v>
      </c>
      <c r="AU161">
        <v>2023</v>
      </c>
      <c r="AV161">
        <v>46</v>
      </c>
      <c r="AW161">
        <v>5</v>
      </c>
      <c r="AX161" t="s">
        <v>74</v>
      </c>
      <c r="AY161" t="s">
        <v>74</v>
      </c>
      <c r="AZ161" t="s">
        <v>74</v>
      </c>
      <c r="BA161" t="s">
        <v>74</v>
      </c>
      <c r="BB161">
        <v>427</v>
      </c>
      <c r="BC161">
        <v>444</v>
      </c>
      <c r="BD161" t="s">
        <v>74</v>
      </c>
      <c r="BE161" t="s">
        <v>3462</v>
      </c>
      <c r="BF161" t="str">
        <f>HYPERLINK("http://dx.doi.org/10.1007/s00300-023-03125-9","http://dx.doi.org/10.1007/s00300-023-03125-9")</f>
        <v>http://dx.doi.org/10.1007/s00300-023-03125-9</v>
      </c>
      <c r="BG161" t="s">
        <v>74</v>
      </c>
      <c r="BH161" t="s">
        <v>427</v>
      </c>
      <c r="BI161">
        <v>18</v>
      </c>
      <c r="BJ161" t="s">
        <v>775</v>
      </c>
      <c r="BK161" t="s">
        <v>103</v>
      </c>
      <c r="BL161" t="s">
        <v>776</v>
      </c>
      <c r="BM161" t="s">
        <v>1265</v>
      </c>
      <c r="BN161" t="s">
        <v>74</v>
      </c>
      <c r="BO161" t="s">
        <v>74</v>
      </c>
      <c r="BP161" t="s">
        <v>74</v>
      </c>
      <c r="BQ161" t="s">
        <v>74</v>
      </c>
      <c r="BR161" t="s">
        <v>106</v>
      </c>
      <c r="BS161" t="s">
        <v>3463</v>
      </c>
      <c r="BT161" t="str">
        <f>HYPERLINK("https%3A%2F%2Fwww.webofscience.com%2Fwos%2Fwoscc%2Ffull-record%2FWOS:000968156200001","View Full Record in Web of Science")</f>
        <v>View Full Record in Web of Science</v>
      </c>
    </row>
    <row r="162" spans="1:72" x14ac:dyDescent="0.15">
      <c r="A162" t="s">
        <v>72</v>
      </c>
      <c r="B162" t="s">
        <v>3464</v>
      </c>
      <c r="C162" t="s">
        <v>74</v>
      </c>
      <c r="D162" t="s">
        <v>74</v>
      </c>
      <c r="E162" t="s">
        <v>74</v>
      </c>
      <c r="F162" t="s">
        <v>3465</v>
      </c>
      <c r="G162" t="s">
        <v>74</v>
      </c>
      <c r="H162" t="s">
        <v>74</v>
      </c>
      <c r="I162" t="s">
        <v>3466</v>
      </c>
      <c r="J162" t="s">
        <v>1685</v>
      </c>
      <c r="K162" t="s">
        <v>74</v>
      </c>
      <c r="L162" t="s">
        <v>74</v>
      </c>
      <c r="M162" t="s">
        <v>78</v>
      </c>
      <c r="N162" t="s">
        <v>112</v>
      </c>
      <c r="O162" t="s">
        <v>74</v>
      </c>
      <c r="P162" t="s">
        <v>74</v>
      </c>
      <c r="Q162" t="s">
        <v>74</v>
      </c>
      <c r="R162" t="s">
        <v>74</v>
      </c>
      <c r="S162" t="s">
        <v>74</v>
      </c>
      <c r="T162" t="s">
        <v>74</v>
      </c>
      <c r="U162" t="s">
        <v>3467</v>
      </c>
      <c r="V162" t="s">
        <v>3468</v>
      </c>
      <c r="W162" t="s">
        <v>3469</v>
      </c>
      <c r="X162" t="s">
        <v>3470</v>
      </c>
      <c r="Y162" t="s">
        <v>3471</v>
      </c>
      <c r="Z162" t="s">
        <v>3472</v>
      </c>
      <c r="AA162" t="s">
        <v>3473</v>
      </c>
      <c r="AB162" t="s">
        <v>3474</v>
      </c>
      <c r="AC162" t="s">
        <v>3475</v>
      </c>
      <c r="AD162" t="s">
        <v>3476</v>
      </c>
      <c r="AE162" t="s">
        <v>3477</v>
      </c>
      <c r="AF162" t="s">
        <v>74</v>
      </c>
      <c r="AG162">
        <v>69</v>
      </c>
      <c r="AH162">
        <v>5</v>
      </c>
      <c r="AI162">
        <v>5</v>
      </c>
      <c r="AJ162">
        <v>6</v>
      </c>
      <c r="AK162">
        <v>10</v>
      </c>
      <c r="AL162" t="s">
        <v>203</v>
      </c>
      <c r="AM162" t="s">
        <v>204</v>
      </c>
      <c r="AN162" t="s">
        <v>205</v>
      </c>
      <c r="AO162" t="s">
        <v>74</v>
      </c>
      <c r="AP162" t="s">
        <v>1696</v>
      </c>
      <c r="AQ162" t="s">
        <v>74</v>
      </c>
      <c r="AR162" t="s">
        <v>1697</v>
      </c>
      <c r="AS162" t="s">
        <v>1698</v>
      </c>
      <c r="AT162" t="s">
        <v>3478</v>
      </c>
      <c r="AU162">
        <v>2023</v>
      </c>
      <c r="AV162">
        <v>14</v>
      </c>
      <c r="AW162">
        <v>1</v>
      </c>
      <c r="AX162" t="s">
        <v>74</v>
      </c>
      <c r="AY162" t="s">
        <v>74</v>
      </c>
      <c r="AZ162" t="s">
        <v>74</v>
      </c>
      <c r="BA162" t="s">
        <v>74</v>
      </c>
      <c r="BB162" t="s">
        <v>74</v>
      </c>
      <c r="BC162" t="s">
        <v>74</v>
      </c>
      <c r="BD162">
        <v>1781</v>
      </c>
      <c r="BE162" t="s">
        <v>3479</v>
      </c>
      <c r="BF162" t="str">
        <f>HYPERLINK("http://dx.doi.org/10.1038/s41467-023-37132-5","http://dx.doi.org/10.1038/s41467-023-37132-5")</f>
        <v>http://dx.doi.org/10.1038/s41467-023-37132-5</v>
      </c>
      <c r="BG162" t="s">
        <v>74</v>
      </c>
      <c r="BH162" t="s">
        <v>74</v>
      </c>
      <c r="BI162">
        <v>9</v>
      </c>
      <c r="BJ162" t="s">
        <v>210</v>
      </c>
      <c r="BK162" t="s">
        <v>103</v>
      </c>
      <c r="BL162" t="s">
        <v>211</v>
      </c>
      <c r="BM162" t="s">
        <v>3480</v>
      </c>
      <c r="BN162">
        <v>37041162</v>
      </c>
      <c r="BO162" t="s">
        <v>1084</v>
      </c>
      <c r="BP162" t="s">
        <v>74</v>
      </c>
      <c r="BQ162" t="s">
        <v>74</v>
      </c>
      <c r="BR162" t="s">
        <v>106</v>
      </c>
      <c r="BS162" t="s">
        <v>3481</v>
      </c>
      <c r="BT162" t="str">
        <f>HYPERLINK("https%3A%2F%2Fwww.webofscience.com%2Fwos%2Fwoscc%2Ffull-record%2FWOS:001166947800017","View Full Record in Web of Science")</f>
        <v>View Full Record in Web of Science</v>
      </c>
    </row>
    <row r="163" spans="1:72" x14ac:dyDescent="0.15">
      <c r="A163" t="s">
        <v>72</v>
      </c>
      <c r="B163" t="s">
        <v>3482</v>
      </c>
      <c r="C163" t="s">
        <v>74</v>
      </c>
      <c r="D163" t="s">
        <v>74</v>
      </c>
      <c r="E163" t="s">
        <v>74</v>
      </c>
      <c r="F163" t="s">
        <v>3483</v>
      </c>
      <c r="G163" t="s">
        <v>74</v>
      </c>
      <c r="H163" t="s">
        <v>74</v>
      </c>
      <c r="I163" t="s">
        <v>3484</v>
      </c>
      <c r="J163" t="s">
        <v>3485</v>
      </c>
      <c r="K163" t="s">
        <v>74</v>
      </c>
      <c r="L163" t="s">
        <v>74</v>
      </c>
      <c r="M163" t="s">
        <v>78</v>
      </c>
      <c r="N163" t="s">
        <v>112</v>
      </c>
      <c r="O163" t="s">
        <v>74</v>
      </c>
      <c r="P163" t="s">
        <v>74</v>
      </c>
      <c r="Q163" t="s">
        <v>74</v>
      </c>
      <c r="R163" t="s">
        <v>74</v>
      </c>
      <c r="S163" t="s">
        <v>74</v>
      </c>
      <c r="T163" t="s">
        <v>3486</v>
      </c>
      <c r="U163" t="s">
        <v>3487</v>
      </c>
      <c r="V163" t="s">
        <v>3488</v>
      </c>
      <c r="W163" t="s">
        <v>3489</v>
      </c>
      <c r="X163" t="s">
        <v>3490</v>
      </c>
      <c r="Y163" t="s">
        <v>3491</v>
      </c>
      <c r="Z163" t="s">
        <v>3492</v>
      </c>
      <c r="AA163" t="s">
        <v>3493</v>
      </c>
      <c r="AB163" t="s">
        <v>3494</v>
      </c>
      <c r="AC163" t="s">
        <v>3495</v>
      </c>
      <c r="AD163" t="s">
        <v>3496</v>
      </c>
      <c r="AE163" t="s">
        <v>3497</v>
      </c>
      <c r="AF163" t="s">
        <v>74</v>
      </c>
      <c r="AG163">
        <v>77</v>
      </c>
      <c r="AH163">
        <v>5</v>
      </c>
      <c r="AI163">
        <v>5</v>
      </c>
      <c r="AJ163">
        <v>30</v>
      </c>
      <c r="AK163">
        <v>50</v>
      </c>
      <c r="AL163" t="s">
        <v>3498</v>
      </c>
      <c r="AM163" t="s">
        <v>306</v>
      </c>
      <c r="AN163" t="s">
        <v>3499</v>
      </c>
      <c r="AO163" t="s">
        <v>3500</v>
      </c>
      <c r="AP163" t="s">
        <v>3501</v>
      </c>
      <c r="AQ163" t="s">
        <v>74</v>
      </c>
      <c r="AR163" t="s">
        <v>3502</v>
      </c>
      <c r="AS163" t="s">
        <v>3503</v>
      </c>
      <c r="AT163" t="s">
        <v>3478</v>
      </c>
      <c r="AU163">
        <v>2023</v>
      </c>
      <c r="AV163">
        <v>120</v>
      </c>
      <c r="AW163">
        <v>15</v>
      </c>
      <c r="AX163" t="s">
        <v>74</v>
      </c>
      <c r="AY163" t="s">
        <v>74</v>
      </c>
      <c r="AZ163" t="s">
        <v>74</v>
      </c>
      <c r="BA163" t="s">
        <v>74</v>
      </c>
      <c r="BB163" t="s">
        <v>74</v>
      </c>
      <c r="BC163" t="s">
        <v>74</v>
      </c>
      <c r="BD163" t="s">
        <v>3504</v>
      </c>
      <c r="BE163" t="s">
        <v>3505</v>
      </c>
      <c r="BF163" t="str">
        <f>HYPERLINK("http://dx.doi.org/10.1073/pnas.2214558120","http://dx.doi.org/10.1073/pnas.2214558120")</f>
        <v>http://dx.doi.org/10.1073/pnas.2214558120</v>
      </c>
      <c r="BG163" t="s">
        <v>74</v>
      </c>
      <c r="BH163" t="s">
        <v>74</v>
      </c>
      <c r="BI163">
        <v>12</v>
      </c>
      <c r="BJ163" t="s">
        <v>210</v>
      </c>
      <c r="BK163" t="s">
        <v>103</v>
      </c>
      <c r="BL163" t="s">
        <v>211</v>
      </c>
      <c r="BM163" t="s">
        <v>3506</v>
      </c>
      <c r="BN163">
        <v>37011203</v>
      </c>
      <c r="BO163" t="s">
        <v>430</v>
      </c>
      <c r="BP163" t="s">
        <v>74</v>
      </c>
      <c r="BQ163" t="s">
        <v>74</v>
      </c>
      <c r="BR163" t="s">
        <v>106</v>
      </c>
      <c r="BS163" t="s">
        <v>3507</v>
      </c>
      <c r="BT163" t="str">
        <f>HYPERLINK("https%3A%2F%2Fwww.webofscience.com%2Fwos%2Fwoscc%2Ffull-record%2FWOS:001038916900004","View Full Record in Web of Science")</f>
        <v>View Full Record in Web of Science</v>
      </c>
    </row>
    <row r="164" spans="1:72" x14ac:dyDescent="0.15">
      <c r="A164" t="s">
        <v>72</v>
      </c>
      <c r="B164" t="s">
        <v>3508</v>
      </c>
      <c r="C164" t="s">
        <v>74</v>
      </c>
      <c r="D164" t="s">
        <v>74</v>
      </c>
      <c r="E164" t="s">
        <v>74</v>
      </c>
      <c r="F164" t="s">
        <v>3509</v>
      </c>
      <c r="G164" t="s">
        <v>74</v>
      </c>
      <c r="H164" t="s">
        <v>74</v>
      </c>
      <c r="I164" t="s">
        <v>3510</v>
      </c>
      <c r="J164" t="s">
        <v>955</v>
      </c>
      <c r="K164" t="s">
        <v>74</v>
      </c>
      <c r="L164" t="s">
        <v>74</v>
      </c>
      <c r="M164" t="s">
        <v>78</v>
      </c>
      <c r="N164" t="s">
        <v>112</v>
      </c>
      <c r="O164" t="s">
        <v>74</v>
      </c>
      <c r="P164" t="s">
        <v>74</v>
      </c>
      <c r="Q164" t="s">
        <v>74</v>
      </c>
      <c r="R164" t="s">
        <v>74</v>
      </c>
      <c r="S164" t="s">
        <v>74</v>
      </c>
      <c r="T164" t="s">
        <v>3511</v>
      </c>
      <c r="U164" t="s">
        <v>3512</v>
      </c>
      <c r="V164" t="s">
        <v>3513</v>
      </c>
      <c r="W164" t="s">
        <v>3514</v>
      </c>
      <c r="X164" t="s">
        <v>3515</v>
      </c>
      <c r="Y164" t="s">
        <v>3516</v>
      </c>
      <c r="Z164" t="s">
        <v>3517</v>
      </c>
      <c r="AA164" t="s">
        <v>74</v>
      </c>
      <c r="AB164" t="s">
        <v>3518</v>
      </c>
      <c r="AC164" t="s">
        <v>3519</v>
      </c>
      <c r="AD164" t="s">
        <v>3520</v>
      </c>
      <c r="AE164" t="s">
        <v>3521</v>
      </c>
      <c r="AF164" t="s">
        <v>74</v>
      </c>
      <c r="AG164">
        <v>141</v>
      </c>
      <c r="AH164">
        <v>5</v>
      </c>
      <c r="AI164">
        <v>5</v>
      </c>
      <c r="AJ164">
        <v>5</v>
      </c>
      <c r="AK164">
        <v>6</v>
      </c>
      <c r="AL164" t="s">
        <v>447</v>
      </c>
      <c r="AM164" t="s">
        <v>448</v>
      </c>
      <c r="AN164" t="s">
        <v>449</v>
      </c>
      <c r="AO164" t="s">
        <v>968</v>
      </c>
      <c r="AP164" t="s">
        <v>969</v>
      </c>
      <c r="AQ164" t="s">
        <v>74</v>
      </c>
      <c r="AR164" t="s">
        <v>970</v>
      </c>
      <c r="AS164" t="s">
        <v>971</v>
      </c>
      <c r="AT164" t="s">
        <v>98</v>
      </c>
      <c r="AU164">
        <v>2023</v>
      </c>
      <c r="AV164">
        <v>240</v>
      </c>
      <c r="AW164" t="s">
        <v>74</v>
      </c>
      <c r="AX164" t="s">
        <v>74</v>
      </c>
      <c r="AY164" t="s">
        <v>74</v>
      </c>
      <c r="AZ164" t="s">
        <v>74</v>
      </c>
      <c r="BA164" t="s">
        <v>74</v>
      </c>
      <c r="BB164" t="s">
        <v>74</v>
      </c>
      <c r="BC164" t="s">
        <v>74</v>
      </c>
      <c r="BD164">
        <v>103882</v>
      </c>
      <c r="BE164" t="s">
        <v>3522</v>
      </c>
      <c r="BF164" t="str">
        <f>HYPERLINK("http://dx.doi.org/10.1016/j.jmarsys.2023.103882","http://dx.doi.org/10.1016/j.jmarsys.2023.103882")</f>
        <v>http://dx.doi.org/10.1016/j.jmarsys.2023.103882</v>
      </c>
      <c r="BG164" t="s">
        <v>74</v>
      </c>
      <c r="BH164" t="s">
        <v>427</v>
      </c>
      <c r="BI164">
        <v>17</v>
      </c>
      <c r="BJ164" t="s">
        <v>974</v>
      </c>
      <c r="BK164" t="s">
        <v>103</v>
      </c>
      <c r="BL164" t="s">
        <v>975</v>
      </c>
      <c r="BM164" t="s">
        <v>3523</v>
      </c>
      <c r="BN164" t="s">
        <v>74</v>
      </c>
      <c r="BO164" t="s">
        <v>74</v>
      </c>
      <c r="BP164" t="s">
        <v>74</v>
      </c>
      <c r="BQ164" t="s">
        <v>74</v>
      </c>
      <c r="BR164" t="s">
        <v>106</v>
      </c>
      <c r="BS164" t="s">
        <v>3524</v>
      </c>
      <c r="BT164" t="str">
        <f>HYPERLINK("https%3A%2F%2Fwww.webofscience.com%2Fwos%2Fwoscc%2Ffull-record%2FWOS:001030017800001","View Full Record in Web of Science")</f>
        <v>View Full Record in Web of Science</v>
      </c>
    </row>
    <row r="165" spans="1:72" x14ac:dyDescent="0.15">
      <c r="A165" t="s">
        <v>72</v>
      </c>
      <c r="B165" t="s">
        <v>3525</v>
      </c>
      <c r="C165" t="s">
        <v>74</v>
      </c>
      <c r="D165" t="s">
        <v>74</v>
      </c>
      <c r="E165" t="s">
        <v>74</v>
      </c>
      <c r="F165" t="s">
        <v>3526</v>
      </c>
      <c r="G165" t="s">
        <v>74</v>
      </c>
      <c r="H165" t="s">
        <v>74</v>
      </c>
      <c r="I165" t="s">
        <v>3527</v>
      </c>
      <c r="J165" t="s">
        <v>3011</v>
      </c>
      <c r="K165" t="s">
        <v>74</v>
      </c>
      <c r="L165" t="s">
        <v>74</v>
      </c>
      <c r="M165" t="s">
        <v>78</v>
      </c>
      <c r="N165" t="s">
        <v>79</v>
      </c>
      <c r="O165" t="s">
        <v>74</v>
      </c>
      <c r="P165" t="s">
        <v>74</v>
      </c>
      <c r="Q165" t="s">
        <v>74</v>
      </c>
      <c r="R165" t="s">
        <v>74</v>
      </c>
      <c r="S165" t="s">
        <v>74</v>
      </c>
      <c r="T165" t="s">
        <v>3528</v>
      </c>
      <c r="U165" t="s">
        <v>3529</v>
      </c>
      <c r="V165" t="s">
        <v>74</v>
      </c>
      <c r="W165" t="s">
        <v>3530</v>
      </c>
      <c r="X165" t="s">
        <v>3531</v>
      </c>
      <c r="Y165" t="s">
        <v>3532</v>
      </c>
      <c r="Z165" t="s">
        <v>3533</v>
      </c>
      <c r="AA165" t="s">
        <v>3534</v>
      </c>
      <c r="AB165" t="s">
        <v>3535</v>
      </c>
      <c r="AC165" t="s">
        <v>74</v>
      </c>
      <c r="AD165" t="s">
        <v>74</v>
      </c>
      <c r="AE165" t="s">
        <v>74</v>
      </c>
      <c r="AF165" t="s">
        <v>74</v>
      </c>
      <c r="AG165">
        <v>21</v>
      </c>
      <c r="AH165">
        <v>0</v>
      </c>
      <c r="AI165">
        <v>0</v>
      </c>
      <c r="AJ165">
        <v>5</v>
      </c>
      <c r="AK165">
        <v>8</v>
      </c>
      <c r="AL165" t="s">
        <v>700</v>
      </c>
      <c r="AM165" t="s">
        <v>701</v>
      </c>
      <c r="AN165" t="s">
        <v>702</v>
      </c>
      <c r="AO165" t="s">
        <v>74</v>
      </c>
      <c r="AP165" t="s">
        <v>3023</v>
      </c>
      <c r="AQ165" t="s">
        <v>74</v>
      </c>
      <c r="AR165" t="s">
        <v>3024</v>
      </c>
      <c r="AS165" t="s">
        <v>3025</v>
      </c>
      <c r="AT165" t="s">
        <v>3478</v>
      </c>
      <c r="AU165">
        <v>2023</v>
      </c>
      <c r="AV165">
        <v>11</v>
      </c>
      <c r="AW165" t="s">
        <v>74</v>
      </c>
      <c r="AX165" t="s">
        <v>74</v>
      </c>
      <c r="AY165" t="s">
        <v>74</v>
      </c>
      <c r="AZ165" t="s">
        <v>74</v>
      </c>
      <c r="BA165" t="s">
        <v>74</v>
      </c>
      <c r="BB165" t="s">
        <v>74</v>
      </c>
      <c r="BC165" t="s">
        <v>74</v>
      </c>
      <c r="BD165">
        <v>1150478</v>
      </c>
      <c r="BE165" t="s">
        <v>3536</v>
      </c>
      <c r="BF165" t="str">
        <f>HYPERLINK("http://dx.doi.org/10.3389/feart.2023.1150478","http://dx.doi.org/10.3389/feart.2023.1150478")</f>
        <v>http://dx.doi.org/10.3389/feart.2023.1150478</v>
      </c>
      <c r="BG165" t="s">
        <v>74</v>
      </c>
      <c r="BH165" t="s">
        <v>74</v>
      </c>
      <c r="BI165">
        <v>3</v>
      </c>
      <c r="BJ165" t="s">
        <v>261</v>
      </c>
      <c r="BK165" t="s">
        <v>103</v>
      </c>
      <c r="BL165" t="s">
        <v>262</v>
      </c>
      <c r="BM165" t="s">
        <v>3537</v>
      </c>
      <c r="BN165" t="s">
        <v>74</v>
      </c>
      <c r="BO165" t="s">
        <v>359</v>
      </c>
      <c r="BP165" t="s">
        <v>74</v>
      </c>
      <c r="BQ165" t="s">
        <v>74</v>
      </c>
      <c r="BR165" t="s">
        <v>106</v>
      </c>
      <c r="BS165" t="s">
        <v>3538</v>
      </c>
      <c r="BT165" t="str">
        <f>HYPERLINK("https%3A%2F%2Fwww.webofscience.com%2Fwos%2Fwoscc%2Ffull-record%2FWOS:000978124300001","View Full Record in Web of Science")</f>
        <v>View Full Record in Web of Science</v>
      </c>
    </row>
    <row r="166" spans="1:72" x14ac:dyDescent="0.15">
      <c r="A166" t="s">
        <v>72</v>
      </c>
      <c r="B166" t="s">
        <v>3539</v>
      </c>
      <c r="C166" t="s">
        <v>74</v>
      </c>
      <c r="D166" t="s">
        <v>74</v>
      </c>
      <c r="E166" t="s">
        <v>74</v>
      </c>
      <c r="F166" t="s">
        <v>3540</v>
      </c>
      <c r="G166" t="s">
        <v>74</v>
      </c>
      <c r="H166" t="s">
        <v>74</v>
      </c>
      <c r="I166" t="s">
        <v>3541</v>
      </c>
      <c r="J166" t="s">
        <v>1048</v>
      </c>
      <c r="K166" t="s">
        <v>74</v>
      </c>
      <c r="L166" t="s">
        <v>74</v>
      </c>
      <c r="M166" t="s">
        <v>78</v>
      </c>
      <c r="N166" t="s">
        <v>112</v>
      </c>
      <c r="O166" t="s">
        <v>74</v>
      </c>
      <c r="P166" t="s">
        <v>74</v>
      </c>
      <c r="Q166" t="s">
        <v>74</v>
      </c>
      <c r="R166" t="s">
        <v>74</v>
      </c>
      <c r="S166" t="s">
        <v>74</v>
      </c>
      <c r="T166" t="s">
        <v>3542</v>
      </c>
      <c r="U166" t="s">
        <v>3543</v>
      </c>
      <c r="V166" t="s">
        <v>3544</v>
      </c>
      <c r="W166" t="s">
        <v>3545</v>
      </c>
      <c r="X166" t="s">
        <v>3546</v>
      </c>
      <c r="Y166" t="s">
        <v>3547</v>
      </c>
      <c r="Z166" t="s">
        <v>3548</v>
      </c>
      <c r="AA166" t="s">
        <v>3549</v>
      </c>
      <c r="AB166" t="s">
        <v>3550</v>
      </c>
      <c r="AC166" t="s">
        <v>3551</v>
      </c>
      <c r="AD166" t="s">
        <v>3552</v>
      </c>
      <c r="AE166" t="s">
        <v>3553</v>
      </c>
      <c r="AF166" t="s">
        <v>74</v>
      </c>
      <c r="AG166">
        <v>35</v>
      </c>
      <c r="AH166">
        <v>3</v>
      </c>
      <c r="AI166">
        <v>3</v>
      </c>
      <c r="AJ166">
        <v>5</v>
      </c>
      <c r="AK166">
        <v>16</v>
      </c>
      <c r="AL166" t="s">
        <v>447</v>
      </c>
      <c r="AM166" t="s">
        <v>448</v>
      </c>
      <c r="AN166" t="s">
        <v>449</v>
      </c>
      <c r="AO166" t="s">
        <v>1060</v>
      </c>
      <c r="AP166" t="s">
        <v>1061</v>
      </c>
      <c r="AQ166" t="s">
        <v>74</v>
      </c>
      <c r="AR166" t="s">
        <v>1048</v>
      </c>
      <c r="AS166" t="s">
        <v>1062</v>
      </c>
      <c r="AT166" t="s">
        <v>1208</v>
      </c>
      <c r="AU166">
        <v>2023</v>
      </c>
      <c r="AV166">
        <v>572</v>
      </c>
      <c r="AW166" t="s">
        <v>74</v>
      </c>
      <c r="AX166" t="s">
        <v>74</v>
      </c>
      <c r="AY166" t="s">
        <v>74</v>
      </c>
      <c r="AZ166" t="s">
        <v>74</v>
      </c>
      <c r="BA166" t="s">
        <v>74</v>
      </c>
      <c r="BB166" t="s">
        <v>74</v>
      </c>
      <c r="BC166" t="s">
        <v>74</v>
      </c>
      <c r="BD166">
        <v>739548</v>
      </c>
      <c r="BE166" t="s">
        <v>3554</v>
      </c>
      <c r="BF166" t="str">
        <f>HYPERLINK("http://dx.doi.org/10.1016/j.aquaculture.2023.739548","http://dx.doi.org/10.1016/j.aquaculture.2023.739548")</f>
        <v>http://dx.doi.org/10.1016/j.aquaculture.2023.739548</v>
      </c>
      <c r="BG166" t="s">
        <v>74</v>
      </c>
      <c r="BH166" t="s">
        <v>427</v>
      </c>
      <c r="BI166">
        <v>10</v>
      </c>
      <c r="BJ166" t="s">
        <v>1065</v>
      </c>
      <c r="BK166" t="s">
        <v>103</v>
      </c>
      <c r="BL166" t="s">
        <v>1065</v>
      </c>
      <c r="BM166" t="s">
        <v>3555</v>
      </c>
      <c r="BN166" t="s">
        <v>74</v>
      </c>
      <c r="BO166" t="s">
        <v>74</v>
      </c>
      <c r="BP166" t="s">
        <v>74</v>
      </c>
      <c r="BQ166" t="s">
        <v>74</v>
      </c>
      <c r="BR166" t="s">
        <v>106</v>
      </c>
      <c r="BS166" t="s">
        <v>3556</v>
      </c>
      <c r="BT166" t="str">
        <f>HYPERLINK("https%3A%2F%2Fwww.webofscience.com%2Fwos%2Fwoscc%2Ffull-record%2FWOS:000981139200001","View Full Record in Web of Science")</f>
        <v>View Full Record in Web of Science</v>
      </c>
    </row>
    <row r="167" spans="1:72" x14ac:dyDescent="0.15">
      <c r="A167" t="s">
        <v>72</v>
      </c>
      <c r="B167" t="s">
        <v>3557</v>
      </c>
      <c r="C167" t="s">
        <v>74</v>
      </c>
      <c r="D167" t="s">
        <v>74</v>
      </c>
      <c r="E167" t="s">
        <v>74</v>
      </c>
      <c r="F167" t="s">
        <v>3558</v>
      </c>
      <c r="G167" t="s">
        <v>74</v>
      </c>
      <c r="H167" t="s">
        <v>74</v>
      </c>
      <c r="I167" t="s">
        <v>3559</v>
      </c>
      <c r="J167" t="s">
        <v>1215</v>
      </c>
      <c r="K167" t="s">
        <v>74</v>
      </c>
      <c r="L167" t="s">
        <v>74</v>
      </c>
      <c r="M167" t="s">
        <v>78</v>
      </c>
      <c r="N167" t="s">
        <v>112</v>
      </c>
      <c r="O167" t="s">
        <v>74</v>
      </c>
      <c r="P167" t="s">
        <v>74</v>
      </c>
      <c r="Q167" t="s">
        <v>74</v>
      </c>
      <c r="R167" t="s">
        <v>74</v>
      </c>
      <c r="S167" t="s">
        <v>74</v>
      </c>
      <c r="T167" t="s">
        <v>3560</v>
      </c>
      <c r="U167" t="s">
        <v>74</v>
      </c>
      <c r="V167" t="s">
        <v>3561</v>
      </c>
      <c r="W167" t="s">
        <v>3562</v>
      </c>
      <c r="X167" t="s">
        <v>3563</v>
      </c>
      <c r="Y167" t="s">
        <v>3564</v>
      </c>
      <c r="Z167" t="s">
        <v>3565</v>
      </c>
      <c r="AA167" t="s">
        <v>3566</v>
      </c>
      <c r="AB167" t="s">
        <v>3567</v>
      </c>
      <c r="AC167" t="s">
        <v>3568</v>
      </c>
      <c r="AD167" t="s">
        <v>3569</v>
      </c>
      <c r="AE167" t="s">
        <v>3570</v>
      </c>
      <c r="AF167" t="s">
        <v>74</v>
      </c>
      <c r="AG167">
        <v>24</v>
      </c>
      <c r="AH167">
        <v>1</v>
      </c>
      <c r="AI167">
        <v>1</v>
      </c>
      <c r="AJ167">
        <v>0</v>
      </c>
      <c r="AK167">
        <v>0</v>
      </c>
      <c r="AL167" t="s">
        <v>700</v>
      </c>
      <c r="AM167" t="s">
        <v>701</v>
      </c>
      <c r="AN167" t="s">
        <v>702</v>
      </c>
      <c r="AO167" t="s">
        <v>74</v>
      </c>
      <c r="AP167" t="s">
        <v>1228</v>
      </c>
      <c r="AQ167" t="s">
        <v>74</v>
      </c>
      <c r="AR167" t="s">
        <v>1229</v>
      </c>
      <c r="AS167" t="s">
        <v>1230</v>
      </c>
      <c r="AT167" t="s">
        <v>3478</v>
      </c>
      <c r="AU167">
        <v>2023</v>
      </c>
      <c r="AV167">
        <v>10</v>
      </c>
      <c r="AW167" t="s">
        <v>74</v>
      </c>
      <c r="AX167" t="s">
        <v>74</v>
      </c>
      <c r="AY167" t="s">
        <v>74</v>
      </c>
      <c r="AZ167" t="s">
        <v>74</v>
      </c>
      <c r="BA167" t="s">
        <v>74</v>
      </c>
      <c r="BB167" t="s">
        <v>74</v>
      </c>
      <c r="BC167" t="s">
        <v>74</v>
      </c>
      <c r="BD167">
        <v>1173075</v>
      </c>
      <c r="BE167" t="s">
        <v>3571</v>
      </c>
      <c r="BF167" t="str">
        <f>HYPERLINK("http://dx.doi.org/10.3389/fmars.2023.1173075","http://dx.doi.org/10.3389/fmars.2023.1173075")</f>
        <v>http://dx.doi.org/10.3389/fmars.2023.1173075</v>
      </c>
      <c r="BG167" t="s">
        <v>74</v>
      </c>
      <c r="BH167" t="s">
        <v>74</v>
      </c>
      <c r="BI167">
        <v>6</v>
      </c>
      <c r="BJ167" t="s">
        <v>636</v>
      </c>
      <c r="BK167" t="s">
        <v>103</v>
      </c>
      <c r="BL167" t="s">
        <v>637</v>
      </c>
      <c r="BM167" t="s">
        <v>3572</v>
      </c>
      <c r="BN167" t="s">
        <v>74</v>
      </c>
      <c r="BO167" t="s">
        <v>136</v>
      </c>
      <c r="BP167" t="s">
        <v>74</v>
      </c>
      <c r="BQ167" t="s">
        <v>74</v>
      </c>
      <c r="BR167" t="s">
        <v>106</v>
      </c>
      <c r="BS167" t="s">
        <v>3573</v>
      </c>
      <c r="BT167" t="str">
        <f>HYPERLINK("https%3A%2F%2Fwww.webofscience.com%2Fwos%2Fwoscc%2Ffull-record%2FWOS:000978140700001","View Full Record in Web of Science")</f>
        <v>View Full Record in Web of Science</v>
      </c>
    </row>
    <row r="168" spans="1:72" x14ac:dyDescent="0.15">
      <c r="A168" t="s">
        <v>72</v>
      </c>
      <c r="B168" t="s">
        <v>3574</v>
      </c>
      <c r="C168" t="s">
        <v>74</v>
      </c>
      <c r="D168" t="s">
        <v>74</v>
      </c>
      <c r="E168" t="s">
        <v>74</v>
      </c>
      <c r="F168" t="s">
        <v>3575</v>
      </c>
      <c r="G168" t="s">
        <v>74</v>
      </c>
      <c r="H168" t="s">
        <v>74</v>
      </c>
      <c r="I168" t="s">
        <v>3576</v>
      </c>
      <c r="J168" t="s">
        <v>1146</v>
      </c>
      <c r="K168" t="s">
        <v>74</v>
      </c>
      <c r="L168" t="s">
        <v>74</v>
      </c>
      <c r="M168" t="s">
        <v>78</v>
      </c>
      <c r="N168" t="s">
        <v>112</v>
      </c>
      <c r="O168" t="s">
        <v>74</v>
      </c>
      <c r="P168" t="s">
        <v>74</v>
      </c>
      <c r="Q168" t="s">
        <v>74</v>
      </c>
      <c r="R168" t="s">
        <v>74</v>
      </c>
      <c r="S168" t="s">
        <v>74</v>
      </c>
      <c r="T168" t="s">
        <v>3577</v>
      </c>
      <c r="U168" t="s">
        <v>3578</v>
      </c>
      <c r="V168" t="s">
        <v>3579</v>
      </c>
      <c r="W168" t="s">
        <v>3580</v>
      </c>
      <c r="X168" t="s">
        <v>3581</v>
      </c>
      <c r="Y168" t="s">
        <v>3582</v>
      </c>
      <c r="Z168" t="s">
        <v>3583</v>
      </c>
      <c r="AA168" t="s">
        <v>3584</v>
      </c>
      <c r="AB168" t="s">
        <v>3585</v>
      </c>
      <c r="AC168" t="s">
        <v>3586</v>
      </c>
      <c r="AD168" t="s">
        <v>3587</v>
      </c>
      <c r="AE168" t="s">
        <v>3588</v>
      </c>
      <c r="AF168" t="s">
        <v>74</v>
      </c>
      <c r="AG168">
        <v>63</v>
      </c>
      <c r="AH168">
        <v>1</v>
      </c>
      <c r="AI168">
        <v>1</v>
      </c>
      <c r="AJ168">
        <v>13</v>
      </c>
      <c r="AK168">
        <v>26</v>
      </c>
      <c r="AL168" t="s">
        <v>225</v>
      </c>
      <c r="AM168" t="s">
        <v>226</v>
      </c>
      <c r="AN168" t="s">
        <v>227</v>
      </c>
      <c r="AO168" t="s">
        <v>1159</v>
      </c>
      <c r="AP168" t="s">
        <v>1160</v>
      </c>
      <c r="AQ168" t="s">
        <v>74</v>
      </c>
      <c r="AR168" t="s">
        <v>1146</v>
      </c>
      <c r="AS168" t="s">
        <v>1161</v>
      </c>
      <c r="AT168" t="s">
        <v>570</v>
      </c>
      <c r="AU168">
        <v>2023</v>
      </c>
      <c r="AV168">
        <v>329</v>
      </c>
      <c r="AW168" t="s">
        <v>74</v>
      </c>
      <c r="AX168" t="s">
        <v>74</v>
      </c>
      <c r="AY168" t="s">
        <v>74</v>
      </c>
      <c r="AZ168" t="s">
        <v>74</v>
      </c>
      <c r="BA168" t="s">
        <v>74</v>
      </c>
      <c r="BB168" t="s">
        <v>74</v>
      </c>
      <c r="BC168" t="s">
        <v>74</v>
      </c>
      <c r="BD168">
        <v>138647</v>
      </c>
      <c r="BE168" t="s">
        <v>3589</v>
      </c>
      <c r="BF168" t="str">
        <f>HYPERLINK("http://dx.doi.org/10.1016/j.chemosphere.2023.138647","http://dx.doi.org/10.1016/j.chemosphere.2023.138647")</f>
        <v>http://dx.doi.org/10.1016/j.chemosphere.2023.138647</v>
      </c>
      <c r="BG168" t="s">
        <v>74</v>
      </c>
      <c r="BH168" t="s">
        <v>427</v>
      </c>
      <c r="BI168">
        <v>9</v>
      </c>
      <c r="BJ168" t="s">
        <v>1163</v>
      </c>
      <c r="BK168" t="s">
        <v>103</v>
      </c>
      <c r="BL168" t="s">
        <v>1164</v>
      </c>
      <c r="BM168" t="s">
        <v>3590</v>
      </c>
      <c r="BN168">
        <v>37037356</v>
      </c>
      <c r="BO168" t="s">
        <v>387</v>
      </c>
      <c r="BP168" t="s">
        <v>74</v>
      </c>
      <c r="BQ168" t="s">
        <v>74</v>
      </c>
      <c r="BR168" t="s">
        <v>106</v>
      </c>
      <c r="BS168" t="s">
        <v>3591</v>
      </c>
      <c r="BT168" t="str">
        <f>HYPERLINK("https%3A%2F%2Fwww.webofscience.com%2Fwos%2Fwoscc%2Ffull-record%2FWOS:000980519700001","View Full Record in Web of Science")</f>
        <v>View Full Record in Web of Science</v>
      </c>
    </row>
    <row r="169" spans="1:72" x14ac:dyDescent="0.15">
      <c r="A169" t="s">
        <v>72</v>
      </c>
      <c r="B169" t="s">
        <v>3592</v>
      </c>
      <c r="C169" t="s">
        <v>74</v>
      </c>
      <c r="D169" t="s">
        <v>74</v>
      </c>
      <c r="E169" t="s">
        <v>74</v>
      </c>
      <c r="F169" t="s">
        <v>3593</v>
      </c>
      <c r="G169" t="s">
        <v>74</v>
      </c>
      <c r="H169" t="s">
        <v>74</v>
      </c>
      <c r="I169" t="s">
        <v>3594</v>
      </c>
      <c r="J169" t="s">
        <v>3595</v>
      </c>
      <c r="K169" t="s">
        <v>74</v>
      </c>
      <c r="L169" t="s">
        <v>74</v>
      </c>
      <c r="M169" t="s">
        <v>78</v>
      </c>
      <c r="N169" t="s">
        <v>112</v>
      </c>
      <c r="O169" t="s">
        <v>74</v>
      </c>
      <c r="P169" t="s">
        <v>74</v>
      </c>
      <c r="Q169" t="s">
        <v>74</v>
      </c>
      <c r="R169" t="s">
        <v>74</v>
      </c>
      <c r="S169" t="s">
        <v>74</v>
      </c>
      <c r="T169" t="s">
        <v>3596</v>
      </c>
      <c r="U169" t="s">
        <v>3597</v>
      </c>
      <c r="V169" t="s">
        <v>3598</v>
      </c>
      <c r="W169" t="s">
        <v>3599</v>
      </c>
      <c r="X169" t="s">
        <v>3600</v>
      </c>
      <c r="Y169" t="s">
        <v>3601</v>
      </c>
      <c r="Z169" t="s">
        <v>3602</v>
      </c>
      <c r="AA169" t="s">
        <v>3603</v>
      </c>
      <c r="AB169" t="s">
        <v>3604</v>
      </c>
      <c r="AC169" t="s">
        <v>3605</v>
      </c>
      <c r="AD169" t="s">
        <v>3606</v>
      </c>
      <c r="AE169" t="s">
        <v>3607</v>
      </c>
      <c r="AF169" t="s">
        <v>74</v>
      </c>
      <c r="AG169">
        <v>66</v>
      </c>
      <c r="AH169">
        <v>1</v>
      </c>
      <c r="AI169">
        <v>1</v>
      </c>
      <c r="AJ169">
        <v>4</v>
      </c>
      <c r="AK169">
        <v>16</v>
      </c>
      <c r="AL169" t="s">
        <v>2092</v>
      </c>
      <c r="AM169" t="s">
        <v>2093</v>
      </c>
      <c r="AN169" t="s">
        <v>2094</v>
      </c>
      <c r="AO169" t="s">
        <v>3608</v>
      </c>
      <c r="AP169" t="s">
        <v>3609</v>
      </c>
      <c r="AQ169" t="s">
        <v>74</v>
      </c>
      <c r="AR169" t="s">
        <v>3610</v>
      </c>
      <c r="AS169" t="s">
        <v>3611</v>
      </c>
      <c r="AT169" t="s">
        <v>98</v>
      </c>
      <c r="AU169">
        <v>2023</v>
      </c>
      <c r="AV169">
        <v>33</v>
      </c>
      <c r="AW169">
        <v>5</v>
      </c>
      <c r="AX169" t="s">
        <v>74</v>
      </c>
      <c r="AY169" t="s">
        <v>74</v>
      </c>
      <c r="AZ169" t="s">
        <v>74</v>
      </c>
      <c r="BA169" t="s">
        <v>74</v>
      </c>
      <c r="BB169">
        <v>431</v>
      </c>
      <c r="BC169">
        <v>442</v>
      </c>
      <c r="BD169" t="s">
        <v>74</v>
      </c>
      <c r="BE169" t="s">
        <v>3612</v>
      </c>
      <c r="BF169" t="str">
        <f>HYPERLINK("http://dx.doi.org/10.1002/aqc.3944","http://dx.doi.org/10.1002/aqc.3944")</f>
        <v>http://dx.doi.org/10.1002/aqc.3944</v>
      </c>
      <c r="BG169" t="s">
        <v>74</v>
      </c>
      <c r="BH169" t="s">
        <v>427</v>
      </c>
      <c r="BI169">
        <v>12</v>
      </c>
      <c r="BJ169" t="s">
        <v>3613</v>
      </c>
      <c r="BK169" t="s">
        <v>103</v>
      </c>
      <c r="BL169" t="s">
        <v>3614</v>
      </c>
      <c r="BM169" t="s">
        <v>3615</v>
      </c>
      <c r="BN169" t="s">
        <v>74</v>
      </c>
      <c r="BO169" t="s">
        <v>387</v>
      </c>
      <c r="BP169" t="s">
        <v>74</v>
      </c>
      <c r="BQ169" t="s">
        <v>74</v>
      </c>
      <c r="BR169" t="s">
        <v>106</v>
      </c>
      <c r="BS169" t="s">
        <v>3616</v>
      </c>
      <c r="BT169" t="str">
        <f>HYPERLINK("https%3A%2F%2Fwww.webofscience.com%2Fwos%2Fwoscc%2Ffull-record%2FWOS:000969274900001","View Full Record in Web of Science")</f>
        <v>View Full Record in Web of Science</v>
      </c>
    </row>
    <row r="170" spans="1:72" x14ac:dyDescent="0.15">
      <c r="A170" t="s">
        <v>72</v>
      </c>
      <c r="B170" t="s">
        <v>3617</v>
      </c>
      <c r="C170" t="s">
        <v>74</v>
      </c>
      <c r="D170" t="s">
        <v>74</v>
      </c>
      <c r="E170" t="s">
        <v>74</v>
      </c>
      <c r="F170" t="s">
        <v>3618</v>
      </c>
      <c r="G170" t="s">
        <v>74</v>
      </c>
      <c r="H170" t="s">
        <v>74</v>
      </c>
      <c r="I170" t="s">
        <v>3619</v>
      </c>
      <c r="J170" t="s">
        <v>3620</v>
      </c>
      <c r="K170" t="s">
        <v>74</v>
      </c>
      <c r="L170" t="s">
        <v>74</v>
      </c>
      <c r="M170" t="s">
        <v>78</v>
      </c>
      <c r="N170" t="s">
        <v>1118</v>
      </c>
      <c r="O170" t="s">
        <v>74</v>
      </c>
      <c r="P170" t="s">
        <v>74</v>
      </c>
      <c r="Q170" t="s">
        <v>74</v>
      </c>
      <c r="R170" t="s">
        <v>74</v>
      </c>
      <c r="S170" t="s">
        <v>74</v>
      </c>
      <c r="T170" t="s">
        <v>74</v>
      </c>
      <c r="U170" t="s">
        <v>3621</v>
      </c>
      <c r="V170" t="s">
        <v>3622</v>
      </c>
      <c r="W170" t="s">
        <v>3623</v>
      </c>
      <c r="X170" t="s">
        <v>3624</v>
      </c>
      <c r="Y170" t="s">
        <v>3625</v>
      </c>
      <c r="Z170" t="s">
        <v>3626</v>
      </c>
      <c r="AA170" t="s">
        <v>3627</v>
      </c>
      <c r="AB170" t="s">
        <v>3628</v>
      </c>
      <c r="AC170" t="s">
        <v>3629</v>
      </c>
      <c r="AD170" t="s">
        <v>3630</v>
      </c>
      <c r="AE170" t="s">
        <v>3631</v>
      </c>
      <c r="AF170" t="s">
        <v>74</v>
      </c>
      <c r="AG170">
        <v>69</v>
      </c>
      <c r="AH170">
        <v>3</v>
      </c>
      <c r="AI170">
        <v>3</v>
      </c>
      <c r="AJ170">
        <v>4</v>
      </c>
      <c r="AK170">
        <v>8</v>
      </c>
      <c r="AL170" t="s">
        <v>203</v>
      </c>
      <c r="AM170" t="s">
        <v>204</v>
      </c>
      <c r="AN170" t="s">
        <v>205</v>
      </c>
      <c r="AO170" t="s">
        <v>74</v>
      </c>
      <c r="AP170" t="s">
        <v>3632</v>
      </c>
      <c r="AQ170" t="s">
        <v>74</v>
      </c>
      <c r="AR170" t="s">
        <v>3633</v>
      </c>
      <c r="AS170" t="s">
        <v>3634</v>
      </c>
      <c r="AT170" t="s">
        <v>3478</v>
      </c>
      <c r="AU170">
        <v>2023</v>
      </c>
      <c r="AV170">
        <v>10</v>
      </c>
      <c r="AW170">
        <v>1</v>
      </c>
      <c r="AX170" t="s">
        <v>74</v>
      </c>
      <c r="AY170" t="s">
        <v>74</v>
      </c>
      <c r="AZ170" t="s">
        <v>74</v>
      </c>
      <c r="BA170" t="s">
        <v>74</v>
      </c>
      <c r="BB170" t="s">
        <v>74</v>
      </c>
      <c r="BC170" t="s">
        <v>74</v>
      </c>
      <c r="BD170">
        <v>200</v>
      </c>
      <c r="BE170" t="s">
        <v>3635</v>
      </c>
      <c r="BF170" t="str">
        <f>HYPERLINK("http://dx.doi.org/10.1038/s41597-023-02113-2","http://dx.doi.org/10.1038/s41597-023-02113-2")</f>
        <v>http://dx.doi.org/10.1038/s41597-023-02113-2</v>
      </c>
      <c r="BG170" t="s">
        <v>74</v>
      </c>
      <c r="BH170" t="s">
        <v>74</v>
      </c>
      <c r="BI170">
        <v>12</v>
      </c>
      <c r="BJ170" t="s">
        <v>210</v>
      </c>
      <c r="BK170" t="s">
        <v>103</v>
      </c>
      <c r="BL170" t="s">
        <v>211</v>
      </c>
      <c r="BM170" t="s">
        <v>3636</v>
      </c>
      <c r="BN170">
        <v>37041141</v>
      </c>
      <c r="BO170" t="s">
        <v>614</v>
      </c>
      <c r="BP170" t="s">
        <v>74</v>
      </c>
      <c r="BQ170" t="s">
        <v>74</v>
      </c>
      <c r="BR170" t="s">
        <v>106</v>
      </c>
      <c r="BS170" t="s">
        <v>3637</v>
      </c>
      <c r="BT170" t="str">
        <f>HYPERLINK("https%3A%2F%2Fwww.webofscience.com%2Fwos%2Fwoscc%2Ffull-record%2FWOS:000967896800001","View Full Record in Web of Science")</f>
        <v>View Full Record in Web of Science</v>
      </c>
    </row>
    <row r="171" spans="1:72" x14ac:dyDescent="0.15">
      <c r="A171" t="s">
        <v>72</v>
      </c>
      <c r="B171" t="s">
        <v>3638</v>
      </c>
      <c r="C171" t="s">
        <v>74</v>
      </c>
      <c r="D171" t="s">
        <v>74</v>
      </c>
      <c r="E171" t="s">
        <v>74</v>
      </c>
      <c r="F171" t="s">
        <v>3639</v>
      </c>
      <c r="G171" t="s">
        <v>74</v>
      </c>
      <c r="H171" t="s">
        <v>74</v>
      </c>
      <c r="I171" t="s">
        <v>3640</v>
      </c>
      <c r="J171" t="s">
        <v>3641</v>
      </c>
      <c r="K171" t="s">
        <v>74</v>
      </c>
      <c r="L171" t="s">
        <v>74</v>
      </c>
      <c r="M171" t="s">
        <v>78</v>
      </c>
      <c r="N171" t="s">
        <v>112</v>
      </c>
      <c r="O171" t="s">
        <v>74</v>
      </c>
      <c r="P171" t="s">
        <v>74</v>
      </c>
      <c r="Q171" t="s">
        <v>74</v>
      </c>
      <c r="R171" t="s">
        <v>74</v>
      </c>
      <c r="S171" t="s">
        <v>74</v>
      </c>
      <c r="T171" t="s">
        <v>3642</v>
      </c>
      <c r="U171" t="s">
        <v>3643</v>
      </c>
      <c r="V171" t="s">
        <v>3644</v>
      </c>
      <c r="W171" t="s">
        <v>3645</v>
      </c>
      <c r="X171" t="s">
        <v>3646</v>
      </c>
      <c r="Y171" t="s">
        <v>3647</v>
      </c>
      <c r="Z171" t="s">
        <v>3648</v>
      </c>
      <c r="AA171" t="s">
        <v>74</v>
      </c>
      <c r="AB171" t="s">
        <v>3649</v>
      </c>
      <c r="AC171" t="s">
        <v>3650</v>
      </c>
      <c r="AD171" t="s">
        <v>3651</v>
      </c>
      <c r="AE171" t="s">
        <v>3652</v>
      </c>
      <c r="AF171" t="s">
        <v>74</v>
      </c>
      <c r="AG171">
        <v>63</v>
      </c>
      <c r="AH171">
        <v>4</v>
      </c>
      <c r="AI171">
        <v>4</v>
      </c>
      <c r="AJ171">
        <v>6</v>
      </c>
      <c r="AK171">
        <v>16</v>
      </c>
      <c r="AL171" t="s">
        <v>1673</v>
      </c>
      <c r="AM171" t="s">
        <v>1674</v>
      </c>
      <c r="AN171" t="s">
        <v>1675</v>
      </c>
      <c r="AO171" t="s">
        <v>3653</v>
      </c>
      <c r="AP171" t="s">
        <v>3654</v>
      </c>
      <c r="AQ171" t="s">
        <v>74</v>
      </c>
      <c r="AR171" t="s">
        <v>3655</v>
      </c>
      <c r="AS171" t="s">
        <v>3656</v>
      </c>
      <c r="AT171" t="s">
        <v>3657</v>
      </c>
      <c r="AU171">
        <v>2023</v>
      </c>
      <c r="AV171">
        <v>227</v>
      </c>
      <c r="AW171" t="s">
        <v>74</v>
      </c>
      <c r="AX171" t="s">
        <v>74</v>
      </c>
      <c r="AY171" t="s">
        <v>74</v>
      </c>
      <c r="AZ171" t="s">
        <v>74</v>
      </c>
      <c r="BA171" t="s">
        <v>74</v>
      </c>
      <c r="BB171" t="s">
        <v>74</v>
      </c>
      <c r="BC171" t="s">
        <v>74</v>
      </c>
      <c r="BD171">
        <v>115785</v>
      </c>
      <c r="BE171" t="s">
        <v>3658</v>
      </c>
      <c r="BF171" t="str">
        <f>HYPERLINK("http://dx.doi.org/10.1016/j.envres.2023.115785","http://dx.doi.org/10.1016/j.envres.2023.115785")</f>
        <v>http://dx.doi.org/10.1016/j.envres.2023.115785</v>
      </c>
      <c r="BG171" t="s">
        <v>74</v>
      </c>
      <c r="BH171" t="s">
        <v>427</v>
      </c>
      <c r="BI171">
        <v>13</v>
      </c>
      <c r="BJ171" t="s">
        <v>3659</v>
      </c>
      <c r="BK171" t="s">
        <v>103</v>
      </c>
      <c r="BL171" t="s">
        <v>3660</v>
      </c>
      <c r="BM171" t="s">
        <v>3661</v>
      </c>
      <c r="BN171">
        <v>36997039</v>
      </c>
      <c r="BO171" t="s">
        <v>387</v>
      </c>
      <c r="BP171" t="s">
        <v>74</v>
      </c>
      <c r="BQ171" t="s">
        <v>74</v>
      </c>
      <c r="BR171" t="s">
        <v>106</v>
      </c>
      <c r="BS171" t="s">
        <v>3662</v>
      </c>
      <c r="BT171" t="str">
        <f>HYPERLINK("https%3A%2F%2Fwww.webofscience.com%2Fwos%2Fwoscc%2Ffull-record%2FWOS:000982767000001","View Full Record in Web of Science")</f>
        <v>View Full Record in Web of Science</v>
      </c>
    </row>
    <row r="172" spans="1:72" x14ac:dyDescent="0.15">
      <c r="A172" t="s">
        <v>72</v>
      </c>
      <c r="B172" t="s">
        <v>3663</v>
      </c>
      <c r="C172" t="s">
        <v>74</v>
      </c>
      <c r="D172" t="s">
        <v>74</v>
      </c>
      <c r="E172" t="s">
        <v>74</v>
      </c>
      <c r="F172" t="s">
        <v>3664</v>
      </c>
      <c r="G172" t="s">
        <v>74</v>
      </c>
      <c r="H172" t="s">
        <v>74</v>
      </c>
      <c r="I172" t="s">
        <v>3665</v>
      </c>
      <c r="J172" t="s">
        <v>3666</v>
      </c>
      <c r="K172" t="s">
        <v>74</v>
      </c>
      <c r="L172" t="s">
        <v>74</v>
      </c>
      <c r="M172" t="s">
        <v>78</v>
      </c>
      <c r="N172" t="s">
        <v>112</v>
      </c>
      <c r="O172" t="s">
        <v>74</v>
      </c>
      <c r="P172" t="s">
        <v>74</v>
      </c>
      <c r="Q172" t="s">
        <v>74</v>
      </c>
      <c r="R172" t="s">
        <v>74</v>
      </c>
      <c r="S172" t="s">
        <v>74</v>
      </c>
      <c r="T172" t="s">
        <v>3667</v>
      </c>
      <c r="U172" t="s">
        <v>3668</v>
      </c>
      <c r="V172" t="s">
        <v>3669</v>
      </c>
      <c r="W172" t="s">
        <v>3670</v>
      </c>
      <c r="X172" t="s">
        <v>3671</v>
      </c>
      <c r="Y172" t="s">
        <v>3672</v>
      </c>
      <c r="Z172" t="s">
        <v>3673</v>
      </c>
      <c r="AA172" t="s">
        <v>3674</v>
      </c>
      <c r="AB172" t="s">
        <v>3675</v>
      </c>
      <c r="AC172" t="s">
        <v>3676</v>
      </c>
      <c r="AD172" t="s">
        <v>3677</v>
      </c>
      <c r="AE172" t="s">
        <v>3678</v>
      </c>
      <c r="AF172" t="s">
        <v>74</v>
      </c>
      <c r="AG172">
        <v>24</v>
      </c>
      <c r="AH172">
        <v>1</v>
      </c>
      <c r="AI172">
        <v>1</v>
      </c>
      <c r="AJ172">
        <v>1</v>
      </c>
      <c r="AK172">
        <v>1</v>
      </c>
      <c r="AL172" t="s">
        <v>178</v>
      </c>
      <c r="AM172" t="s">
        <v>179</v>
      </c>
      <c r="AN172" t="s">
        <v>180</v>
      </c>
      <c r="AO172" t="s">
        <v>3679</v>
      </c>
      <c r="AP172" t="s">
        <v>3680</v>
      </c>
      <c r="AQ172" t="s">
        <v>74</v>
      </c>
      <c r="AR172" t="s">
        <v>3681</v>
      </c>
      <c r="AS172" t="s">
        <v>3682</v>
      </c>
      <c r="AT172" t="s">
        <v>232</v>
      </c>
      <c r="AU172">
        <v>2023</v>
      </c>
      <c r="AV172">
        <v>50</v>
      </c>
      <c r="AW172">
        <v>3</v>
      </c>
      <c r="AX172" t="s">
        <v>74</v>
      </c>
      <c r="AY172" t="s">
        <v>74</v>
      </c>
      <c r="AZ172" t="s">
        <v>74</v>
      </c>
      <c r="BA172" t="s">
        <v>74</v>
      </c>
      <c r="BB172">
        <v>311</v>
      </c>
      <c r="BC172">
        <v>318</v>
      </c>
      <c r="BD172" t="s">
        <v>74</v>
      </c>
      <c r="BE172" t="s">
        <v>3683</v>
      </c>
      <c r="BF172" t="str">
        <f>HYPERLINK("http://dx.doi.org/10.1134/S1062359022602476","http://dx.doi.org/10.1134/S1062359022602476")</f>
        <v>http://dx.doi.org/10.1134/S1062359022602476</v>
      </c>
      <c r="BG172" t="s">
        <v>74</v>
      </c>
      <c r="BH172" t="s">
        <v>427</v>
      </c>
      <c r="BI172">
        <v>8</v>
      </c>
      <c r="BJ172" t="s">
        <v>1018</v>
      </c>
      <c r="BK172" t="s">
        <v>103</v>
      </c>
      <c r="BL172" t="s">
        <v>1019</v>
      </c>
      <c r="BM172" t="s">
        <v>3684</v>
      </c>
      <c r="BN172" t="s">
        <v>74</v>
      </c>
      <c r="BO172" t="s">
        <v>74</v>
      </c>
      <c r="BP172" t="s">
        <v>74</v>
      </c>
      <c r="BQ172" t="s">
        <v>74</v>
      </c>
      <c r="BR172" t="s">
        <v>106</v>
      </c>
      <c r="BS172" t="s">
        <v>3685</v>
      </c>
      <c r="BT172" t="str">
        <f>HYPERLINK("https%3A%2F%2Fwww.webofscience.com%2Fwos%2Fwoscc%2Ffull-record%2FWOS:000967779800017","View Full Record in Web of Science")</f>
        <v>View Full Record in Web of Science</v>
      </c>
    </row>
    <row r="173" spans="1:72" x14ac:dyDescent="0.15">
      <c r="A173" t="s">
        <v>72</v>
      </c>
      <c r="B173" t="s">
        <v>3686</v>
      </c>
      <c r="C173" t="s">
        <v>74</v>
      </c>
      <c r="D173" t="s">
        <v>74</v>
      </c>
      <c r="E173" t="s">
        <v>74</v>
      </c>
      <c r="F173" t="s">
        <v>3687</v>
      </c>
      <c r="G173" t="s">
        <v>74</v>
      </c>
      <c r="H173" t="s">
        <v>74</v>
      </c>
      <c r="I173" t="s">
        <v>3688</v>
      </c>
      <c r="J173" t="s">
        <v>3689</v>
      </c>
      <c r="K173" t="s">
        <v>74</v>
      </c>
      <c r="L173" t="s">
        <v>74</v>
      </c>
      <c r="M173" t="s">
        <v>78</v>
      </c>
      <c r="N173" t="s">
        <v>112</v>
      </c>
      <c r="O173" t="s">
        <v>74</v>
      </c>
      <c r="P173" t="s">
        <v>74</v>
      </c>
      <c r="Q173" t="s">
        <v>74</v>
      </c>
      <c r="R173" t="s">
        <v>74</v>
      </c>
      <c r="S173" t="s">
        <v>74</v>
      </c>
      <c r="T173" t="s">
        <v>74</v>
      </c>
      <c r="U173" t="s">
        <v>3690</v>
      </c>
      <c r="V173" t="s">
        <v>3691</v>
      </c>
      <c r="W173" t="s">
        <v>3692</v>
      </c>
      <c r="X173" t="s">
        <v>3693</v>
      </c>
      <c r="Y173" t="s">
        <v>3694</v>
      </c>
      <c r="Z173" t="s">
        <v>3695</v>
      </c>
      <c r="AA173" t="s">
        <v>3696</v>
      </c>
      <c r="AB173" t="s">
        <v>3697</v>
      </c>
      <c r="AC173" t="s">
        <v>3698</v>
      </c>
      <c r="AD173" t="s">
        <v>3699</v>
      </c>
      <c r="AE173" t="s">
        <v>3700</v>
      </c>
      <c r="AF173" t="s">
        <v>74</v>
      </c>
      <c r="AG173">
        <v>63</v>
      </c>
      <c r="AH173">
        <v>0</v>
      </c>
      <c r="AI173">
        <v>0</v>
      </c>
      <c r="AJ173">
        <v>1</v>
      </c>
      <c r="AK173">
        <v>2</v>
      </c>
      <c r="AL173" t="s">
        <v>2092</v>
      </c>
      <c r="AM173" t="s">
        <v>2093</v>
      </c>
      <c r="AN173" t="s">
        <v>2094</v>
      </c>
      <c r="AO173" t="s">
        <v>3701</v>
      </c>
      <c r="AP173" t="s">
        <v>3702</v>
      </c>
      <c r="AQ173" t="s">
        <v>74</v>
      </c>
      <c r="AR173" t="s">
        <v>3703</v>
      </c>
      <c r="AS173" t="s">
        <v>3704</v>
      </c>
      <c r="AT173" t="s">
        <v>98</v>
      </c>
      <c r="AU173">
        <v>2023</v>
      </c>
      <c r="AV173">
        <v>58</v>
      </c>
      <c r="AW173">
        <v>5</v>
      </c>
      <c r="AX173" t="s">
        <v>74</v>
      </c>
      <c r="AY173" t="s">
        <v>74</v>
      </c>
      <c r="AZ173" t="s">
        <v>74</v>
      </c>
      <c r="BA173" t="s">
        <v>74</v>
      </c>
      <c r="BB173">
        <v>672</v>
      </c>
      <c r="BC173">
        <v>687</v>
      </c>
      <c r="BD173" t="s">
        <v>74</v>
      </c>
      <c r="BE173" t="s">
        <v>3705</v>
      </c>
      <c r="BF173" t="str">
        <f>HYPERLINK("http://dx.doi.org/10.1111/maps.13978","http://dx.doi.org/10.1111/maps.13978")</f>
        <v>http://dx.doi.org/10.1111/maps.13978</v>
      </c>
      <c r="BG173" t="s">
        <v>74</v>
      </c>
      <c r="BH173" t="s">
        <v>427</v>
      </c>
      <c r="BI173">
        <v>16</v>
      </c>
      <c r="BJ173" t="s">
        <v>313</v>
      </c>
      <c r="BK173" t="s">
        <v>103</v>
      </c>
      <c r="BL173" t="s">
        <v>313</v>
      </c>
      <c r="BM173" t="s">
        <v>3706</v>
      </c>
      <c r="BN173" t="s">
        <v>74</v>
      </c>
      <c r="BO173" t="s">
        <v>315</v>
      </c>
      <c r="BP173" t="s">
        <v>74</v>
      </c>
      <c r="BQ173" t="s">
        <v>74</v>
      </c>
      <c r="BR173" t="s">
        <v>106</v>
      </c>
      <c r="BS173" t="s">
        <v>3707</v>
      </c>
      <c r="BT173" t="str">
        <f>HYPERLINK("https%3A%2F%2Fwww.webofscience.com%2Fwos%2Fwoscc%2Ffull-record%2FWOS:000966267700001","View Full Record in Web of Science")</f>
        <v>View Full Record in Web of Science</v>
      </c>
    </row>
    <row r="174" spans="1:72" x14ac:dyDescent="0.15">
      <c r="A174" t="s">
        <v>72</v>
      </c>
      <c r="B174" t="s">
        <v>3708</v>
      </c>
      <c r="C174" t="s">
        <v>74</v>
      </c>
      <c r="D174" t="s">
        <v>74</v>
      </c>
      <c r="E174" t="s">
        <v>74</v>
      </c>
      <c r="F174" t="s">
        <v>3709</v>
      </c>
      <c r="G174" t="s">
        <v>74</v>
      </c>
      <c r="H174" t="s">
        <v>74</v>
      </c>
      <c r="I174" t="s">
        <v>3710</v>
      </c>
      <c r="J174" t="s">
        <v>759</v>
      </c>
      <c r="K174" t="s">
        <v>74</v>
      </c>
      <c r="L174" t="s">
        <v>74</v>
      </c>
      <c r="M174" t="s">
        <v>78</v>
      </c>
      <c r="N174" t="s">
        <v>112</v>
      </c>
      <c r="O174" t="s">
        <v>74</v>
      </c>
      <c r="P174" t="s">
        <v>74</v>
      </c>
      <c r="Q174" t="s">
        <v>74</v>
      </c>
      <c r="R174" t="s">
        <v>74</v>
      </c>
      <c r="S174" t="s">
        <v>74</v>
      </c>
      <c r="T174" t="s">
        <v>3711</v>
      </c>
      <c r="U174" t="s">
        <v>3712</v>
      </c>
      <c r="V174" t="s">
        <v>3713</v>
      </c>
      <c r="W174" t="s">
        <v>3714</v>
      </c>
      <c r="X174" t="s">
        <v>3715</v>
      </c>
      <c r="Y174" t="s">
        <v>3716</v>
      </c>
      <c r="Z174" t="s">
        <v>3717</v>
      </c>
      <c r="AA174" t="s">
        <v>3718</v>
      </c>
      <c r="AB174" t="s">
        <v>3719</v>
      </c>
      <c r="AC174" t="s">
        <v>74</v>
      </c>
      <c r="AD174" t="s">
        <v>74</v>
      </c>
      <c r="AE174" t="s">
        <v>74</v>
      </c>
      <c r="AF174" t="s">
        <v>74</v>
      </c>
      <c r="AG174">
        <v>53</v>
      </c>
      <c r="AH174">
        <v>0</v>
      </c>
      <c r="AI174">
        <v>0</v>
      </c>
      <c r="AJ174">
        <v>1</v>
      </c>
      <c r="AK174">
        <v>3</v>
      </c>
      <c r="AL174" t="s">
        <v>768</v>
      </c>
      <c r="AM174" t="s">
        <v>179</v>
      </c>
      <c r="AN174" t="s">
        <v>769</v>
      </c>
      <c r="AO174" t="s">
        <v>770</v>
      </c>
      <c r="AP174" t="s">
        <v>771</v>
      </c>
      <c r="AQ174" t="s">
        <v>74</v>
      </c>
      <c r="AR174" t="s">
        <v>772</v>
      </c>
      <c r="AS174" t="s">
        <v>773</v>
      </c>
      <c r="AT174" t="s">
        <v>1437</v>
      </c>
      <c r="AU174">
        <v>2023</v>
      </c>
      <c r="AV174">
        <v>46</v>
      </c>
      <c r="AW174">
        <v>4</v>
      </c>
      <c r="AX174" t="s">
        <v>74</v>
      </c>
      <c r="AY174" t="s">
        <v>74</v>
      </c>
      <c r="AZ174" t="s">
        <v>74</v>
      </c>
      <c r="BA174" t="s">
        <v>74</v>
      </c>
      <c r="BB174">
        <v>373</v>
      </c>
      <c r="BC174">
        <v>379</v>
      </c>
      <c r="BD174" t="s">
        <v>74</v>
      </c>
      <c r="BE174" t="s">
        <v>3720</v>
      </c>
      <c r="BF174" t="str">
        <f>HYPERLINK("http://dx.doi.org/10.1007/s00300-023-03126-8","http://dx.doi.org/10.1007/s00300-023-03126-8")</f>
        <v>http://dx.doi.org/10.1007/s00300-023-03126-8</v>
      </c>
      <c r="BG174" t="s">
        <v>74</v>
      </c>
      <c r="BH174" t="s">
        <v>427</v>
      </c>
      <c r="BI174">
        <v>7</v>
      </c>
      <c r="BJ174" t="s">
        <v>775</v>
      </c>
      <c r="BK174" t="s">
        <v>103</v>
      </c>
      <c r="BL174" t="s">
        <v>776</v>
      </c>
      <c r="BM174" t="s">
        <v>3721</v>
      </c>
      <c r="BN174" t="s">
        <v>74</v>
      </c>
      <c r="BO174" t="s">
        <v>74</v>
      </c>
      <c r="BP174" t="s">
        <v>74</v>
      </c>
      <c r="BQ174" t="s">
        <v>74</v>
      </c>
      <c r="BR174" t="s">
        <v>106</v>
      </c>
      <c r="BS174" t="s">
        <v>3722</v>
      </c>
      <c r="BT174" t="str">
        <f>HYPERLINK("https%3A%2F%2Fwww.webofscience.com%2Fwos%2Fwoscc%2Ffull-record%2FWOS:000965535300001","View Full Record in Web of Science")</f>
        <v>View Full Record in Web of Science</v>
      </c>
    </row>
    <row r="175" spans="1:72" x14ac:dyDescent="0.15">
      <c r="A175" t="s">
        <v>72</v>
      </c>
      <c r="B175" t="s">
        <v>3723</v>
      </c>
      <c r="C175" t="s">
        <v>74</v>
      </c>
      <c r="D175" t="s">
        <v>74</v>
      </c>
      <c r="E175" t="s">
        <v>74</v>
      </c>
      <c r="F175" t="s">
        <v>3724</v>
      </c>
      <c r="G175" t="s">
        <v>74</v>
      </c>
      <c r="H175" t="s">
        <v>74</v>
      </c>
      <c r="I175" t="s">
        <v>3725</v>
      </c>
      <c r="J175" t="s">
        <v>3726</v>
      </c>
      <c r="K175" t="s">
        <v>74</v>
      </c>
      <c r="L175" t="s">
        <v>74</v>
      </c>
      <c r="M175" t="s">
        <v>78</v>
      </c>
      <c r="N175" t="s">
        <v>112</v>
      </c>
      <c r="O175" t="s">
        <v>74</v>
      </c>
      <c r="P175" t="s">
        <v>74</v>
      </c>
      <c r="Q175" t="s">
        <v>74</v>
      </c>
      <c r="R175" t="s">
        <v>74</v>
      </c>
      <c r="S175" t="s">
        <v>74</v>
      </c>
      <c r="T175" t="s">
        <v>3727</v>
      </c>
      <c r="U175" t="s">
        <v>3728</v>
      </c>
      <c r="V175" t="s">
        <v>3729</v>
      </c>
      <c r="W175" t="s">
        <v>3730</v>
      </c>
      <c r="X175" t="s">
        <v>3731</v>
      </c>
      <c r="Y175" t="s">
        <v>3732</v>
      </c>
      <c r="Z175" t="s">
        <v>3733</v>
      </c>
      <c r="AA175" t="s">
        <v>3734</v>
      </c>
      <c r="AB175" t="s">
        <v>3735</v>
      </c>
      <c r="AC175" t="s">
        <v>3736</v>
      </c>
      <c r="AD175" t="s">
        <v>3737</v>
      </c>
      <c r="AE175" t="s">
        <v>3738</v>
      </c>
      <c r="AF175" t="s">
        <v>74</v>
      </c>
      <c r="AG175">
        <v>55</v>
      </c>
      <c r="AH175">
        <v>1</v>
      </c>
      <c r="AI175">
        <v>1</v>
      </c>
      <c r="AJ175">
        <v>0</v>
      </c>
      <c r="AK175">
        <v>1</v>
      </c>
      <c r="AL175" t="s">
        <v>2092</v>
      </c>
      <c r="AM175" t="s">
        <v>2093</v>
      </c>
      <c r="AN175" t="s">
        <v>2094</v>
      </c>
      <c r="AO175" t="s">
        <v>3739</v>
      </c>
      <c r="AP175" t="s">
        <v>3740</v>
      </c>
      <c r="AQ175" t="s">
        <v>74</v>
      </c>
      <c r="AR175" t="s">
        <v>3741</v>
      </c>
      <c r="AS175" t="s">
        <v>3742</v>
      </c>
      <c r="AT175" t="s">
        <v>3743</v>
      </c>
      <c r="AU175">
        <v>2023</v>
      </c>
      <c r="AV175">
        <v>77</v>
      </c>
      <c r="AW175">
        <v>4</v>
      </c>
      <c r="AX175" t="s">
        <v>74</v>
      </c>
      <c r="AY175" t="s">
        <v>74</v>
      </c>
      <c r="AZ175" t="s">
        <v>74</v>
      </c>
      <c r="BA175" t="s">
        <v>74</v>
      </c>
      <c r="BB175">
        <v>444</v>
      </c>
      <c r="BC175">
        <v>470</v>
      </c>
      <c r="BD175" t="s">
        <v>74</v>
      </c>
      <c r="BE175" t="s">
        <v>3744</v>
      </c>
      <c r="BF175" t="str">
        <f>HYPERLINK("http://dx.doi.org/10.1111/stan.12293","http://dx.doi.org/10.1111/stan.12293")</f>
        <v>http://dx.doi.org/10.1111/stan.12293</v>
      </c>
      <c r="BG175" t="s">
        <v>74</v>
      </c>
      <c r="BH175" t="s">
        <v>427</v>
      </c>
      <c r="BI175">
        <v>27</v>
      </c>
      <c r="BJ175" t="s">
        <v>3745</v>
      </c>
      <c r="BK175" t="s">
        <v>103</v>
      </c>
      <c r="BL175" t="s">
        <v>3746</v>
      </c>
      <c r="BM175" t="s">
        <v>3747</v>
      </c>
      <c r="BN175" t="s">
        <v>74</v>
      </c>
      <c r="BO175" t="s">
        <v>387</v>
      </c>
      <c r="BP175" t="s">
        <v>74</v>
      </c>
      <c r="BQ175" t="s">
        <v>74</v>
      </c>
      <c r="BR175" t="s">
        <v>106</v>
      </c>
      <c r="BS175" t="s">
        <v>3748</v>
      </c>
      <c r="BT175" t="str">
        <f>HYPERLINK("https%3A%2F%2Fwww.webofscience.com%2Fwos%2Fwoscc%2Ffull-record%2FWOS:000965481000001","View Full Record in Web of Science")</f>
        <v>View Full Record in Web of Science</v>
      </c>
    </row>
    <row r="176" spans="1:72" x14ac:dyDescent="0.15">
      <c r="A176" t="s">
        <v>72</v>
      </c>
      <c r="B176" t="s">
        <v>3749</v>
      </c>
      <c r="C176" t="s">
        <v>74</v>
      </c>
      <c r="D176" t="s">
        <v>74</v>
      </c>
      <c r="E176" t="s">
        <v>74</v>
      </c>
      <c r="F176" t="s">
        <v>3750</v>
      </c>
      <c r="G176" t="s">
        <v>74</v>
      </c>
      <c r="H176" t="s">
        <v>74</v>
      </c>
      <c r="I176" t="s">
        <v>3751</v>
      </c>
      <c r="J176" t="s">
        <v>3752</v>
      </c>
      <c r="K176" t="s">
        <v>74</v>
      </c>
      <c r="L176" t="s">
        <v>74</v>
      </c>
      <c r="M176" t="s">
        <v>78</v>
      </c>
      <c r="N176" t="s">
        <v>112</v>
      </c>
      <c r="O176" t="s">
        <v>74</v>
      </c>
      <c r="P176" t="s">
        <v>74</v>
      </c>
      <c r="Q176" t="s">
        <v>74</v>
      </c>
      <c r="R176" t="s">
        <v>74</v>
      </c>
      <c r="S176" t="s">
        <v>74</v>
      </c>
      <c r="T176" t="s">
        <v>74</v>
      </c>
      <c r="U176" t="s">
        <v>3753</v>
      </c>
      <c r="V176" t="s">
        <v>3754</v>
      </c>
      <c r="W176" t="s">
        <v>3755</v>
      </c>
      <c r="X176" t="s">
        <v>3756</v>
      </c>
      <c r="Y176" t="s">
        <v>3757</v>
      </c>
      <c r="Z176" t="s">
        <v>3758</v>
      </c>
      <c r="AA176" t="s">
        <v>74</v>
      </c>
      <c r="AB176" t="s">
        <v>74</v>
      </c>
      <c r="AC176" t="s">
        <v>3759</v>
      </c>
      <c r="AD176" t="s">
        <v>3759</v>
      </c>
      <c r="AE176" t="s">
        <v>3760</v>
      </c>
      <c r="AF176" t="s">
        <v>74</v>
      </c>
      <c r="AG176">
        <v>43</v>
      </c>
      <c r="AH176">
        <v>0</v>
      </c>
      <c r="AI176">
        <v>0</v>
      </c>
      <c r="AJ176">
        <v>3</v>
      </c>
      <c r="AK176">
        <v>6</v>
      </c>
      <c r="AL176" t="s">
        <v>2092</v>
      </c>
      <c r="AM176" t="s">
        <v>2093</v>
      </c>
      <c r="AN176" t="s">
        <v>2094</v>
      </c>
      <c r="AO176" t="s">
        <v>3761</v>
      </c>
      <c r="AP176" t="s">
        <v>3762</v>
      </c>
      <c r="AQ176" t="s">
        <v>74</v>
      </c>
      <c r="AR176" t="s">
        <v>3763</v>
      </c>
      <c r="AS176" t="s">
        <v>3764</v>
      </c>
      <c r="AT176" t="s">
        <v>232</v>
      </c>
      <c r="AU176">
        <v>2023</v>
      </c>
      <c r="AV176">
        <v>21</v>
      </c>
      <c r="AW176">
        <v>5</v>
      </c>
      <c r="AX176" t="s">
        <v>74</v>
      </c>
      <c r="AY176" t="s">
        <v>74</v>
      </c>
      <c r="AZ176" t="s">
        <v>74</v>
      </c>
      <c r="BA176" t="s">
        <v>74</v>
      </c>
      <c r="BB176">
        <v>227</v>
      </c>
      <c r="BC176">
        <v>233</v>
      </c>
      <c r="BD176" t="s">
        <v>74</v>
      </c>
      <c r="BE176" t="s">
        <v>3765</v>
      </c>
      <c r="BF176" t="str">
        <f>HYPERLINK("http://dx.doi.org/10.1002/fee.2622","http://dx.doi.org/10.1002/fee.2622")</f>
        <v>http://dx.doi.org/10.1002/fee.2622</v>
      </c>
      <c r="BG176" t="s">
        <v>74</v>
      </c>
      <c r="BH176" t="s">
        <v>427</v>
      </c>
      <c r="BI176">
        <v>7</v>
      </c>
      <c r="BJ176" t="s">
        <v>3766</v>
      </c>
      <c r="BK176" t="s">
        <v>103</v>
      </c>
      <c r="BL176" t="s">
        <v>1164</v>
      </c>
      <c r="BM176" t="s">
        <v>3767</v>
      </c>
      <c r="BN176" t="s">
        <v>74</v>
      </c>
      <c r="BO176" t="s">
        <v>387</v>
      </c>
      <c r="BP176" t="s">
        <v>74</v>
      </c>
      <c r="BQ176" t="s">
        <v>74</v>
      </c>
      <c r="BR176" t="s">
        <v>106</v>
      </c>
      <c r="BS176" t="s">
        <v>3768</v>
      </c>
      <c r="BT176" t="str">
        <f>HYPERLINK("https%3A%2F%2Fwww.webofscience.com%2Fwos%2Fwoscc%2Ffull-record%2FWOS:000965934200001","View Full Record in Web of Science")</f>
        <v>View Full Record in Web of Science</v>
      </c>
    </row>
    <row r="177" spans="1:72" x14ac:dyDescent="0.15">
      <c r="A177" t="s">
        <v>72</v>
      </c>
      <c r="B177" t="s">
        <v>3769</v>
      </c>
      <c r="C177" t="s">
        <v>74</v>
      </c>
      <c r="D177" t="s">
        <v>74</v>
      </c>
      <c r="E177" t="s">
        <v>74</v>
      </c>
      <c r="F177" t="s">
        <v>3770</v>
      </c>
      <c r="G177" t="s">
        <v>74</v>
      </c>
      <c r="H177" t="s">
        <v>74</v>
      </c>
      <c r="I177" t="s">
        <v>3771</v>
      </c>
      <c r="J177" t="s">
        <v>3772</v>
      </c>
      <c r="K177" t="s">
        <v>74</v>
      </c>
      <c r="L177" t="s">
        <v>74</v>
      </c>
      <c r="M177" t="s">
        <v>78</v>
      </c>
      <c r="N177" t="s">
        <v>112</v>
      </c>
      <c r="O177" t="s">
        <v>74</v>
      </c>
      <c r="P177" t="s">
        <v>74</v>
      </c>
      <c r="Q177" t="s">
        <v>74</v>
      </c>
      <c r="R177" t="s">
        <v>74</v>
      </c>
      <c r="S177" t="s">
        <v>74</v>
      </c>
      <c r="T177" t="s">
        <v>3773</v>
      </c>
      <c r="U177" t="s">
        <v>3774</v>
      </c>
      <c r="V177" t="s">
        <v>3775</v>
      </c>
      <c r="W177" t="s">
        <v>3776</v>
      </c>
      <c r="X177" t="s">
        <v>3777</v>
      </c>
      <c r="Y177" t="s">
        <v>3778</v>
      </c>
      <c r="Z177" t="s">
        <v>3779</v>
      </c>
      <c r="AA177" t="s">
        <v>3780</v>
      </c>
      <c r="AB177" t="s">
        <v>3781</v>
      </c>
      <c r="AC177" t="s">
        <v>3782</v>
      </c>
      <c r="AD177" t="s">
        <v>3782</v>
      </c>
      <c r="AE177" t="s">
        <v>3783</v>
      </c>
      <c r="AF177" t="s">
        <v>74</v>
      </c>
      <c r="AG177">
        <v>76</v>
      </c>
      <c r="AH177">
        <v>1</v>
      </c>
      <c r="AI177">
        <v>1</v>
      </c>
      <c r="AJ177">
        <v>13</v>
      </c>
      <c r="AK177">
        <v>21</v>
      </c>
      <c r="AL177" t="s">
        <v>2116</v>
      </c>
      <c r="AM177" t="s">
        <v>226</v>
      </c>
      <c r="AN177" t="s">
        <v>2117</v>
      </c>
      <c r="AO177" t="s">
        <v>3784</v>
      </c>
      <c r="AP177" t="s">
        <v>3785</v>
      </c>
      <c r="AQ177" t="s">
        <v>74</v>
      </c>
      <c r="AR177" t="s">
        <v>3786</v>
      </c>
      <c r="AS177" t="s">
        <v>3787</v>
      </c>
      <c r="AT177" t="s">
        <v>3788</v>
      </c>
      <c r="AU177">
        <v>2024</v>
      </c>
      <c r="AV177">
        <v>81</v>
      </c>
      <c r="AW177">
        <v>1</v>
      </c>
      <c r="AX177" t="s">
        <v>74</v>
      </c>
      <c r="AY177" t="s">
        <v>74</v>
      </c>
      <c r="AZ177" t="s">
        <v>74</v>
      </c>
      <c r="BA177" t="s">
        <v>74</v>
      </c>
      <c r="BB177">
        <v>43</v>
      </c>
      <c r="BC177">
        <v>54</v>
      </c>
      <c r="BD177" t="s">
        <v>74</v>
      </c>
      <c r="BE177" t="s">
        <v>3789</v>
      </c>
      <c r="BF177" t="str">
        <f>HYPERLINK("http://dx.doi.org/10.1093/icesjms/fsad055","http://dx.doi.org/10.1093/icesjms/fsad055")</f>
        <v>http://dx.doi.org/10.1093/icesjms/fsad055</v>
      </c>
      <c r="BG177" t="s">
        <v>74</v>
      </c>
      <c r="BH177" t="s">
        <v>427</v>
      </c>
      <c r="BI177">
        <v>12</v>
      </c>
      <c r="BJ177" t="s">
        <v>3790</v>
      </c>
      <c r="BK177" t="s">
        <v>103</v>
      </c>
      <c r="BL177" t="s">
        <v>3790</v>
      </c>
      <c r="BM177" t="s">
        <v>3791</v>
      </c>
      <c r="BN177" t="s">
        <v>74</v>
      </c>
      <c r="BO177" t="s">
        <v>3241</v>
      </c>
      <c r="BP177" t="s">
        <v>74</v>
      </c>
      <c r="BQ177" t="s">
        <v>74</v>
      </c>
      <c r="BR177" t="s">
        <v>106</v>
      </c>
      <c r="BS177" t="s">
        <v>3792</v>
      </c>
      <c r="BT177" t="str">
        <f>HYPERLINK("https%3A%2F%2Fwww.webofscience.com%2Fwos%2Fwoscc%2Ffull-record%2FWOS:000989540500001","View Full Record in Web of Science")</f>
        <v>View Full Record in Web of Science</v>
      </c>
    </row>
    <row r="178" spans="1:72" x14ac:dyDescent="0.15">
      <c r="A178" t="s">
        <v>72</v>
      </c>
      <c r="B178" t="s">
        <v>3793</v>
      </c>
      <c r="C178" t="s">
        <v>74</v>
      </c>
      <c r="D178" t="s">
        <v>74</v>
      </c>
      <c r="E178" t="s">
        <v>74</v>
      </c>
      <c r="F178" t="s">
        <v>3794</v>
      </c>
      <c r="G178" t="s">
        <v>74</v>
      </c>
      <c r="H178" t="s">
        <v>74</v>
      </c>
      <c r="I178" t="s">
        <v>3795</v>
      </c>
      <c r="J178" t="s">
        <v>3796</v>
      </c>
      <c r="K178" t="s">
        <v>74</v>
      </c>
      <c r="L178" t="s">
        <v>74</v>
      </c>
      <c r="M178" t="s">
        <v>78</v>
      </c>
      <c r="N178" t="s">
        <v>112</v>
      </c>
      <c r="O178" t="s">
        <v>74</v>
      </c>
      <c r="P178" t="s">
        <v>74</v>
      </c>
      <c r="Q178" t="s">
        <v>74</v>
      </c>
      <c r="R178" t="s">
        <v>74</v>
      </c>
      <c r="S178" t="s">
        <v>74</v>
      </c>
      <c r="T178" t="s">
        <v>3797</v>
      </c>
      <c r="U178" t="s">
        <v>3798</v>
      </c>
      <c r="V178" t="s">
        <v>3799</v>
      </c>
      <c r="W178" t="s">
        <v>3800</v>
      </c>
      <c r="X178" t="s">
        <v>3801</v>
      </c>
      <c r="Y178" t="s">
        <v>3802</v>
      </c>
      <c r="Z178" t="s">
        <v>3803</v>
      </c>
      <c r="AA178" t="s">
        <v>3804</v>
      </c>
      <c r="AB178" t="s">
        <v>3805</v>
      </c>
      <c r="AC178" t="s">
        <v>3806</v>
      </c>
      <c r="AD178" t="s">
        <v>3806</v>
      </c>
      <c r="AE178" t="s">
        <v>3807</v>
      </c>
      <c r="AF178" t="s">
        <v>74</v>
      </c>
      <c r="AG178">
        <v>45</v>
      </c>
      <c r="AH178">
        <v>2</v>
      </c>
      <c r="AI178">
        <v>2</v>
      </c>
      <c r="AJ178">
        <v>1</v>
      </c>
      <c r="AK178">
        <v>8</v>
      </c>
      <c r="AL178" t="s">
        <v>2116</v>
      </c>
      <c r="AM178" t="s">
        <v>226</v>
      </c>
      <c r="AN178" t="s">
        <v>2117</v>
      </c>
      <c r="AO178" t="s">
        <v>3808</v>
      </c>
      <c r="AP178" t="s">
        <v>3809</v>
      </c>
      <c r="AQ178" t="s">
        <v>74</v>
      </c>
      <c r="AR178" t="s">
        <v>3810</v>
      </c>
      <c r="AS178" t="s">
        <v>3811</v>
      </c>
      <c r="AT178" t="s">
        <v>3812</v>
      </c>
      <c r="AU178">
        <v>2023</v>
      </c>
      <c r="AV178">
        <v>99</v>
      </c>
      <c r="AW178">
        <v>5</v>
      </c>
      <c r="AX178" t="s">
        <v>74</v>
      </c>
      <c r="AY178" t="s">
        <v>74</v>
      </c>
      <c r="AZ178" t="s">
        <v>74</v>
      </c>
      <c r="BA178" t="s">
        <v>74</v>
      </c>
      <c r="BB178" t="s">
        <v>74</v>
      </c>
      <c r="BC178" t="s">
        <v>74</v>
      </c>
      <c r="BD178" t="s">
        <v>3813</v>
      </c>
      <c r="BE178" t="s">
        <v>3814</v>
      </c>
      <c r="BF178" t="str">
        <f>HYPERLINK("http://dx.doi.org/10.1093/femsec/fiad045","http://dx.doi.org/10.1093/femsec/fiad045")</f>
        <v>http://dx.doi.org/10.1093/femsec/fiad045</v>
      </c>
      <c r="BG178" t="s">
        <v>74</v>
      </c>
      <c r="BH178" t="s">
        <v>74</v>
      </c>
      <c r="BI178">
        <v>8</v>
      </c>
      <c r="BJ178" t="s">
        <v>1387</v>
      </c>
      <c r="BK178" t="s">
        <v>103</v>
      </c>
      <c r="BL178" t="s">
        <v>1387</v>
      </c>
      <c r="BM178" t="s">
        <v>3815</v>
      </c>
      <c r="BN178">
        <v>37160346</v>
      </c>
      <c r="BO178" t="s">
        <v>74</v>
      </c>
      <c r="BP178" t="s">
        <v>74</v>
      </c>
      <c r="BQ178" t="s">
        <v>74</v>
      </c>
      <c r="BR178" t="s">
        <v>106</v>
      </c>
      <c r="BS178" t="s">
        <v>3816</v>
      </c>
      <c r="BT178" t="str">
        <f>HYPERLINK("https%3A%2F%2Fwww.webofscience.com%2Fwos%2Fwoscc%2Ffull-record%2FWOS:000990752100002","View Full Record in Web of Science")</f>
        <v>View Full Record in Web of Science</v>
      </c>
    </row>
    <row r="179" spans="1:72" x14ac:dyDescent="0.15">
      <c r="A179" t="s">
        <v>72</v>
      </c>
      <c r="B179" t="s">
        <v>3817</v>
      </c>
      <c r="C179" t="s">
        <v>74</v>
      </c>
      <c r="D179" t="s">
        <v>74</v>
      </c>
      <c r="E179" t="s">
        <v>74</v>
      </c>
      <c r="F179" t="s">
        <v>3818</v>
      </c>
      <c r="G179" t="s">
        <v>74</v>
      </c>
      <c r="H179" t="s">
        <v>74</v>
      </c>
      <c r="I179" t="s">
        <v>3819</v>
      </c>
      <c r="J179" t="s">
        <v>3820</v>
      </c>
      <c r="K179" t="s">
        <v>74</v>
      </c>
      <c r="L179" t="s">
        <v>74</v>
      </c>
      <c r="M179" t="s">
        <v>78</v>
      </c>
      <c r="N179" t="s">
        <v>112</v>
      </c>
      <c r="O179" t="s">
        <v>74</v>
      </c>
      <c r="P179" t="s">
        <v>74</v>
      </c>
      <c r="Q179" t="s">
        <v>74</v>
      </c>
      <c r="R179" t="s">
        <v>74</v>
      </c>
      <c r="S179" t="s">
        <v>74</v>
      </c>
      <c r="T179" t="s">
        <v>3821</v>
      </c>
      <c r="U179" t="s">
        <v>3822</v>
      </c>
      <c r="V179" t="s">
        <v>3823</v>
      </c>
      <c r="W179" t="s">
        <v>3824</v>
      </c>
      <c r="X179" t="s">
        <v>3825</v>
      </c>
      <c r="Y179" t="s">
        <v>3826</v>
      </c>
      <c r="Z179" t="s">
        <v>3827</v>
      </c>
      <c r="AA179" t="s">
        <v>3828</v>
      </c>
      <c r="AB179" t="s">
        <v>3829</v>
      </c>
      <c r="AC179" t="s">
        <v>3830</v>
      </c>
      <c r="AD179" t="s">
        <v>3831</v>
      </c>
      <c r="AE179" t="s">
        <v>3832</v>
      </c>
      <c r="AF179" t="s">
        <v>74</v>
      </c>
      <c r="AG179">
        <v>82</v>
      </c>
      <c r="AH179">
        <v>0</v>
      </c>
      <c r="AI179">
        <v>0</v>
      </c>
      <c r="AJ179">
        <v>2</v>
      </c>
      <c r="AK179">
        <v>7</v>
      </c>
      <c r="AL179" t="s">
        <v>225</v>
      </c>
      <c r="AM179" t="s">
        <v>226</v>
      </c>
      <c r="AN179" t="s">
        <v>227</v>
      </c>
      <c r="AO179" t="s">
        <v>3833</v>
      </c>
      <c r="AP179" t="s">
        <v>3834</v>
      </c>
      <c r="AQ179" t="s">
        <v>74</v>
      </c>
      <c r="AR179" t="s">
        <v>3835</v>
      </c>
      <c r="AS179" t="s">
        <v>3836</v>
      </c>
      <c r="AT179" t="s">
        <v>98</v>
      </c>
      <c r="AU179">
        <v>2023</v>
      </c>
      <c r="AV179">
        <v>179</v>
      </c>
      <c r="AW179" t="s">
        <v>74</v>
      </c>
      <c r="AX179" t="s">
        <v>74</v>
      </c>
      <c r="AY179" t="s">
        <v>74</v>
      </c>
      <c r="AZ179" t="s">
        <v>74</v>
      </c>
      <c r="BA179" t="s">
        <v>74</v>
      </c>
      <c r="BB179" t="s">
        <v>74</v>
      </c>
      <c r="BC179" t="s">
        <v>74</v>
      </c>
      <c r="BD179">
        <v>104587</v>
      </c>
      <c r="BE179" t="s">
        <v>3837</v>
      </c>
      <c r="BF179" t="str">
        <f>HYPERLINK("http://dx.doi.org/10.1016/j.orggeochem.2023.104587","http://dx.doi.org/10.1016/j.orggeochem.2023.104587")</f>
        <v>http://dx.doi.org/10.1016/j.orggeochem.2023.104587</v>
      </c>
      <c r="BG179" t="s">
        <v>74</v>
      </c>
      <c r="BH179" t="s">
        <v>427</v>
      </c>
      <c r="BI179">
        <v>14</v>
      </c>
      <c r="BJ179" t="s">
        <v>313</v>
      </c>
      <c r="BK179" t="s">
        <v>103</v>
      </c>
      <c r="BL179" t="s">
        <v>313</v>
      </c>
      <c r="BM179" t="s">
        <v>3838</v>
      </c>
      <c r="BN179" t="s">
        <v>74</v>
      </c>
      <c r="BO179" t="s">
        <v>928</v>
      </c>
      <c r="BP179" t="s">
        <v>74</v>
      </c>
      <c r="BQ179" t="s">
        <v>74</v>
      </c>
      <c r="BR179" t="s">
        <v>106</v>
      </c>
      <c r="BS179" t="s">
        <v>3839</v>
      </c>
      <c r="BT179" t="str">
        <f>HYPERLINK("https%3A%2F%2Fwww.webofscience.com%2Fwos%2Fwoscc%2Ffull-record%2FWOS:000981335700001","View Full Record in Web of Science")</f>
        <v>View Full Record in Web of Science</v>
      </c>
    </row>
    <row r="180" spans="1:72" x14ac:dyDescent="0.15">
      <c r="A180" t="s">
        <v>72</v>
      </c>
      <c r="B180" t="s">
        <v>3840</v>
      </c>
      <c r="C180" t="s">
        <v>74</v>
      </c>
      <c r="D180" t="s">
        <v>74</v>
      </c>
      <c r="E180" t="s">
        <v>74</v>
      </c>
      <c r="F180" t="s">
        <v>3841</v>
      </c>
      <c r="G180" t="s">
        <v>74</v>
      </c>
      <c r="H180" t="s">
        <v>74</v>
      </c>
      <c r="I180" t="s">
        <v>3842</v>
      </c>
      <c r="J180" t="s">
        <v>3843</v>
      </c>
      <c r="K180" t="s">
        <v>74</v>
      </c>
      <c r="L180" t="s">
        <v>74</v>
      </c>
      <c r="M180" t="s">
        <v>78</v>
      </c>
      <c r="N180" t="s">
        <v>3844</v>
      </c>
      <c r="O180" t="s">
        <v>74</v>
      </c>
      <c r="P180" t="s">
        <v>74</v>
      </c>
      <c r="Q180" t="s">
        <v>74</v>
      </c>
      <c r="R180" t="s">
        <v>74</v>
      </c>
      <c r="S180" t="s">
        <v>74</v>
      </c>
      <c r="T180" t="s">
        <v>74</v>
      </c>
      <c r="U180" t="s">
        <v>74</v>
      </c>
      <c r="V180" t="s">
        <v>74</v>
      </c>
      <c r="W180" t="s">
        <v>3845</v>
      </c>
      <c r="X180" t="s">
        <v>3846</v>
      </c>
      <c r="Y180" t="s">
        <v>3847</v>
      </c>
      <c r="Z180" t="s">
        <v>3848</v>
      </c>
      <c r="AA180" t="s">
        <v>3849</v>
      </c>
      <c r="AB180" t="s">
        <v>3850</v>
      </c>
      <c r="AC180" t="s">
        <v>74</v>
      </c>
      <c r="AD180" t="s">
        <v>74</v>
      </c>
      <c r="AE180" t="s">
        <v>74</v>
      </c>
      <c r="AF180" t="s">
        <v>74</v>
      </c>
      <c r="AG180">
        <v>1</v>
      </c>
      <c r="AH180">
        <v>0</v>
      </c>
      <c r="AI180">
        <v>0</v>
      </c>
      <c r="AJ180">
        <v>0</v>
      </c>
      <c r="AK180">
        <v>3</v>
      </c>
      <c r="AL180" t="s">
        <v>1357</v>
      </c>
      <c r="AM180" t="s">
        <v>525</v>
      </c>
      <c r="AN180" t="s">
        <v>1358</v>
      </c>
      <c r="AO180" t="s">
        <v>3851</v>
      </c>
      <c r="AP180" t="s">
        <v>3852</v>
      </c>
      <c r="AQ180" t="s">
        <v>74</v>
      </c>
      <c r="AR180" t="s">
        <v>3853</v>
      </c>
      <c r="AS180" t="s">
        <v>3854</v>
      </c>
      <c r="AT180" t="s">
        <v>98</v>
      </c>
      <c r="AU180">
        <v>2023</v>
      </c>
      <c r="AV180">
        <v>5</v>
      </c>
      <c r="AW180">
        <v>2</v>
      </c>
      <c r="AX180" t="s">
        <v>74</v>
      </c>
      <c r="AY180" t="s">
        <v>74</v>
      </c>
      <c r="AZ180" t="s">
        <v>74</v>
      </c>
      <c r="BA180" t="s">
        <v>74</v>
      </c>
      <c r="BB180">
        <v>286</v>
      </c>
      <c r="BC180">
        <v>288</v>
      </c>
      <c r="BD180" t="s">
        <v>74</v>
      </c>
      <c r="BE180" t="s">
        <v>3855</v>
      </c>
      <c r="BF180" t="str">
        <f>HYPERLINK("http://dx.doi.org/10.1007/s42995-023-00166-1","http://dx.doi.org/10.1007/s42995-023-00166-1")</f>
        <v>http://dx.doi.org/10.1007/s42995-023-00166-1</v>
      </c>
      <c r="BG180" t="s">
        <v>74</v>
      </c>
      <c r="BH180" t="s">
        <v>427</v>
      </c>
      <c r="BI180">
        <v>3</v>
      </c>
      <c r="BJ180" t="s">
        <v>385</v>
      </c>
      <c r="BK180" t="s">
        <v>103</v>
      </c>
      <c r="BL180" t="s">
        <v>385</v>
      </c>
      <c r="BM180" t="s">
        <v>3856</v>
      </c>
      <c r="BN180">
        <v>37275540</v>
      </c>
      <c r="BO180" t="s">
        <v>1748</v>
      </c>
      <c r="BP180" t="s">
        <v>74</v>
      </c>
      <c r="BQ180" t="s">
        <v>74</v>
      </c>
      <c r="BR180" t="s">
        <v>106</v>
      </c>
      <c r="BS180" t="s">
        <v>3857</v>
      </c>
      <c r="BT180" t="str">
        <f>HYPERLINK("https%3A%2F%2Fwww.webofscience.com%2Fwos%2Fwoscc%2Ffull-record%2FWOS:000965112300001","View Full Record in Web of Science")</f>
        <v>View Full Record in Web of Science</v>
      </c>
    </row>
    <row r="181" spans="1:72" x14ac:dyDescent="0.15">
      <c r="A181" t="s">
        <v>72</v>
      </c>
      <c r="B181" t="s">
        <v>3858</v>
      </c>
      <c r="C181" t="s">
        <v>74</v>
      </c>
      <c r="D181" t="s">
        <v>74</v>
      </c>
      <c r="E181" t="s">
        <v>74</v>
      </c>
      <c r="F181" t="s">
        <v>3859</v>
      </c>
      <c r="G181" t="s">
        <v>74</v>
      </c>
      <c r="H181" t="s">
        <v>74</v>
      </c>
      <c r="I181" t="s">
        <v>3860</v>
      </c>
      <c r="J181" t="s">
        <v>759</v>
      </c>
      <c r="K181" t="s">
        <v>74</v>
      </c>
      <c r="L181" t="s">
        <v>74</v>
      </c>
      <c r="M181" t="s">
        <v>78</v>
      </c>
      <c r="N181" t="s">
        <v>112</v>
      </c>
      <c r="O181" t="s">
        <v>74</v>
      </c>
      <c r="P181" t="s">
        <v>74</v>
      </c>
      <c r="Q181" t="s">
        <v>74</v>
      </c>
      <c r="R181" t="s">
        <v>74</v>
      </c>
      <c r="S181" t="s">
        <v>74</v>
      </c>
      <c r="T181" t="s">
        <v>3861</v>
      </c>
      <c r="U181" t="s">
        <v>3862</v>
      </c>
      <c r="V181" t="s">
        <v>3863</v>
      </c>
      <c r="W181" t="s">
        <v>3864</v>
      </c>
      <c r="X181" t="s">
        <v>3865</v>
      </c>
      <c r="Y181" t="s">
        <v>3866</v>
      </c>
      <c r="Z181" t="s">
        <v>3867</v>
      </c>
      <c r="AA181" t="s">
        <v>3868</v>
      </c>
      <c r="AB181" t="s">
        <v>3869</v>
      </c>
      <c r="AC181" t="s">
        <v>74</v>
      </c>
      <c r="AD181" t="s">
        <v>74</v>
      </c>
      <c r="AE181" t="s">
        <v>74</v>
      </c>
      <c r="AF181" t="s">
        <v>74</v>
      </c>
      <c r="AG181">
        <v>109</v>
      </c>
      <c r="AH181">
        <v>0</v>
      </c>
      <c r="AI181">
        <v>0</v>
      </c>
      <c r="AJ181">
        <v>2</v>
      </c>
      <c r="AK181">
        <v>8</v>
      </c>
      <c r="AL181" t="s">
        <v>768</v>
      </c>
      <c r="AM181" t="s">
        <v>179</v>
      </c>
      <c r="AN181" t="s">
        <v>769</v>
      </c>
      <c r="AO181" t="s">
        <v>770</v>
      </c>
      <c r="AP181" t="s">
        <v>771</v>
      </c>
      <c r="AQ181" t="s">
        <v>74</v>
      </c>
      <c r="AR181" t="s">
        <v>772</v>
      </c>
      <c r="AS181" t="s">
        <v>773</v>
      </c>
      <c r="AT181" t="s">
        <v>1437</v>
      </c>
      <c r="AU181">
        <v>2023</v>
      </c>
      <c r="AV181">
        <v>46</v>
      </c>
      <c r="AW181">
        <v>4</v>
      </c>
      <c r="AX181" t="s">
        <v>74</v>
      </c>
      <c r="AY181" t="s">
        <v>74</v>
      </c>
      <c r="AZ181" t="s">
        <v>74</v>
      </c>
      <c r="BA181" t="s">
        <v>74</v>
      </c>
      <c r="BB181">
        <v>339</v>
      </c>
      <c r="BC181">
        <v>355</v>
      </c>
      <c r="BD181" t="s">
        <v>74</v>
      </c>
      <c r="BE181" t="s">
        <v>3870</v>
      </c>
      <c r="BF181" t="str">
        <f>HYPERLINK("http://dx.doi.org/10.1007/s00300-023-03127-7","http://dx.doi.org/10.1007/s00300-023-03127-7")</f>
        <v>http://dx.doi.org/10.1007/s00300-023-03127-7</v>
      </c>
      <c r="BG181" t="s">
        <v>74</v>
      </c>
      <c r="BH181" t="s">
        <v>427</v>
      </c>
      <c r="BI181">
        <v>17</v>
      </c>
      <c r="BJ181" t="s">
        <v>775</v>
      </c>
      <c r="BK181" t="s">
        <v>103</v>
      </c>
      <c r="BL181" t="s">
        <v>776</v>
      </c>
      <c r="BM181" t="s">
        <v>3721</v>
      </c>
      <c r="BN181" t="s">
        <v>74</v>
      </c>
      <c r="BO181" t="s">
        <v>3871</v>
      </c>
      <c r="BP181" t="s">
        <v>74</v>
      </c>
      <c r="BQ181" t="s">
        <v>74</v>
      </c>
      <c r="BR181" t="s">
        <v>106</v>
      </c>
      <c r="BS181" t="s">
        <v>3872</v>
      </c>
      <c r="BT181" t="str">
        <f>HYPERLINK("https%3A%2F%2Fwww.webofscience.com%2Fwos%2Fwoscc%2Ffull-record%2FWOS:000963367700001","View Full Record in Web of Science")</f>
        <v>View Full Record in Web of Science</v>
      </c>
    </row>
    <row r="182" spans="1:72" x14ac:dyDescent="0.15">
      <c r="A182" t="s">
        <v>72</v>
      </c>
      <c r="B182" t="s">
        <v>3873</v>
      </c>
      <c r="C182" t="s">
        <v>74</v>
      </c>
      <c r="D182" t="s">
        <v>74</v>
      </c>
      <c r="E182" t="s">
        <v>74</v>
      </c>
      <c r="F182" t="s">
        <v>3874</v>
      </c>
      <c r="G182" t="s">
        <v>74</v>
      </c>
      <c r="H182" t="s">
        <v>74</v>
      </c>
      <c r="I182" t="s">
        <v>3875</v>
      </c>
      <c r="J182" t="s">
        <v>3876</v>
      </c>
      <c r="K182" t="s">
        <v>74</v>
      </c>
      <c r="L182" t="s">
        <v>74</v>
      </c>
      <c r="M182" t="s">
        <v>78</v>
      </c>
      <c r="N182" t="s">
        <v>112</v>
      </c>
      <c r="O182" t="s">
        <v>74</v>
      </c>
      <c r="P182" t="s">
        <v>74</v>
      </c>
      <c r="Q182" t="s">
        <v>74</v>
      </c>
      <c r="R182" t="s">
        <v>74</v>
      </c>
      <c r="S182" t="s">
        <v>74</v>
      </c>
      <c r="T182" t="s">
        <v>3877</v>
      </c>
      <c r="U182" t="s">
        <v>3878</v>
      </c>
      <c r="V182" t="s">
        <v>3879</v>
      </c>
      <c r="W182" t="s">
        <v>3880</v>
      </c>
      <c r="X182" t="s">
        <v>3881</v>
      </c>
      <c r="Y182" t="s">
        <v>3882</v>
      </c>
      <c r="Z182" t="s">
        <v>3883</v>
      </c>
      <c r="AA182" t="s">
        <v>3884</v>
      </c>
      <c r="AB182" t="s">
        <v>3885</v>
      </c>
      <c r="AC182" t="s">
        <v>3886</v>
      </c>
      <c r="AD182" t="s">
        <v>3887</v>
      </c>
      <c r="AE182" t="s">
        <v>3888</v>
      </c>
      <c r="AF182" t="s">
        <v>74</v>
      </c>
      <c r="AG182">
        <v>103</v>
      </c>
      <c r="AH182">
        <v>5</v>
      </c>
      <c r="AI182">
        <v>5</v>
      </c>
      <c r="AJ182">
        <v>4</v>
      </c>
      <c r="AK182">
        <v>4</v>
      </c>
      <c r="AL182" t="s">
        <v>3889</v>
      </c>
      <c r="AM182" t="s">
        <v>3890</v>
      </c>
      <c r="AN182" t="s">
        <v>3891</v>
      </c>
      <c r="AO182" t="s">
        <v>3892</v>
      </c>
      <c r="AP182" t="s">
        <v>74</v>
      </c>
      <c r="AQ182" t="s">
        <v>74</v>
      </c>
      <c r="AR182" t="s">
        <v>3893</v>
      </c>
      <c r="AS182" t="s">
        <v>3894</v>
      </c>
      <c r="AT182" t="s">
        <v>3895</v>
      </c>
      <c r="AU182">
        <v>2023</v>
      </c>
      <c r="AV182">
        <v>11</v>
      </c>
      <c r="AW182">
        <v>1</v>
      </c>
      <c r="AX182" t="s">
        <v>74</v>
      </c>
      <c r="AY182" t="s">
        <v>74</v>
      </c>
      <c r="AZ182" t="s">
        <v>74</v>
      </c>
      <c r="BA182" t="s">
        <v>74</v>
      </c>
      <c r="BB182" t="s">
        <v>74</v>
      </c>
      <c r="BC182" t="s">
        <v>74</v>
      </c>
      <c r="BD182">
        <v>130</v>
      </c>
      <c r="BE182" t="s">
        <v>3896</v>
      </c>
      <c r="BF182" t="str">
        <f>HYPERLINK("http://dx.doi.org/10.1525/elementa.2022.00130","http://dx.doi.org/10.1525/elementa.2022.00130")</f>
        <v>http://dx.doi.org/10.1525/elementa.2022.00130</v>
      </c>
      <c r="BG182" t="s">
        <v>74</v>
      </c>
      <c r="BH182" t="s">
        <v>74</v>
      </c>
      <c r="BI182">
        <v>18</v>
      </c>
      <c r="BJ182" t="s">
        <v>356</v>
      </c>
      <c r="BK182" t="s">
        <v>103</v>
      </c>
      <c r="BL182" t="s">
        <v>357</v>
      </c>
      <c r="BM182" t="s">
        <v>3897</v>
      </c>
      <c r="BN182" t="s">
        <v>74</v>
      </c>
      <c r="BO182" t="s">
        <v>804</v>
      </c>
      <c r="BP182" t="s">
        <v>74</v>
      </c>
      <c r="BQ182" t="s">
        <v>74</v>
      </c>
      <c r="BR182" t="s">
        <v>106</v>
      </c>
      <c r="BS182" t="s">
        <v>3898</v>
      </c>
      <c r="BT182" t="str">
        <f>HYPERLINK("https%3A%2F%2Fwww.webofscience.com%2Fwos%2Fwoscc%2Ffull-record%2FWOS:001173935900001","View Full Record in Web of Science")</f>
        <v>View Full Record in Web of Science</v>
      </c>
    </row>
    <row r="183" spans="1:72" x14ac:dyDescent="0.15">
      <c r="A183" t="s">
        <v>72</v>
      </c>
      <c r="B183" t="s">
        <v>3899</v>
      </c>
      <c r="C183" t="s">
        <v>74</v>
      </c>
      <c r="D183" t="s">
        <v>74</v>
      </c>
      <c r="E183" t="s">
        <v>74</v>
      </c>
      <c r="F183" t="s">
        <v>3900</v>
      </c>
      <c r="G183" t="s">
        <v>74</v>
      </c>
      <c r="H183" t="s">
        <v>74</v>
      </c>
      <c r="I183" t="s">
        <v>3901</v>
      </c>
      <c r="J183" t="s">
        <v>1308</v>
      </c>
      <c r="K183" t="s">
        <v>74</v>
      </c>
      <c r="L183" t="s">
        <v>74</v>
      </c>
      <c r="M183" t="s">
        <v>78</v>
      </c>
      <c r="N183" t="s">
        <v>112</v>
      </c>
      <c r="O183" t="s">
        <v>74</v>
      </c>
      <c r="P183" t="s">
        <v>74</v>
      </c>
      <c r="Q183" t="s">
        <v>74</v>
      </c>
      <c r="R183" t="s">
        <v>74</v>
      </c>
      <c r="S183" t="s">
        <v>74</v>
      </c>
      <c r="T183" t="s">
        <v>3902</v>
      </c>
      <c r="U183" t="s">
        <v>3903</v>
      </c>
      <c r="V183" t="s">
        <v>3904</v>
      </c>
      <c r="W183" t="s">
        <v>3905</v>
      </c>
      <c r="X183" t="s">
        <v>3906</v>
      </c>
      <c r="Y183" t="s">
        <v>3907</v>
      </c>
      <c r="Z183" t="s">
        <v>3908</v>
      </c>
      <c r="AA183" t="s">
        <v>3909</v>
      </c>
      <c r="AB183" t="s">
        <v>3910</v>
      </c>
      <c r="AC183" t="s">
        <v>3911</v>
      </c>
      <c r="AD183" t="s">
        <v>3912</v>
      </c>
      <c r="AE183" t="s">
        <v>3913</v>
      </c>
      <c r="AF183" t="s">
        <v>74</v>
      </c>
      <c r="AG183">
        <v>40</v>
      </c>
      <c r="AH183">
        <v>2</v>
      </c>
      <c r="AI183">
        <v>2</v>
      </c>
      <c r="AJ183">
        <v>5</v>
      </c>
      <c r="AK183">
        <v>16</v>
      </c>
      <c r="AL183" t="s">
        <v>447</v>
      </c>
      <c r="AM183" t="s">
        <v>448</v>
      </c>
      <c r="AN183" t="s">
        <v>449</v>
      </c>
      <c r="AO183" t="s">
        <v>1320</v>
      </c>
      <c r="AP183" t="s">
        <v>74</v>
      </c>
      <c r="AQ183" t="s">
        <v>74</v>
      </c>
      <c r="AR183" t="s">
        <v>1321</v>
      </c>
      <c r="AS183" t="s">
        <v>1322</v>
      </c>
      <c r="AT183" t="s">
        <v>1437</v>
      </c>
      <c r="AU183">
        <v>2023</v>
      </c>
      <c r="AV183">
        <v>71</v>
      </c>
      <c r="AW183" t="s">
        <v>74</v>
      </c>
      <c r="AX183" t="s">
        <v>74</v>
      </c>
      <c r="AY183" t="s">
        <v>74</v>
      </c>
      <c r="AZ183" t="s">
        <v>74</v>
      </c>
      <c r="BA183" t="s">
        <v>74</v>
      </c>
      <c r="BB183" t="s">
        <v>74</v>
      </c>
      <c r="BC183" t="s">
        <v>74</v>
      </c>
      <c r="BD183">
        <v>103084</v>
      </c>
      <c r="BE183" t="s">
        <v>3914</v>
      </c>
      <c r="BF183" t="str">
        <f>HYPERLINK("http://dx.doi.org/10.1016/j.algal.2023.103084","http://dx.doi.org/10.1016/j.algal.2023.103084")</f>
        <v>http://dx.doi.org/10.1016/j.algal.2023.103084</v>
      </c>
      <c r="BG183" t="s">
        <v>74</v>
      </c>
      <c r="BH183" t="s">
        <v>427</v>
      </c>
      <c r="BI183">
        <v>8</v>
      </c>
      <c r="BJ183" t="s">
        <v>531</v>
      </c>
      <c r="BK183" t="s">
        <v>103</v>
      </c>
      <c r="BL183" t="s">
        <v>531</v>
      </c>
      <c r="BM183" t="s">
        <v>3915</v>
      </c>
      <c r="BN183" t="s">
        <v>74</v>
      </c>
      <c r="BO183" t="s">
        <v>74</v>
      </c>
      <c r="BP183" t="s">
        <v>74</v>
      </c>
      <c r="BQ183" t="s">
        <v>74</v>
      </c>
      <c r="BR183" t="s">
        <v>106</v>
      </c>
      <c r="BS183" t="s">
        <v>3916</v>
      </c>
      <c r="BT183" t="str">
        <f>HYPERLINK("https%3A%2F%2Fwww.webofscience.com%2Fwos%2Fwoscc%2Ffull-record%2FWOS:000976024800001","View Full Record in Web of Science")</f>
        <v>View Full Record in Web of Science</v>
      </c>
    </row>
    <row r="184" spans="1:72" x14ac:dyDescent="0.15">
      <c r="A184" t="s">
        <v>72</v>
      </c>
      <c r="B184" t="s">
        <v>3917</v>
      </c>
      <c r="C184" t="s">
        <v>74</v>
      </c>
      <c r="D184" t="s">
        <v>74</v>
      </c>
      <c r="E184" t="s">
        <v>74</v>
      </c>
      <c r="F184" t="s">
        <v>3918</v>
      </c>
      <c r="G184" t="s">
        <v>74</v>
      </c>
      <c r="H184" t="s">
        <v>74</v>
      </c>
      <c r="I184" t="s">
        <v>3919</v>
      </c>
      <c r="J184" t="s">
        <v>1146</v>
      </c>
      <c r="K184" t="s">
        <v>74</v>
      </c>
      <c r="L184" t="s">
        <v>74</v>
      </c>
      <c r="M184" t="s">
        <v>78</v>
      </c>
      <c r="N184" t="s">
        <v>112</v>
      </c>
      <c r="O184" t="s">
        <v>74</v>
      </c>
      <c r="P184" t="s">
        <v>74</v>
      </c>
      <c r="Q184" t="s">
        <v>74</v>
      </c>
      <c r="R184" t="s">
        <v>74</v>
      </c>
      <c r="S184" t="s">
        <v>74</v>
      </c>
      <c r="T184" t="s">
        <v>3920</v>
      </c>
      <c r="U184" t="s">
        <v>3921</v>
      </c>
      <c r="V184" t="s">
        <v>3922</v>
      </c>
      <c r="W184" t="s">
        <v>3923</v>
      </c>
      <c r="X184" t="s">
        <v>3924</v>
      </c>
      <c r="Y184" t="s">
        <v>3925</v>
      </c>
      <c r="Z184" t="s">
        <v>3926</v>
      </c>
      <c r="AA184" t="s">
        <v>3927</v>
      </c>
      <c r="AB184" t="s">
        <v>3928</v>
      </c>
      <c r="AC184" t="s">
        <v>74</v>
      </c>
      <c r="AD184" t="s">
        <v>74</v>
      </c>
      <c r="AE184" t="s">
        <v>74</v>
      </c>
      <c r="AF184" t="s">
        <v>74</v>
      </c>
      <c r="AG184">
        <v>67</v>
      </c>
      <c r="AH184">
        <v>1</v>
      </c>
      <c r="AI184">
        <v>2</v>
      </c>
      <c r="AJ184">
        <v>6</v>
      </c>
      <c r="AK184">
        <v>17</v>
      </c>
      <c r="AL184" t="s">
        <v>225</v>
      </c>
      <c r="AM184" t="s">
        <v>226</v>
      </c>
      <c r="AN184" t="s">
        <v>227</v>
      </c>
      <c r="AO184" t="s">
        <v>1159</v>
      </c>
      <c r="AP184" t="s">
        <v>1160</v>
      </c>
      <c r="AQ184" t="s">
        <v>74</v>
      </c>
      <c r="AR184" t="s">
        <v>1146</v>
      </c>
      <c r="AS184" t="s">
        <v>1161</v>
      </c>
      <c r="AT184" t="s">
        <v>232</v>
      </c>
      <c r="AU184">
        <v>2023</v>
      </c>
      <c r="AV184">
        <v>327</v>
      </c>
      <c r="AW184" t="s">
        <v>74</v>
      </c>
      <c r="AX184" t="s">
        <v>74</v>
      </c>
      <c r="AY184" t="s">
        <v>74</v>
      </c>
      <c r="AZ184" t="s">
        <v>74</v>
      </c>
      <c r="BA184" t="s">
        <v>74</v>
      </c>
      <c r="BB184" t="s">
        <v>74</v>
      </c>
      <c r="BC184" t="s">
        <v>74</v>
      </c>
      <c r="BD184">
        <v>138530</v>
      </c>
      <c r="BE184" t="s">
        <v>3929</v>
      </c>
      <c r="BF184" t="str">
        <f>HYPERLINK("http://dx.doi.org/10.1016/j.chemosphere.2023.138530","http://dx.doi.org/10.1016/j.chemosphere.2023.138530")</f>
        <v>http://dx.doi.org/10.1016/j.chemosphere.2023.138530</v>
      </c>
      <c r="BG184" t="s">
        <v>74</v>
      </c>
      <c r="BH184" t="s">
        <v>427</v>
      </c>
      <c r="BI184">
        <v>7</v>
      </c>
      <c r="BJ184" t="s">
        <v>1163</v>
      </c>
      <c r="BK184" t="s">
        <v>103</v>
      </c>
      <c r="BL184" t="s">
        <v>1164</v>
      </c>
      <c r="BM184" t="s">
        <v>3930</v>
      </c>
      <c r="BN184">
        <v>37001758</v>
      </c>
      <c r="BO184" t="s">
        <v>3931</v>
      </c>
      <c r="BP184" t="s">
        <v>74</v>
      </c>
      <c r="BQ184" t="s">
        <v>74</v>
      </c>
      <c r="BR184" t="s">
        <v>106</v>
      </c>
      <c r="BS184" t="s">
        <v>3932</v>
      </c>
      <c r="BT184" t="str">
        <f>HYPERLINK("https%3A%2F%2Fwww.webofscience.com%2Fwos%2Fwoscc%2Ffull-record%2FWOS:000984336600001","View Full Record in Web of Science")</f>
        <v>View Full Record in Web of Science</v>
      </c>
    </row>
    <row r="185" spans="1:72" x14ac:dyDescent="0.15">
      <c r="A185" t="s">
        <v>72</v>
      </c>
      <c r="B185" t="s">
        <v>3933</v>
      </c>
      <c r="C185" t="s">
        <v>74</v>
      </c>
      <c r="D185" t="s">
        <v>74</v>
      </c>
      <c r="E185" t="s">
        <v>74</v>
      </c>
      <c r="F185" t="s">
        <v>3934</v>
      </c>
      <c r="G185" t="s">
        <v>74</v>
      </c>
      <c r="H185" t="s">
        <v>74</v>
      </c>
      <c r="I185" t="s">
        <v>3935</v>
      </c>
      <c r="J185" t="s">
        <v>1215</v>
      </c>
      <c r="K185" t="s">
        <v>74</v>
      </c>
      <c r="L185" t="s">
        <v>74</v>
      </c>
      <c r="M185" t="s">
        <v>78</v>
      </c>
      <c r="N185" t="s">
        <v>112</v>
      </c>
      <c r="O185" t="s">
        <v>74</v>
      </c>
      <c r="P185" t="s">
        <v>74</v>
      </c>
      <c r="Q185" t="s">
        <v>74</v>
      </c>
      <c r="R185" t="s">
        <v>74</v>
      </c>
      <c r="S185" t="s">
        <v>74</v>
      </c>
      <c r="T185" t="s">
        <v>3936</v>
      </c>
      <c r="U185" t="s">
        <v>3937</v>
      </c>
      <c r="V185" t="s">
        <v>3938</v>
      </c>
      <c r="W185" t="s">
        <v>3939</v>
      </c>
      <c r="X185" t="s">
        <v>3940</v>
      </c>
      <c r="Y185" t="s">
        <v>3941</v>
      </c>
      <c r="Z185" t="s">
        <v>3942</v>
      </c>
      <c r="AA185" t="s">
        <v>3943</v>
      </c>
      <c r="AB185" t="s">
        <v>3944</v>
      </c>
      <c r="AC185" t="s">
        <v>3945</v>
      </c>
      <c r="AD185" t="s">
        <v>3946</v>
      </c>
      <c r="AE185" t="s">
        <v>3947</v>
      </c>
      <c r="AF185" t="s">
        <v>74</v>
      </c>
      <c r="AG185">
        <v>70</v>
      </c>
      <c r="AH185">
        <v>1</v>
      </c>
      <c r="AI185">
        <v>1</v>
      </c>
      <c r="AJ185">
        <v>2</v>
      </c>
      <c r="AK185">
        <v>2</v>
      </c>
      <c r="AL185" t="s">
        <v>700</v>
      </c>
      <c r="AM185" t="s">
        <v>701</v>
      </c>
      <c r="AN185" t="s">
        <v>702</v>
      </c>
      <c r="AO185" t="s">
        <v>74</v>
      </c>
      <c r="AP185" t="s">
        <v>1228</v>
      </c>
      <c r="AQ185" t="s">
        <v>74</v>
      </c>
      <c r="AR185" t="s">
        <v>1229</v>
      </c>
      <c r="AS185" t="s">
        <v>1230</v>
      </c>
      <c r="AT185" t="s">
        <v>3895</v>
      </c>
      <c r="AU185">
        <v>2023</v>
      </c>
      <c r="AV185">
        <v>10</v>
      </c>
      <c r="AW185" t="s">
        <v>74</v>
      </c>
      <c r="AX185" t="s">
        <v>74</v>
      </c>
      <c r="AY185" t="s">
        <v>74</v>
      </c>
      <c r="AZ185" t="s">
        <v>74</v>
      </c>
      <c r="BA185" t="s">
        <v>74</v>
      </c>
      <c r="BB185" t="s">
        <v>74</v>
      </c>
      <c r="BC185" t="s">
        <v>74</v>
      </c>
      <c r="BD185">
        <v>1159353</v>
      </c>
      <c r="BE185" t="s">
        <v>3948</v>
      </c>
      <c r="BF185" t="str">
        <f>HYPERLINK("http://dx.doi.org/10.3389/fmars.2023.1159353","http://dx.doi.org/10.3389/fmars.2023.1159353")</f>
        <v>http://dx.doi.org/10.3389/fmars.2023.1159353</v>
      </c>
      <c r="BG185" t="s">
        <v>74</v>
      </c>
      <c r="BH185" t="s">
        <v>74</v>
      </c>
      <c r="BI185">
        <v>12</v>
      </c>
      <c r="BJ185" t="s">
        <v>636</v>
      </c>
      <c r="BK185" t="s">
        <v>103</v>
      </c>
      <c r="BL185" t="s">
        <v>637</v>
      </c>
      <c r="BM185" t="s">
        <v>3949</v>
      </c>
      <c r="BN185" t="s">
        <v>74</v>
      </c>
      <c r="BO185" t="s">
        <v>359</v>
      </c>
      <c r="BP185" t="s">
        <v>74</v>
      </c>
      <c r="BQ185" t="s">
        <v>74</v>
      </c>
      <c r="BR185" t="s">
        <v>106</v>
      </c>
      <c r="BS185" t="s">
        <v>3950</v>
      </c>
      <c r="BT185" t="str">
        <f>HYPERLINK("https%3A%2F%2Fwww.webofscience.com%2Fwos%2Fwoscc%2Ffull-record%2FWOS:000972827800001","View Full Record in Web of Science")</f>
        <v>View Full Record in Web of Science</v>
      </c>
    </row>
    <row r="186" spans="1:72" x14ac:dyDescent="0.15">
      <c r="A186" t="s">
        <v>72</v>
      </c>
      <c r="B186" t="s">
        <v>3951</v>
      </c>
      <c r="C186" t="s">
        <v>74</v>
      </c>
      <c r="D186" t="s">
        <v>74</v>
      </c>
      <c r="E186" t="s">
        <v>74</v>
      </c>
      <c r="F186" t="s">
        <v>3952</v>
      </c>
      <c r="G186" t="s">
        <v>74</v>
      </c>
      <c r="H186" t="s">
        <v>74</v>
      </c>
      <c r="I186" t="s">
        <v>3953</v>
      </c>
      <c r="J186" t="s">
        <v>782</v>
      </c>
      <c r="K186" t="s">
        <v>74</v>
      </c>
      <c r="L186" t="s">
        <v>74</v>
      </c>
      <c r="M186" t="s">
        <v>78</v>
      </c>
      <c r="N186" t="s">
        <v>112</v>
      </c>
      <c r="O186" t="s">
        <v>74</v>
      </c>
      <c r="P186" t="s">
        <v>74</v>
      </c>
      <c r="Q186" t="s">
        <v>74</v>
      </c>
      <c r="R186" t="s">
        <v>74</v>
      </c>
      <c r="S186" t="s">
        <v>74</v>
      </c>
      <c r="T186" t="s">
        <v>74</v>
      </c>
      <c r="U186" t="s">
        <v>3954</v>
      </c>
      <c r="V186" t="s">
        <v>3955</v>
      </c>
      <c r="W186" t="s">
        <v>3956</v>
      </c>
      <c r="X186" t="s">
        <v>3957</v>
      </c>
      <c r="Y186" t="s">
        <v>3958</v>
      </c>
      <c r="Z186" t="s">
        <v>3959</v>
      </c>
      <c r="AA186" t="s">
        <v>3960</v>
      </c>
      <c r="AB186" t="s">
        <v>3961</v>
      </c>
      <c r="AC186" t="s">
        <v>3962</v>
      </c>
      <c r="AD186" t="s">
        <v>3963</v>
      </c>
      <c r="AE186" t="s">
        <v>3964</v>
      </c>
      <c r="AF186" t="s">
        <v>74</v>
      </c>
      <c r="AG186">
        <v>99</v>
      </c>
      <c r="AH186">
        <v>1</v>
      </c>
      <c r="AI186">
        <v>1</v>
      </c>
      <c r="AJ186">
        <v>4</v>
      </c>
      <c r="AK186">
        <v>7</v>
      </c>
      <c r="AL186" t="s">
        <v>794</v>
      </c>
      <c r="AM186" t="s">
        <v>795</v>
      </c>
      <c r="AN186" t="s">
        <v>796</v>
      </c>
      <c r="AO186" t="s">
        <v>797</v>
      </c>
      <c r="AP186" t="s">
        <v>798</v>
      </c>
      <c r="AQ186" t="s">
        <v>74</v>
      </c>
      <c r="AR186" t="s">
        <v>782</v>
      </c>
      <c r="AS186" t="s">
        <v>799</v>
      </c>
      <c r="AT186" t="s">
        <v>3895</v>
      </c>
      <c r="AU186">
        <v>2023</v>
      </c>
      <c r="AV186">
        <v>17</v>
      </c>
      <c r="AW186">
        <v>4</v>
      </c>
      <c r="AX186" t="s">
        <v>74</v>
      </c>
      <c r="AY186" t="s">
        <v>74</v>
      </c>
      <c r="AZ186" t="s">
        <v>74</v>
      </c>
      <c r="BA186" t="s">
        <v>74</v>
      </c>
      <c r="BB186">
        <v>1497</v>
      </c>
      <c r="BC186">
        <v>1512</v>
      </c>
      <c r="BD186" t="s">
        <v>74</v>
      </c>
      <c r="BE186" t="s">
        <v>3965</v>
      </c>
      <c r="BF186" t="str">
        <f>HYPERLINK("http://dx.doi.org/10.5194/tc-17-1497-2023","http://dx.doi.org/10.5194/tc-17-1497-2023")</f>
        <v>http://dx.doi.org/10.5194/tc-17-1497-2023</v>
      </c>
      <c r="BG186" t="s">
        <v>74</v>
      </c>
      <c r="BH186" t="s">
        <v>74</v>
      </c>
      <c r="BI186">
        <v>16</v>
      </c>
      <c r="BJ186" t="s">
        <v>801</v>
      </c>
      <c r="BK186" t="s">
        <v>103</v>
      </c>
      <c r="BL186" t="s">
        <v>802</v>
      </c>
      <c r="BM186" t="s">
        <v>3966</v>
      </c>
      <c r="BN186" t="s">
        <v>74</v>
      </c>
      <c r="BO186" t="s">
        <v>2600</v>
      </c>
      <c r="BP186" t="s">
        <v>74</v>
      </c>
      <c r="BQ186" t="s">
        <v>74</v>
      </c>
      <c r="BR186" t="s">
        <v>106</v>
      </c>
      <c r="BS186" t="s">
        <v>3967</v>
      </c>
      <c r="BT186" t="str">
        <f>HYPERLINK("https%3A%2F%2Fwww.webofscience.com%2Fwos%2Fwoscc%2Ffull-record%2FWOS:000964666600001","View Full Record in Web of Science")</f>
        <v>View Full Record in Web of Science</v>
      </c>
    </row>
    <row r="187" spans="1:72" x14ac:dyDescent="0.15">
      <c r="A187" t="s">
        <v>72</v>
      </c>
      <c r="B187" t="s">
        <v>3968</v>
      </c>
      <c r="C187" t="s">
        <v>74</v>
      </c>
      <c r="D187" t="s">
        <v>74</v>
      </c>
      <c r="E187" t="s">
        <v>74</v>
      </c>
      <c r="F187" t="s">
        <v>3969</v>
      </c>
      <c r="G187" t="s">
        <v>74</v>
      </c>
      <c r="H187" t="s">
        <v>74</v>
      </c>
      <c r="I187" t="s">
        <v>3970</v>
      </c>
      <c r="J187" t="s">
        <v>782</v>
      </c>
      <c r="K187" t="s">
        <v>74</v>
      </c>
      <c r="L187" t="s">
        <v>74</v>
      </c>
      <c r="M187" t="s">
        <v>78</v>
      </c>
      <c r="N187" t="s">
        <v>112</v>
      </c>
      <c r="O187" t="s">
        <v>74</v>
      </c>
      <c r="P187" t="s">
        <v>74</v>
      </c>
      <c r="Q187" t="s">
        <v>74</v>
      </c>
      <c r="R187" t="s">
        <v>74</v>
      </c>
      <c r="S187" t="s">
        <v>74</v>
      </c>
      <c r="T187" t="s">
        <v>74</v>
      </c>
      <c r="U187" t="s">
        <v>3971</v>
      </c>
      <c r="V187" t="s">
        <v>3972</v>
      </c>
      <c r="W187" t="s">
        <v>3973</v>
      </c>
      <c r="X187" t="s">
        <v>3974</v>
      </c>
      <c r="Y187" t="s">
        <v>3975</v>
      </c>
      <c r="Z187" t="s">
        <v>3976</v>
      </c>
      <c r="AA187" t="s">
        <v>74</v>
      </c>
      <c r="AB187" t="s">
        <v>3977</v>
      </c>
      <c r="AC187" t="s">
        <v>3978</v>
      </c>
      <c r="AD187" t="s">
        <v>3979</v>
      </c>
      <c r="AE187" t="s">
        <v>3980</v>
      </c>
      <c r="AF187" t="s">
        <v>74</v>
      </c>
      <c r="AG187">
        <v>91</v>
      </c>
      <c r="AH187">
        <v>0</v>
      </c>
      <c r="AI187">
        <v>0</v>
      </c>
      <c r="AJ187">
        <v>0</v>
      </c>
      <c r="AK187">
        <v>3</v>
      </c>
      <c r="AL187" t="s">
        <v>794</v>
      </c>
      <c r="AM187" t="s">
        <v>795</v>
      </c>
      <c r="AN187" t="s">
        <v>796</v>
      </c>
      <c r="AO187" t="s">
        <v>797</v>
      </c>
      <c r="AP187" t="s">
        <v>798</v>
      </c>
      <c r="AQ187" t="s">
        <v>74</v>
      </c>
      <c r="AR187" t="s">
        <v>782</v>
      </c>
      <c r="AS187" t="s">
        <v>799</v>
      </c>
      <c r="AT187" t="s">
        <v>3895</v>
      </c>
      <c r="AU187">
        <v>2023</v>
      </c>
      <c r="AV187">
        <v>17</v>
      </c>
      <c r="AW187">
        <v>4</v>
      </c>
      <c r="AX187" t="s">
        <v>74</v>
      </c>
      <c r="AY187" t="s">
        <v>74</v>
      </c>
      <c r="AZ187" t="s">
        <v>74</v>
      </c>
      <c r="BA187" t="s">
        <v>74</v>
      </c>
      <c r="BB187">
        <v>1513</v>
      </c>
      <c r="BC187">
        <v>1543</v>
      </c>
      <c r="BD187" t="s">
        <v>74</v>
      </c>
      <c r="BE187" t="s">
        <v>3981</v>
      </c>
      <c r="BF187" t="str">
        <f>HYPERLINK("http://dx.doi.org/10.5194/tc-17-1513-2023","http://dx.doi.org/10.5194/tc-17-1513-2023")</f>
        <v>http://dx.doi.org/10.5194/tc-17-1513-2023</v>
      </c>
      <c r="BG187" t="s">
        <v>74</v>
      </c>
      <c r="BH187" t="s">
        <v>74</v>
      </c>
      <c r="BI187">
        <v>31</v>
      </c>
      <c r="BJ187" t="s">
        <v>801</v>
      </c>
      <c r="BK187" t="s">
        <v>103</v>
      </c>
      <c r="BL187" t="s">
        <v>802</v>
      </c>
      <c r="BM187" t="s">
        <v>3982</v>
      </c>
      <c r="BN187" t="s">
        <v>74</v>
      </c>
      <c r="BO187" t="s">
        <v>359</v>
      </c>
      <c r="BP187" t="s">
        <v>74</v>
      </c>
      <c r="BQ187" t="s">
        <v>74</v>
      </c>
      <c r="BR187" t="s">
        <v>106</v>
      </c>
      <c r="BS187" t="s">
        <v>3983</v>
      </c>
      <c r="BT187" t="str">
        <f>HYPERLINK("https%3A%2F%2Fwww.webofscience.com%2Fwos%2Fwoscc%2Ffull-record%2FWOS:000964777100001","View Full Record in Web of Science")</f>
        <v>View Full Record in Web of Science</v>
      </c>
    </row>
    <row r="188" spans="1:72" x14ac:dyDescent="0.15">
      <c r="A188" t="s">
        <v>72</v>
      </c>
      <c r="B188" t="s">
        <v>3984</v>
      </c>
      <c r="C188" t="s">
        <v>74</v>
      </c>
      <c r="D188" t="s">
        <v>74</v>
      </c>
      <c r="E188" t="s">
        <v>74</v>
      </c>
      <c r="F188" t="s">
        <v>3985</v>
      </c>
      <c r="G188" t="s">
        <v>74</v>
      </c>
      <c r="H188" t="s">
        <v>74</v>
      </c>
      <c r="I188" t="s">
        <v>3986</v>
      </c>
      <c r="J188" t="s">
        <v>3987</v>
      </c>
      <c r="K188" t="s">
        <v>74</v>
      </c>
      <c r="L188" t="s">
        <v>74</v>
      </c>
      <c r="M188" t="s">
        <v>78</v>
      </c>
      <c r="N188" t="s">
        <v>112</v>
      </c>
      <c r="O188" t="s">
        <v>74</v>
      </c>
      <c r="P188" t="s">
        <v>74</v>
      </c>
      <c r="Q188" t="s">
        <v>74</v>
      </c>
      <c r="R188" t="s">
        <v>74</v>
      </c>
      <c r="S188" t="s">
        <v>74</v>
      </c>
      <c r="T188" t="s">
        <v>3988</v>
      </c>
      <c r="U188" t="s">
        <v>3989</v>
      </c>
      <c r="V188" t="s">
        <v>3990</v>
      </c>
      <c r="W188" t="s">
        <v>3991</v>
      </c>
      <c r="X188" t="s">
        <v>3992</v>
      </c>
      <c r="Y188" t="s">
        <v>3993</v>
      </c>
      <c r="Z188" t="s">
        <v>3994</v>
      </c>
      <c r="AA188" t="s">
        <v>3995</v>
      </c>
      <c r="AB188" t="s">
        <v>3996</v>
      </c>
      <c r="AC188" t="s">
        <v>74</v>
      </c>
      <c r="AD188" t="s">
        <v>74</v>
      </c>
      <c r="AE188" t="s">
        <v>74</v>
      </c>
      <c r="AF188" t="s">
        <v>74</v>
      </c>
      <c r="AG188">
        <v>116</v>
      </c>
      <c r="AH188">
        <v>0</v>
      </c>
      <c r="AI188">
        <v>0</v>
      </c>
      <c r="AJ188">
        <v>1</v>
      </c>
      <c r="AK188">
        <v>7</v>
      </c>
      <c r="AL188" t="s">
        <v>700</v>
      </c>
      <c r="AM188" t="s">
        <v>701</v>
      </c>
      <c r="AN188" t="s">
        <v>702</v>
      </c>
      <c r="AO188" t="s">
        <v>3997</v>
      </c>
      <c r="AP188" t="s">
        <v>74</v>
      </c>
      <c r="AQ188" t="s">
        <v>74</v>
      </c>
      <c r="AR188" t="s">
        <v>3998</v>
      </c>
      <c r="AS188" t="s">
        <v>3999</v>
      </c>
      <c r="AT188" t="s">
        <v>3895</v>
      </c>
      <c r="AU188">
        <v>2023</v>
      </c>
      <c r="AV188">
        <v>11</v>
      </c>
      <c r="AW188" t="s">
        <v>74</v>
      </c>
      <c r="AX188" t="s">
        <v>74</v>
      </c>
      <c r="AY188" t="s">
        <v>74</v>
      </c>
      <c r="AZ188" t="s">
        <v>74</v>
      </c>
      <c r="BA188" t="s">
        <v>74</v>
      </c>
      <c r="BB188" t="s">
        <v>74</v>
      </c>
      <c r="BC188" t="s">
        <v>74</v>
      </c>
      <c r="BD188">
        <v>1150083</v>
      </c>
      <c r="BE188" t="s">
        <v>4000</v>
      </c>
      <c r="BF188" t="str">
        <f>HYPERLINK("http://dx.doi.org/10.3389/fevo.2023.1150083","http://dx.doi.org/10.3389/fevo.2023.1150083")</f>
        <v>http://dx.doi.org/10.3389/fevo.2023.1150083</v>
      </c>
      <c r="BG188" t="s">
        <v>74</v>
      </c>
      <c r="BH188" t="s">
        <v>74</v>
      </c>
      <c r="BI188">
        <v>13</v>
      </c>
      <c r="BJ188" t="s">
        <v>2101</v>
      </c>
      <c r="BK188" t="s">
        <v>103</v>
      </c>
      <c r="BL188" t="s">
        <v>1164</v>
      </c>
      <c r="BM188" t="s">
        <v>4001</v>
      </c>
      <c r="BN188" t="s">
        <v>74</v>
      </c>
      <c r="BO188" t="s">
        <v>804</v>
      </c>
      <c r="BP188" t="s">
        <v>74</v>
      </c>
      <c r="BQ188" t="s">
        <v>74</v>
      </c>
      <c r="BR188" t="s">
        <v>106</v>
      </c>
      <c r="BS188" t="s">
        <v>4002</v>
      </c>
      <c r="BT188" t="str">
        <f>HYPERLINK("https%3A%2F%2Fwww.webofscience.com%2Fwos%2Fwoscc%2Ffull-record%2FWOS:000970919700001","View Full Record in Web of Science")</f>
        <v>View Full Record in Web of Science</v>
      </c>
    </row>
    <row r="189" spans="1:72" x14ac:dyDescent="0.15">
      <c r="A189" t="s">
        <v>72</v>
      </c>
      <c r="B189" t="s">
        <v>4003</v>
      </c>
      <c r="C189" t="s">
        <v>74</v>
      </c>
      <c r="D189" t="s">
        <v>74</v>
      </c>
      <c r="E189" t="s">
        <v>74</v>
      </c>
      <c r="F189" t="s">
        <v>4004</v>
      </c>
      <c r="G189" t="s">
        <v>74</v>
      </c>
      <c r="H189" t="s">
        <v>74</v>
      </c>
      <c r="I189" t="s">
        <v>4005</v>
      </c>
      <c r="J189" t="s">
        <v>759</v>
      </c>
      <c r="K189" t="s">
        <v>74</v>
      </c>
      <c r="L189" t="s">
        <v>74</v>
      </c>
      <c r="M189" t="s">
        <v>78</v>
      </c>
      <c r="N189" t="s">
        <v>112</v>
      </c>
      <c r="O189" t="s">
        <v>74</v>
      </c>
      <c r="P189" t="s">
        <v>74</v>
      </c>
      <c r="Q189" t="s">
        <v>74</v>
      </c>
      <c r="R189" t="s">
        <v>74</v>
      </c>
      <c r="S189" t="s">
        <v>74</v>
      </c>
      <c r="T189" t="s">
        <v>4006</v>
      </c>
      <c r="U189" t="s">
        <v>4007</v>
      </c>
      <c r="V189" t="s">
        <v>4008</v>
      </c>
      <c r="W189" t="s">
        <v>4009</v>
      </c>
      <c r="X189" t="s">
        <v>4010</v>
      </c>
      <c r="Y189" t="s">
        <v>4011</v>
      </c>
      <c r="Z189" t="s">
        <v>4012</v>
      </c>
      <c r="AA189" t="s">
        <v>74</v>
      </c>
      <c r="AB189" t="s">
        <v>4013</v>
      </c>
      <c r="AC189" t="s">
        <v>74</v>
      </c>
      <c r="AD189" t="s">
        <v>74</v>
      </c>
      <c r="AE189" t="s">
        <v>74</v>
      </c>
      <c r="AF189" t="s">
        <v>74</v>
      </c>
      <c r="AG189">
        <v>97</v>
      </c>
      <c r="AH189">
        <v>0</v>
      </c>
      <c r="AI189">
        <v>0</v>
      </c>
      <c r="AJ189">
        <v>2</v>
      </c>
      <c r="AK189">
        <v>6</v>
      </c>
      <c r="AL189" t="s">
        <v>768</v>
      </c>
      <c r="AM189" t="s">
        <v>179</v>
      </c>
      <c r="AN189" t="s">
        <v>769</v>
      </c>
      <c r="AO189" t="s">
        <v>770</v>
      </c>
      <c r="AP189" t="s">
        <v>771</v>
      </c>
      <c r="AQ189" t="s">
        <v>74</v>
      </c>
      <c r="AR189" t="s">
        <v>772</v>
      </c>
      <c r="AS189" t="s">
        <v>773</v>
      </c>
      <c r="AT189" t="s">
        <v>1437</v>
      </c>
      <c r="AU189">
        <v>2023</v>
      </c>
      <c r="AV189">
        <v>46</v>
      </c>
      <c r="AW189">
        <v>4</v>
      </c>
      <c r="AX189" t="s">
        <v>74</v>
      </c>
      <c r="AY189" t="s">
        <v>74</v>
      </c>
      <c r="AZ189" t="s">
        <v>74</v>
      </c>
      <c r="BA189" t="s">
        <v>74</v>
      </c>
      <c r="BB189">
        <v>319</v>
      </c>
      <c r="BC189">
        <v>338</v>
      </c>
      <c r="BD189" t="s">
        <v>74</v>
      </c>
      <c r="BE189" t="s">
        <v>4014</v>
      </c>
      <c r="BF189" t="str">
        <f>HYPERLINK("http://dx.doi.org/10.1007/s00300-023-03129-5","http://dx.doi.org/10.1007/s00300-023-03129-5")</f>
        <v>http://dx.doi.org/10.1007/s00300-023-03129-5</v>
      </c>
      <c r="BG189" t="s">
        <v>74</v>
      </c>
      <c r="BH189" t="s">
        <v>427</v>
      </c>
      <c r="BI189">
        <v>20</v>
      </c>
      <c r="BJ189" t="s">
        <v>775</v>
      </c>
      <c r="BK189" t="s">
        <v>103</v>
      </c>
      <c r="BL189" t="s">
        <v>776</v>
      </c>
      <c r="BM189" t="s">
        <v>3721</v>
      </c>
      <c r="BN189" t="s">
        <v>74</v>
      </c>
      <c r="BO189" t="s">
        <v>4015</v>
      </c>
      <c r="BP189" t="s">
        <v>74</v>
      </c>
      <c r="BQ189" t="s">
        <v>74</v>
      </c>
      <c r="BR189" t="s">
        <v>106</v>
      </c>
      <c r="BS189" t="s">
        <v>4016</v>
      </c>
      <c r="BT189" t="str">
        <f>HYPERLINK("https%3A%2F%2Fwww.webofscience.com%2Fwos%2Fwoscc%2Ffull-record%2FWOS:000963365800001","View Full Record in Web of Science")</f>
        <v>View Full Record in Web of Science</v>
      </c>
    </row>
    <row r="190" spans="1:72" x14ac:dyDescent="0.15">
      <c r="A190" t="s">
        <v>72</v>
      </c>
      <c r="B190" t="s">
        <v>4017</v>
      </c>
      <c r="C190" t="s">
        <v>74</v>
      </c>
      <c r="D190" t="s">
        <v>74</v>
      </c>
      <c r="E190" t="s">
        <v>74</v>
      </c>
      <c r="F190" t="s">
        <v>4018</v>
      </c>
      <c r="G190" t="s">
        <v>74</v>
      </c>
      <c r="H190" t="s">
        <v>74</v>
      </c>
      <c r="I190" t="s">
        <v>4019</v>
      </c>
      <c r="J190" t="s">
        <v>1491</v>
      </c>
      <c r="K190" t="s">
        <v>74</v>
      </c>
      <c r="L190" t="s">
        <v>74</v>
      </c>
      <c r="M190" t="s">
        <v>78</v>
      </c>
      <c r="N190" t="s">
        <v>112</v>
      </c>
      <c r="O190" t="s">
        <v>74</v>
      </c>
      <c r="P190" t="s">
        <v>74</v>
      </c>
      <c r="Q190" t="s">
        <v>74</v>
      </c>
      <c r="R190" t="s">
        <v>74</v>
      </c>
      <c r="S190" t="s">
        <v>74</v>
      </c>
      <c r="T190" t="s">
        <v>74</v>
      </c>
      <c r="U190" t="s">
        <v>4020</v>
      </c>
      <c r="V190" t="s">
        <v>4021</v>
      </c>
      <c r="W190" t="s">
        <v>4022</v>
      </c>
      <c r="X190" t="s">
        <v>4023</v>
      </c>
      <c r="Y190" t="s">
        <v>4024</v>
      </c>
      <c r="Z190" t="s">
        <v>4025</v>
      </c>
      <c r="AA190" t="s">
        <v>4026</v>
      </c>
      <c r="AB190" t="s">
        <v>4027</v>
      </c>
      <c r="AC190" t="s">
        <v>4028</v>
      </c>
      <c r="AD190" t="s">
        <v>4028</v>
      </c>
      <c r="AE190" t="s">
        <v>4029</v>
      </c>
      <c r="AF190" t="s">
        <v>74</v>
      </c>
      <c r="AG190">
        <v>101</v>
      </c>
      <c r="AH190">
        <v>5</v>
      </c>
      <c r="AI190">
        <v>5</v>
      </c>
      <c r="AJ190">
        <v>3</v>
      </c>
      <c r="AK190">
        <v>7</v>
      </c>
      <c r="AL190" t="s">
        <v>203</v>
      </c>
      <c r="AM190" t="s">
        <v>204</v>
      </c>
      <c r="AN190" t="s">
        <v>205</v>
      </c>
      <c r="AO190" t="s">
        <v>1502</v>
      </c>
      <c r="AP190" t="s">
        <v>1503</v>
      </c>
      <c r="AQ190" t="s">
        <v>74</v>
      </c>
      <c r="AR190" t="s">
        <v>1491</v>
      </c>
      <c r="AS190" t="s">
        <v>1504</v>
      </c>
      <c r="AT190" t="s">
        <v>1505</v>
      </c>
      <c r="AU190">
        <v>2023</v>
      </c>
      <c r="AV190">
        <v>617</v>
      </c>
      <c r="AW190">
        <v>7959</v>
      </c>
      <c r="AX190" t="s">
        <v>74</v>
      </c>
      <c r="AY190" t="s">
        <v>74</v>
      </c>
      <c r="AZ190" t="s">
        <v>74</v>
      </c>
      <c r="BA190" t="s">
        <v>74</v>
      </c>
      <c r="BB190">
        <v>105</v>
      </c>
      <c r="BC190" t="s">
        <v>1385</v>
      </c>
      <c r="BD190" t="s">
        <v>74</v>
      </c>
      <c r="BE190" t="s">
        <v>4030</v>
      </c>
      <c r="BF190" t="str">
        <f>HYPERLINK("http://dx.doi.org/10.1038/s41586-023-05876-1","http://dx.doi.org/10.1038/s41586-023-05876-1")</f>
        <v>http://dx.doi.org/10.1038/s41586-023-05876-1</v>
      </c>
      <c r="BG190" t="s">
        <v>74</v>
      </c>
      <c r="BH190" t="s">
        <v>427</v>
      </c>
      <c r="BI190">
        <v>20</v>
      </c>
      <c r="BJ190" t="s">
        <v>210</v>
      </c>
      <c r="BK190" t="s">
        <v>103</v>
      </c>
      <c r="BL190" t="s">
        <v>211</v>
      </c>
      <c r="BM190" t="s">
        <v>1508</v>
      </c>
      <c r="BN190">
        <v>37020019</v>
      </c>
      <c r="BO190" t="s">
        <v>1389</v>
      </c>
      <c r="BP190" t="s">
        <v>74</v>
      </c>
      <c r="BQ190" t="s">
        <v>74</v>
      </c>
      <c r="BR190" t="s">
        <v>106</v>
      </c>
      <c r="BS190" t="s">
        <v>4031</v>
      </c>
      <c r="BT190" t="str">
        <f>HYPERLINK("https%3A%2F%2Fwww.webofscience.com%2Fwos%2Fwoscc%2Ffull-record%2FWOS:000990835100006","View Full Record in Web of Science")</f>
        <v>View Full Record in Web of Science</v>
      </c>
    </row>
    <row r="191" spans="1:72" x14ac:dyDescent="0.15">
      <c r="A191" t="s">
        <v>72</v>
      </c>
      <c r="B191" t="s">
        <v>4032</v>
      </c>
      <c r="C191" t="s">
        <v>74</v>
      </c>
      <c r="D191" t="s">
        <v>74</v>
      </c>
      <c r="E191" t="s">
        <v>74</v>
      </c>
      <c r="F191" t="s">
        <v>4033</v>
      </c>
      <c r="G191" t="s">
        <v>74</v>
      </c>
      <c r="H191" t="s">
        <v>74</v>
      </c>
      <c r="I191" t="s">
        <v>4034</v>
      </c>
      <c r="J191" t="s">
        <v>1491</v>
      </c>
      <c r="K191" t="s">
        <v>74</v>
      </c>
      <c r="L191" t="s">
        <v>74</v>
      </c>
      <c r="M191" t="s">
        <v>78</v>
      </c>
      <c r="N191" t="s">
        <v>1754</v>
      </c>
      <c r="O191" t="s">
        <v>74</v>
      </c>
      <c r="P191" t="s">
        <v>74</v>
      </c>
      <c r="Q191" t="s">
        <v>74</v>
      </c>
      <c r="R191" t="s">
        <v>74</v>
      </c>
      <c r="S191" t="s">
        <v>74</v>
      </c>
      <c r="T191" t="s">
        <v>4035</v>
      </c>
      <c r="U191" t="s">
        <v>4036</v>
      </c>
      <c r="V191" t="s">
        <v>4037</v>
      </c>
      <c r="W191" t="s">
        <v>4038</v>
      </c>
      <c r="X191" t="s">
        <v>4039</v>
      </c>
      <c r="Y191" t="s">
        <v>4040</v>
      </c>
      <c r="Z191" t="s">
        <v>74</v>
      </c>
      <c r="AA191" t="s">
        <v>4026</v>
      </c>
      <c r="AB191" t="s">
        <v>74</v>
      </c>
      <c r="AC191" t="s">
        <v>74</v>
      </c>
      <c r="AD191" t="s">
        <v>74</v>
      </c>
      <c r="AE191" t="s">
        <v>74</v>
      </c>
      <c r="AF191" t="s">
        <v>74</v>
      </c>
      <c r="AG191">
        <v>5</v>
      </c>
      <c r="AH191">
        <v>0</v>
      </c>
      <c r="AI191">
        <v>0</v>
      </c>
      <c r="AJ191">
        <v>1</v>
      </c>
      <c r="AK191">
        <v>6</v>
      </c>
      <c r="AL191" t="s">
        <v>203</v>
      </c>
      <c r="AM191" t="s">
        <v>204</v>
      </c>
      <c r="AN191" t="s">
        <v>205</v>
      </c>
      <c r="AO191" t="s">
        <v>1502</v>
      </c>
      <c r="AP191" t="s">
        <v>1503</v>
      </c>
      <c r="AQ191" t="s">
        <v>74</v>
      </c>
      <c r="AR191" t="s">
        <v>1491</v>
      </c>
      <c r="AS191" t="s">
        <v>1504</v>
      </c>
      <c r="AT191" t="s">
        <v>4041</v>
      </c>
      <c r="AU191">
        <v>2023</v>
      </c>
      <c r="AV191" t="s">
        <v>74</v>
      </c>
      <c r="AW191" t="s">
        <v>74</v>
      </c>
      <c r="AX191" t="s">
        <v>74</v>
      </c>
      <c r="AY191" t="s">
        <v>74</v>
      </c>
      <c r="AZ191" t="s">
        <v>74</v>
      </c>
      <c r="BA191" t="s">
        <v>74</v>
      </c>
      <c r="BB191" t="s">
        <v>74</v>
      </c>
      <c r="BC191" t="s">
        <v>74</v>
      </c>
      <c r="BD191" t="s">
        <v>74</v>
      </c>
      <c r="BE191" t="s">
        <v>4042</v>
      </c>
      <c r="BF191" t="str">
        <f>HYPERLINK("http://dx.doi.org/10.1038/d41586-023-00916-2","http://dx.doi.org/10.1038/d41586-023-00916-2")</f>
        <v>http://dx.doi.org/10.1038/d41586-023-00916-2</v>
      </c>
      <c r="BG191" t="s">
        <v>74</v>
      </c>
      <c r="BH191" t="s">
        <v>427</v>
      </c>
      <c r="BI191">
        <v>2</v>
      </c>
      <c r="BJ191" t="s">
        <v>210</v>
      </c>
      <c r="BK191" t="s">
        <v>103</v>
      </c>
      <c r="BL191" t="s">
        <v>211</v>
      </c>
      <c r="BM191" t="s">
        <v>4043</v>
      </c>
      <c r="BN191">
        <v>37019954</v>
      </c>
      <c r="BO191" t="s">
        <v>1389</v>
      </c>
      <c r="BP191" t="s">
        <v>74</v>
      </c>
      <c r="BQ191" t="s">
        <v>74</v>
      </c>
      <c r="BR191" t="s">
        <v>106</v>
      </c>
      <c r="BS191" t="s">
        <v>4044</v>
      </c>
      <c r="BT191" t="str">
        <f>HYPERLINK("https%3A%2F%2Fwww.webofscience.com%2Fwos%2Fwoscc%2Ffull-record%2FWOS:000990835100008","View Full Record in Web of Science")</f>
        <v>View Full Record in Web of Science</v>
      </c>
    </row>
    <row r="192" spans="1:72" x14ac:dyDescent="0.15">
      <c r="A192" t="s">
        <v>72</v>
      </c>
      <c r="B192" t="s">
        <v>4045</v>
      </c>
      <c r="C192" t="s">
        <v>74</v>
      </c>
      <c r="D192" t="s">
        <v>74</v>
      </c>
      <c r="E192" t="s">
        <v>74</v>
      </c>
      <c r="F192" t="s">
        <v>4046</v>
      </c>
      <c r="G192" t="s">
        <v>74</v>
      </c>
      <c r="H192" t="s">
        <v>74</v>
      </c>
      <c r="I192" t="s">
        <v>4047</v>
      </c>
      <c r="J192" t="s">
        <v>1146</v>
      </c>
      <c r="K192" t="s">
        <v>74</v>
      </c>
      <c r="L192" t="s">
        <v>74</v>
      </c>
      <c r="M192" t="s">
        <v>78</v>
      </c>
      <c r="N192" t="s">
        <v>112</v>
      </c>
      <c r="O192" t="s">
        <v>74</v>
      </c>
      <c r="P192" t="s">
        <v>74</v>
      </c>
      <c r="Q192" t="s">
        <v>74</v>
      </c>
      <c r="R192" t="s">
        <v>74</v>
      </c>
      <c r="S192" t="s">
        <v>74</v>
      </c>
      <c r="T192" t="s">
        <v>4048</v>
      </c>
      <c r="U192" t="s">
        <v>4049</v>
      </c>
      <c r="V192" t="s">
        <v>4050</v>
      </c>
      <c r="W192" t="s">
        <v>4051</v>
      </c>
      <c r="X192" t="s">
        <v>4052</v>
      </c>
      <c r="Y192" t="s">
        <v>4053</v>
      </c>
      <c r="Z192" t="s">
        <v>4054</v>
      </c>
      <c r="AA192" t="s">
        <v>4055</v>
      </c>
      <c r="AB192" t="s">
        <v>4056</v>
      </c>
      <c r="AC192" t="s">
        <v>4057</v>
      </c>
      <c r="AD192" t="s">
        <v>4058</v>
      </c>
      <c r="AE192" t="s">
        <v>4059</v>
      </c>
      <c r="AF192" t="s">
        <v>74</v>
      </c>
      <c r="AG192">
        <v>78</v>
      </c>
      <c r="AH192">
        <v>1</v>
      </c>
      <c r="AI192">
        <v>1</v>
      </c>
      <c r="AJ192">
        <v>17</v>
      </c>
      <c r="AK192">
        <v>32</v>
      </c>
      <c r="AL192" t="s">
        <v>225</v>
      </c>
      <c r="AM192" t="s">
        <v>226</v>
      </c>
      <c r="AN192" t="s">
        <v>227</v>
      </c>
      <c r="AO192" t="s">
        <v>1159</v>
      </c>
      <c r="AP192" t="s">
        <v>1160</v>
      </c>
      <c r="AQ192" t="s">
        <v>74</v>
      </c>
      <c r="AR192" t="s">
        <v>1146</v>
      </c>
      <c r="AS192" t="s">
        <v>1161</v>
      </c>
      <c r="AT192" t="s">
        <v>570</v>
      </c>
      <c r="AU192">
        <v>2023</v>
      </c>
      <c r="AV192">
        <v>328</v>
      </c>
      <c r="AW192" t="s">
        <v>74</v>
      </c>
      <c r="AX192" t="s">
        <v>74</v>
      </c>
      <c r="AY192" t="s">
        <v>74</v>
      </c>
      <c r="AZ192" t="s">
        <v>74</v>
      </c>
      <c r="BA192" t="s">
        <v>74</v>
      </c>
      <c r="BB192" t="s">
        <v>74</v>
      </c>
      <c r="BC192" t="s">
        <v>74</v>
      </c>
      <c r="BD192">
        <v>138575</v>
      </c>
      <c r="BE192" t="s">
        <v>4060</v>
      </c>
      <c r="BF192" t="str">
        <f>HYPERLINK("http://dx.doi.org/10.1016/j.chemosphere.2023.138575","http://dx.doi.org/10.1016/j.chemosphere.2023.138575")</f>
        <v>http://dx.doi.org/10.1016/j.chemosphere.2023.138575</v>
      </c>
      <c r="BG192" t="s">
        <v>74</v>
      </c>
      <c r="BH192" t="s">
        <v>427</v>
      </c>
      <c r="BI192">
        <v>8</v>
      </c>
      <c r="BJ192" t="s">
        <v>1163</v>
      </c>
      <c r="BK192" t="s">
        <v>103</v>
      </c>
      <c r="BL192" t="s">
        <v>1164</v>
      </c>
      <c r="BM192" t="s">
        <v>4061</v>
      </c>
      <c r="BN192">
        <v>37011823</v>
      </c>
      <c r="BO192" t="s">
        <v>74</v>
      </c>
      <c r="BP192" t="s">
        <v>74</v>
      </c>
      <c r="BQ192" t="s">
        <v>74</v>
      </c>
      <c r="BR192" t="s">
        <v>106</v>
      </c>
      <c r="BS192" t="s">
        <v>4062</v>
      </c>
      <c r="BT192" t="str">
        <f>HYPERLINK("https%3A%2F%2Fwww.webofscience.com%2Fwos%2Fwoscc%2Ffull-record%2FWOS:000984697600001","View Full Record in Web of Science")</f>
        <v>View Full Record in Web of Science</v>
      </c>
    </row>
    <row r="193" spans="1:72" x14ac:dyDescent="0.15">
      <c r="A193" t="s">
        <v>72</v>
      </c>
      <c r="B193" t="s">
        <v>4063</v>
      </c>
      <c r="C193" t="s">
        <v>74</v>
      </c>
      <c r="D193" t="s">
        <v>74</v>
      </c>
      <c r="E193" t="s">
        <v>74</v>
      </c>
      <c r="F193" t="s">
        <v>4064</v>
      </c>
      <c r="G193" t="s">
        <v>74</v>
      </c>
      <c r="H193" t="s">
        <v>74</v>
      </c>
      <c r="I193" t="s">
        <v>4065</v>
      </c>
      <c r="J193" t="s">
        <v>2032</v>
      </c>
      <c r="K193" t="s">
        <v>74</v>
      </c>
      <c r="L193" t="s">
        <v>74</v>
      </c>
      <c r="M193" t="s">
        <v>78</v>
      </c>
      <c r="N193" t="s">
        <v>112</v>
      </c>
      <c r="O193" t="s">
        <v>74</v>
      </c>
      <c r="P193" t="s">
        <v>74</v>
      </c>
      <c r="Q193" t="s">
        <v>74</v>
      </c>
      <c r="R193" t="s">
        <v>74</v>
      </c>
      <c r="S193" t="s">
        <v>74</v>
      </c>
      <c r="T193" t="s">
        <v>74</v>
      </c>
      <c r="U193" t="s">
        <v>4066</v>
      </c>
      <c r="V193" t="s">
        <v>4067</v>
      </c>
      <c r="W193" t="s">
        <v>4068</v>
      </c>
      <c r="X193" t="s">
        <v>4069</v>
      </c>
      <c r="Y193" t="s">
        <v>4070</v>
      </c>
      <c r="Z193" t="s">
        <v>4071</v>
      </c>
      <c r="AA193" t="s">
        <v>74</v>
      </c>
      <c r="AB193" t="s">
        <v>4072</v>
      </c>
      <c r="AC193" t="s">
        <v>74</v>
      </c>
      <c r="AD193" t="s">
        <v>74</v>
      </c>
      <c r="AE193" t="s">
        <v>74</v>
      </c>
      <c r="AF193" t="s">
        <v>74</v>
      </c>
      <c r="AG193">
        <v>56</v>
      </c>
      <c r="AH193">
        <v>1</v>
      </c>
      <c r="AI193">
        <v>1</v>
      </c>
      <c r="AJ193">
        <v>0</v>
      </c>
      <c r="AK193">
        <v>0</v>
      </c>
      <c r="AL193" t="s">
        <v>2044</v>
      </c>
      <c r="AM193" t="s">
        <v>2045</v>
      </c>
      <c r="AN193" t="s">
        <v>2046</v>
      </c>
      <c r="AO193" t="s">
        <v>2047</v>
      </c>
      <c r="AP193" t="s">
        <v>74</v>
      </c>
      <c r="AQ193" t="s">
        <v>74</v>
      </c>
      <c r="AR193" t="s">
        <v>2032</v>
      </c>
      <c r="AS193" t="s">
        <v>2048</v>
      </c>
      <c r="AT193" t="s">
        <v>4073</v>
      </c>
      <c r="AU193">
        <v>2023</v>
      </c>
      <c r="AV193">
        <v>18</v>
      </c>
      <c r="AW193">
        <v>4</v>
      </c>
      <c r="AX193" t="s">
        <v>74</v>
      </c>
      <c r="AY193" t="s">
        <v>74</v>
      </c>
      <c r="AZ193" t="s">
        <v>74</v>
      </c>
      <c r="BA193" t="s">
        <v>74</v>
      </c>
      <c r="BB193" t="s">
        <v>74</v>
      </c>
      <c r="BC193" t="s">
        <v>74</v>
      </c>
      <c r="BD193" t="s">
        <v>4074</v>
      </c>
      <c r="BE193" t="s">
        <v>4075</v>
      </c>
      <c r="BF193" t="str">
        <f>HYPERLINK("http://dx.doi.org/10.1371/journal.pone.0277389","http://dx.doi.org/10.1371/journal.pone.0277389")</f>
        <v>http://dx.doi.org/10.1371/journal.pone.0277389</v>
      </c>
      <c r="BG193" t="s">
        <v>74</v>
      </c>
      <c r="BH193" t="s">
        <v>74</v>
      </c>
      <c r="BI193">
        <v>18</v>
      </c>
      <c r="BJ193" t="s">
        <v>210</v>
      </c>
      <c r="BK193" t="s">
        <v>103</v>
      </c>
      <c r="BL193" t="s">
        <v>211</v>
      </c>
      <c r="BM193" t="s">
        <v>4076</v>
      </c>
      <c r="BN193">
        <v>37018180</v>
      </c>
      <c r="BO193" t="s">
        <v>136</v>
      </c>
      <c r="BP193" t="s">
        <v>74</v>
      </c>
      <c r="BQ193" t="s">
        <v>74</v>
      </c>
      <c r="BR193" t="s">
        <v>106</v>
      </c>
      <c r="BS193" t="s">
        <v>4077</v>
      </c>
      <c r="BT193" t="str">
        <f>HYPERLINK("https%3A%2F%2Fwww.webofscience.com%2Fwos%2Fwoscc%2Ffull-record%2FWOS:000967987200058","View Full Record in Web of Science")</f>
        <v>View Full Record in Web of Science</v>
      </c>
    </row>
    <row r="194" spans="1:72" x14ac:dyDescent="0.15">
      <c r="A194" t="s">
        <v>72</v>
      </c>
      <c r="B194" t="s">
        <v>4078</v>
      </c>
      <c r="C194" t="s">
        <v>74</v>
      </c>
      <c r="D194" t="s">
        <v>74</v>
      </c>
      <c r="E194" t="s">
        <v>74</v>
      </c>
      <c r="F194" t="s">
        <v>4079</v>
      </c>
      <c r="G194" t="s">
        <v>74</v>
      </c>
      <c r="H194" t="s">
        <v>74</v>
      </c>
      <c r="I194" t="s">
        <v>4080</v>
      </c>
      <c r="J194" t="s">
        <v>4081</v>
      </c>
      <c r="K194" t="s">
        <v>74</v>
      </c>
      <c r="L194" t="s">
        <v>74</v>
      </c>
      <c r="M194" t="s">
        <v>78</v>
      </c>
      <c r="N194" t="s">
        <v>112</v>
      </c>
      <c r="O194" t="s">
        <v>74</v>
      </c>
      <c r="P194" t="s">
        <v>74</v>
      </c>
      <c r="Q194" t="s">
        <v>74</v>
      </c>
      <c r="R194" t="s">
        <v>74</v>
      </c>
      <c r="S194" t="s">
        <v>74</v>
      </c>
      <c r="T194" t="s">
        <v>4082</v>
      </c>
      <c r="U194" t="s">
        <v>4083</v>
      </c>
      <c r="V194" t="s">
        <v>4084</v>
      </c>
      <c r="W194" t="s">
        <v>4085</v>
      </c>
      <c r="X194" t="s">
        <v>4086</v>
      </c>
      <c r="Y194" t="s">
        <v>4087</v>
      </c>
      <c r="Z194" t="s">
        <v>4088</v>
      </c>
      <c r="AA194" t="s">
        <v>4089</v>
      </c>
      <c r="AB194" t="s">
        <v>4090</v>
      </c>
      <c r="AC194" t="s">
        <v>74</v>
      </c>
      <c r="AD194" t="s">
        <v>74</v>
      </c>
      <c r="AE194" t="s">
        <v>74</v>
      </c>
      <c r="AF194" t="s">
        <v>74</v>
      </c>
      <c r="AG194">
        <v>92</v>
      </c>
      <c r="AH194">
        <v>0</v>
      </c>
      <c r="AI194">
        <v>0</v>
      </c>
      <c r="AJ194">
        <v>1</v>
      </c>
      <c r="AK194">
        <v>6</v>
      </c>
      <c r="AL194" t="s">
        <v>447</v>
      </c>
      <c r="AM194" t="s">
        <v>448</v>
      </c>
      <c r="AN194" t="s">
        <v>449</v>
      </c>
      <c r="AO194" t="s">
        <v>4091</v>
      </c>
      <c r="AP194" t="s">
        <v>4092</v>
      </c>
      <c r="AQ194" t="s">
        <v>74</v>
      </c>
      <c r="AR194" t="s">
        <v>4093</v>
      </c>
      <c r="AS194" t="s">
        <v>4094</v>
      </c>
      <c r="AT194" t="s">
        <v>98</v>
      </c>
      <c r="AU194">
        <v>2023</v>
      </c>
      <c r="AV194">
        <v>459</v>
      </c>
      <c r="AW194" t="s">
        <v>74</v>
      </c>
      <c r="AX194" t="s">
        <v>74</v>
      </c>
      <c r="AY194" t="s">
        <v>74</v>
      </c>
      <c r="AZ194" t="s">
        <v>74</v>
      </c>
      <c r="BA194" t="s">
        <v>74</v>
      </c>
      <c r="BB194" t="s">
        <v>74</v>
      </c>
      <c r="BC194" t="s">
        <v>74</v>
      </c>
      <c r="BD194">
        <v>107031</v>
      </c>
      <c r="BE194" t="s">
        <v>4095</v>
      </c>
      <c r="BF194" t="str">
        <f>HYPERLINK("http://dx.doi.org/10.1016/j.margeo.2023.107031","http://dx.doi.org/10.1016/j.margeo.2023.107031")</f>
        <v>http://dx.doi.org/10.1016/j.margeo.2023.107031</v>
      </c>
      <c r="BG194" t="s">
        <v>74</v>
      </c>
      <c r="BH194" t="s">
        <v>427</v>
      </c>
      <c r="BI194">
        <v>21</v>
      </c>
      <c r="BJ194" t="s">
        <v>4096</v>
      </c>
      <c r="BK194" t="s">
        <v>103</v>
      </c>
      <c r="BL194" t="s">
        <v>4097</v>
      </c>
      <c r="BM194" t="s">
        <v>4098</v>
      </c>
      <c r="BN194" t="s">
        <v>74</v>
      </c>
      <c r="BO194" t="s">
        <v>1389</v>
      </c>
      <c r="BP194" t="s">
        <v>74</v>
      </c>
      <c r="BQ194" t="s">
        <v>74</v>
      </c>
      <c r="BR194" t="s">
        <v>106</v>
      </c>
      <c r="BS194" t="s">
        <v>4099</v>
      </c>
      <c r="BT194" t="str">
        <f>HYPERLINK("https%3A%2F%2Fwww.webofscience.com%2Fwos%2Fwoscc%2Ffull-record%2FWOS:000982506900001","View Full Record in Web of Science")</f>
        <v>View Full Record in Web of Science</v>
      </c>
    </row>
    <row r="195" spans="1:72" x14ac:dyDescent="0.15">
      <c r="A195" t="s">
        <v>72</v>
      </c>
      <c r="B195" t="s">
        <v>4100</v>
      </c>
      <c r="C195" t="s">
        <v>74</v>
      </c>
      <c r="D195" t="s">
        <v>74</v>
      </c>
      <c r="E195" t="s">
        <v>74</v>
      </c>
      <c r="F195" t="s">
        <v>4101</v>
      </c>
      <c r="G195" t="s">
        <v>74</v>
      </c>
      <c r="H195" t="s">
        <v>74</v>
      </c>
      <c r="I195" t="s">
        <v>4102</v>
      </c>
      <c r="J195" t="s">
        <v>2904</v>
      </c>
      <c r="K195" t="s">
        <v>74</v>
      </c>
      <c r="L195" t="s">
        <v>74</v>
      </c>
      <c r="M195" t="s">
        <v>78</v>
      </c>
      <c r="N195" t="s">
        <v>112</v>
      </c>
      <c r="O195" t="s">
        <v>74</v>
      </c>
      <c r="P195" t="s">
        <v>74</v>
      </c>
      <c r="Q195" t="s">
        <v>74</v>
      </c>
      <c r="R195" t="s">
        <v>74</v>
      </c>
      <c r="S195" t="s">
        <v>74</v>
      </c>
      <c r="T195" t="s">
        <v>4103</v>
      </c>
      <c r="U195" t="s">
        <v>4104</v>
      </c>
      <c r="V195" t="s">
        <v>4105</v>
      </c>
      <c r="W195" t="s">
        <v>4106</v>
      </c>
      <c r="X195" t="s">
        <v>4107</v>
      </c>
      <c r="Y195" t="s">
        <v>4108</v>
      </c>
      <c r="Z195" t="s">
        <v>4109</v>
      </c>
      <c r="AA195" t="s">
        <v>4110</v>
      </c>
      <c r="AB195" t="s">
        <v>4111</v>
      </c>
      <c r="AC195" t="s">
        <v>4112</v>
      </c>
      <c r="AD195" t="s">
        <v>4113</v>
      </c>
      <c r="AE195" t="s">
        <v>4114</v>
      </c>
      <c r="AF195" t="s">
        <v>74</v>
      </c>
      <c r="AG195">
        <v>81</v>
      </c>
      <c r="AH195">
        <v>4</v>
      </c>
      <c r="AI195">
        <v>4</v>
      </c>
      <c r="AJ195">
        <v>1</v>
      </c>
      <c r="AK195">
        <v>5</v>
      </c>
      <c r="AL195" t="s">
        <v>447</v>
      </c>
      <c r="AM195" t="s">
        <v>448</v>
      </c>
      <c r="AN195" t="s">
        <v>449</v>
      </c>
      <c r="AO195" t="s">
        <v>2916</v>
      </c>
      <c r="AP195" t="s">
        <v>2917</v>
      </c>
      <c r="AQ195" t="s">
        <v>74</v>
      </c>
      <c r="AR195" t="s">
        <v>2918</v>
      </c>
      <c r="AS195" t="s">
        <v>2919</v>
      </c>
      <c r="AT195" t="s">
        <v>570</v>
      </c>
      <c r="AU195">
        <v>2023</v>
      </c>
      <c r="AV195">
        <v>119</v>
      </c>
      <c r="AW195" t="s">
        <v>74</v>
      </c>
      <c r="AX195" t="s">
        <v>74</v>
      </c>
      <c r="AY195" t="s">
        <v>74</v>
      </c>
      <c r="AZ195" t="s">
        <v>74</v>
      </c>
      <c r="BA195" t="s">
        <v>74</v>
      </c>
      <c r="BB195">
        <v>204</v>
      </c>
      <c r="BC195">
        <v>226</v>
      </c>
      <c r="BD195" t="s">
        <v>74</v>
      </c>
      <c r="BE195" t="s">
        <v>4115</v>
      </c>
      <c r="BF195" t="str">
        <f>HYPERLINK("http://dx.doi.org/10.1016/j.gr.2023.03.014","http://dx.doi.org/10.1016/j.gr.2023.03.014")</f>
        <v>http://dx.doi.org/10.1016/j.gr.2023.03.014</v>
      </c>
      <c r="BG195" t="s">
        <v>74</v>
      </c>
      <c r="BH195" t="s">
        <v>427</v>
      </c>
      <c r="BI195">
        <v>23</v>
      </c>
      <c r="BJ195" t="s">
        <v>261</v>
      </c>
      <c r="BK195" t="s">
        <v>103</v>
      </c>
      <c r="BL195" t="s">
        <v>262</v>
      </c>
      <c r="BM195" t="s">
        <v>4116</v>
      </c>
      <c r="BN195" t="s">
        <v>74</v>
      </c>
      <c r="BO195" t="s">
        <v>74</v>
      </c>
      <c r="BP195" t="s">
        <v>74</v>
      </c>
      <c r="BQ195" t="s">
        <v>74</v>
      </c>
      <c r="BR195" t="s">
        <v>106</v>
      </c>
      <c r="BS195" t="s">
        <v>4117</v>
      </c>
      <c r="BT195" t="str">
        <f>HYPERLINK("https%3A%2F%2Fwww.webofscience.com%2Fwos%2Fwoscc%2Ffull-record%2FWOS:000981941300001","View Full Record in Web of Science")</f>
        <v>View Full Record in Web of Science</v>
      </c>
    </row>
    <row r="196" spans="1:72" x14ac:dyDescent="0.15">
      <c r="A196" t="s">
        <v>72</v>
      </c>
      <c r="B196" t="s">
        <v>4118</v>
      </c>
      <c r="C196" t="s">
        <v>74</v>
      </c>
      <c r="D196" t="s">
        <v>74</v>
      </c>
      <c r="E196" t="s">
        <v>74</v>
      </c>
      <c r="F196" t="s">
        <v>4119</v>
      </c>
      <c r="G196" t="s">
        <v>74</v>
      </c>
      <c r="H196" t="s">
        <v>74</v>
      </c>
      <c r="I196" t="s">
        <v>4120</v>
      </c>
      <c r="J196" t="s">
        <v>1048</v>
      </c>
      <c r="K196" t="s">
        <v>74</v>
      </c>
      <c r="L196" t="s">
        <v>74</v>
      </c>
      <c r="M196" t="s">
        <v>78</v>
      </c>
      <c r="N196" t="s">
        <v>112</v>
      </c>
      <c r="O196" t="s">
        <v>74</v>
      </c>
      <c r="P196" t="s">
        <v>74</v>
      </c>
      <c r="Q196" t="s">
        <v>74</v>
      </c>
      <c r="R196" t="s">
        <v>74</v>
      </c>
      <c r="S196" t="s">
        <v>74</v>
      </c>
      <c r="T196" t="s">
        <v>4121</v>
      </c>
      <c r="U196" t="s">
        <v>4122</v>
      </c>
      <c r="V196" t="s">
        <v>4123</v>
      </c>
      <c r="W196" t="s">
        <v>4124</v>
      </c>
      <c r="X196" t="s">
        <v>1996</v>
      </c>
      <c r="Y196" t="s">
        <v>4125</v>
      </c>
      <c r="Z196" t="s">
        <v>4126</v>
      </c>
      <c r="AA196" t="s">
        <v>4127</v>
      </c>
      <c r="AB196" t="s">
        <v>4128</v>
      </c>
      <c r="AC196" t="s">
        <v>4129</v>
      </c>
      <c r="AD196" t="s">
        <v>4130</v>
      </c>
      <c r="AE196" t="s">
        <v>4131</v>
      </c>
      <c r="AF196" t="s">
        <v>74</v>
      </c>
      <c r="AG196">
        <v>93</v>
      </c>
      <c r="AH196">
        <v>2</v>
      </c>
      <c r="AI196">
        <v>2</v>
      </c>
      <c r="AJ196">
        <v>3</v>
      </c>
      <c r="AK196">
        <v>7</v>
      </c>
      <c r="AL196" t="s">
        <v>447</v>
      </c>
      <c r="AM196" t="s">
        <v>448</v>
      </c>
      <c r="AN196" t="s">
        <v>449</v>
      </c>
      <c r="AO196" t="s">
        <v>1060</v>
      </c>
      <c r="AP196" t="s">
        <v>1061</v>
      </c>
      <c r="AQ196" t="s">
        <v>74</v>
      </c>
      <c r="AR196" t="s">
        <v>1048</v>
      </c>
      <c r="AS196" t="s">
        <v>1062</v>
      </c>
      <c r="AT196" t="s">
        <v>1208</v>
      </c>
      <c r="AU196">
        <v>2023</v>
      </c>
      <c r="AV196">
        <v>572</v>
      </c>
      <c r="AW196" t="s">
        <v>74</v>
      </c>
      <c r="AX196" t="s">
        <v>74</v>
      </c>
      <c r="AY196" t="s">
        <v>74</v>
      </c>
      <c r="AZ196" t="s">
        <v>74</v>
      </c>
      <c r="BA196" t="s">
        <v>74</v>
      </c>
      <c r="BB196" t="s">
        <v>74</v>
      </c>
      <c r="BC196" t="s">
        <v>74</v>
      </c>
      <c r="BD196">
        <v>739535</v>
      </c>
      <c r="BE196" t="s">
        <v>4132</v>
      </c>
      <c r="BF196" t="str">
        <f>HYPERLINK("http://dx.doi.org/10.1016/j.aquaculture.2023.739535","http://dx.doi.org/10.1016/j.aquaculture.2023.739535")</f>
        <v>http://dx.doi.org/10.1016/j.aquaculture.2023.739535</v>
      </c>
      <c r="BG196" t="s">
        <v>74</v>
      </c>
      <c r="BH196" t="s">
        <v>427</v>
      </c>
      <c r="BI196">
        <v>11</v>
      </c>
      <c r="BJ196" t="s">
        <v>1065</v>
      </c>
      <c r="BK196" t="s">
        <v>103</v>
      </c>
      <c r="BL196" t="s">
        <v>1065</v>
      </c>
      <c r="BM196" t="s">
        <v>4133</v>
      </c>
      <c r="BN196" t="s">
        <v>74</v>
      </c>
      <c r="BO196" t="s">
        <v>387</v>
      </c>
      <c r="BP196" t="s">
        <v>74</v>
      </c>
      <c r="BQ196" t="s">
        <v>74</v>
      </c>
      <c r="BR196" t="s">
        <v>106</v>
      </c>
      <c r="BS196" t="s">
        <v>4134</v>
      </c>
      <c r="BT196" t="str">
        <f>HYPERLINK("https%3A%2F%2Fwww.webofscience.com%2Fwos%2Fwoscc%2Ffull-record%2FWOS:000977386800001","View Full Record in Web of Science")</f>
        <v>View Full Record in Web of Science</v>
      </c>
    </row>
    <row r="197" spans="1:72" x14ac:dyDescent="0.15">
      <c r="A197" t="s">
        <v>72</v>
      </c>
      <c r="B197" t="s">
        <v>4135</v>
      </c>
      <c r="C197" t="s">
        <v>74</v>
      </c>
      <c r="D197" t="s">
        <v>74</v>
      </c>
      <c r="E197" t="s">
        <v>74</v>
      </c>
      <c r="F197" t="s">
        <v>4136</v>
      </c>
      <c r="G197" t="s">
        <v>74</v>
      </c>
      <c r="H197" t="s">
        <v>74</v>
      </c>
      <c r="I197" t="s">
        <v>4137</v>
      </c>
      <c r="J197" t="s">
        <v>4138</v>
      </c>
      <c r="K197" t="s">
        <v>74</v>
      </c>
      <c r="L197" t="s">
        <v>74</v>
      </c>
      <c r="M197" t="s">
        <v>78</v>
      </c>
      <c r="N197" t="s">
        <v>365</v>
      </c>
      <c r="O197" t="s">
        <v>74</v>
      </c>
      <c r="P197" t="s">
        <v>74</v>
      </c>
      <c r="Q197" t="s">
        <v>74</v>
      </c>
      <c r="R197" t="s">
        <v>74</v>
      </c>
      <c r="S197" t="s">
        <v>74</v>
      </c>
      <c r="T197" t="s">
        <v>4139</v>
      </c>
      <c r="U197" t="s">
        <v>4140</v>
      </c>
      <c r="V197" t="s">
        <v>4141</v>
      </c>
      <c r="W197" t="s">
        <v>4142</v>
      </c>
      <c r="X197" t="s">
        <v>4143</v>
      </c>
      <c r="Y197" t="s">
        <v>4144</v>
      </c>
      <c r="Z197" t="s">
        <v>4145</v>
      </c>
      <c r="AA197" t="s">
        <v>4146</v>
      </c>
      <c r="AB197" t="s">
        <v>4147</v>
      </c>
      <c r="AC197" t="s">
        <v>74</v>
      </c>
      <c r="AD197" t="s">
        <v>74</v>
      </c>
      <c r="AE197" t="s">
        <v>74</v>
      </c>
      <c r="AF197" t="s">
        <v>74</v>
      </c>
      <c r="AG197">
        <v>196</v>
      </c>
      <c r="AH197">
        <v>1</v>
      </c>
      <c r="AI197">
        <v>1</v>
      </c>
      <c r="AJ197">
        <v>7</v>
      </c>
      <c r="AK197">
        <v>22</v>
      </c>
      <c r="AL197" t="s">
        <v>2092</v>
      </c>
      <c r="AM197" t="s">
        <v>2093</v>
      </c>
      <c r="AN197" t="s">
        <v>2094</v>
      </c>
      <c r="AO197" t="s">
        <v>4148</v>
      </c>
      <c r="AP197" t="s">
        <v>4149</v>
      </c>
      <c r="AQ197" t="s">
        <v>74</v>
      </c>
      <c r="AR197" t="s">
        <v>4150</v>
      </c>
      <c r="AS197" t="s">
        <v>4151</v>
      </c>
      <c r="AT197" t="s">
        <v>972</v>
      </c>
      <c r="AU197">
        <v>2024</v>
      </c>
      <c r="AV197">
        <v>16</v>
      </c>
      <c r="AW197">
        <v>1</v>
      </c>
      <c r="AX197" t="s">
        <v>74</v>
      </c>
      <c r="AY197" t="s">
        <v>74</v>
      </c>
      <c r="AZ197" t="s">
        <v>74</v>
      </c>
      <c r="BA197" t="s">
        <v>74</v>
      </c>
      <c r="BB197">
        <v>66</v>
      </c>
      <c r="BC197">
        <v>85</v>
      </c>
      <c r="BD197" t="s">
        <v>74</v>
      </c>
      <c r="BE197" t="s">
        <v>4152</v>
      </c>
      <c r="BF197" t="str">
        <f>HYPERLINK("http://dx.doi.org/10.1111/raq.12821","http://dx.doi.org/10.1111/raq.12821")</f>
        <v>http://dx.doi.org/10.1111/raq.12821</v>
      </c>
      <c r="BG197" t="s">
        <v>74</v>
      </c>
      <c r="BH197" t="s">
        <v>427</v>
      </c>
      <c r="BI197">
        <v>20</v>
      </c>
      <c r="BJ197" t="s">
        <v>3222</v>
      </c>
      <c r="BK197" t="s">
        <v>103</v>
      </c>
      <c r="BL197" t="s">
        <v>3222</v>
      </c>
      <c r="BM197" t="s">
        <v>4153</v>
      </c>
      <c r="BN197" t="s">
        <v>74</v>
      </c>
      <c r="BO197" t="s">
        <v>387</v>
      </c>
      <c r="BP197" t="s">
        <v>74</v>
      </c>
      <c r="BQ197" t="s">
        <v>74</v>
      </c>
      <c r="BR197" t="s">
        <v>106</v>
      </c>
      <c r="BS197" t="s">
        <v>4154</v>
      </c>
      <c r="BT197" t="str">
        <f>HYPERLINK("https%3A%2F%2Fwww.webofscience.com%2Fwos%2Fwoscc%2Ffull-record%2FWOS:000963190800001","View Full Record in Web of Science")</f>
        <v>View Full Record in Web of Science</v>
      </c>
    </row>
    <row r="198" spans="1:72" x14ac:dyDescent="0.15">
      <c r="A198" t="s">
        <v>72</v>
      </c>
      <c r="B198" t="s">
        <v>4155</v>
      </c>
      <c r="C198" t="s">
        <v>74</v>
      </c>
      <c r="D198" t="s">
        <v>74</v>
      </c>
      <c r="E198" t="s">
        <v>74</v>
      </c>
      <c r="F198" t="s">
        <v>4156</v>
      </c>
      <c r="G198" t="s">
        <v>74</v>
      </c>
      <c r="H198" t="s">
        <v>74</v>
      </c>
      <c r="I198" t="s">
        <v>4157</v>
      </c>
      <c r="J198" t="s">
        <v>4158</v>
      </c>
      <c r="K198" t="s">
        <v>74</v>
      </c>
      <c r="L198" t="s">
        <v>74</v>
      </c>
      <c r="M198" t="s">
        <v>78</v>
      </c>
      <c r="N198" t="s">
        <v>112</v>
      </c>
      <c r="O198" t="s">
        <v>74</v>
      </c>
      <c r="P198" t="s">
        <v>74</v>
      </c>
      <c r="Q198" t="s">
        <v>74</v>
      </c>
      <c r="R198" t="s">
        <v>74</v>
      </c>
      <c r="S198" t="s">
        <v>74</v>
      </c>
      <c r="T198" t="s">
        <v>74</v>
      </c>
      <c r="U198" t="s">
        <v>4159</v>
      </c>
      <c r="V198" t="s">
        <v>4160</v>
      </c>
      <c r="W198" t="s">
        <v>4161</v>
      </c>
      <c r="X198" t="s">
        <v>4162</v>
      </c>
      <c r="Y198" t="s">
        <v>4163</v>
      </c>
      <c r="Z198" t="s">
        <v>4164</v>
      </c>
      <c r="AA198" t="s">
        <v>4165</v>
      </c>
      <c r="AB198" t="s">
        <v>4166</v>
      </c>
      <c r="AC198" t="s">
        <v>4167</v>
      </c>
      <c r="AD198" t="s">
        <v>4168</v>
      </c>
      <c r="AE198" t="s">
        <v>4169</v>
      </c>
      <c r="AF198" t="s">
        <v>74</v>
      </c>
      <c r="AG198">
        <v>31</v>
      </c>
      <c r="AH198">
        <v>1</v>
      </c>
      <c r="AI198">
        <v>1</v>
      </c>
      <c r="AJ198">
        <v>0</v>
      </c>
      <c r="AK198">
        <v>0</v>
      </c>
      <c r="AL198" t="s">
        <v>4170</v>
      </c>
      <c r="AM198" t="s">
        <v>4171</v>
      </c>
      <c r="AN198" t="s">
        <v>4172</v>
      </c>
      <c r="AO198" t="s">
        <v>4173</v>
      </c>
      <c r="AP198" t="s">
        <v>74</v>
      </c>
      <c r="AQ198" t="s">
        <v>74</v>
      </c>
      <c r="AR198" t="s">
        <v>4158</v>
      </c>
      <c r="AS198" t="s">
        <v>4158</v>
      </c>
      <c r="AT198" t="s">
        <v>4174</v>
      </c>
      <c r="AU198">
        <v>2023</v>
      </c>
      <c r="AV198">
        <v>19</v>
      </c>
      <c r="AW198" t="s">
        <v>74</v>
      </c>
      <c r="AX198" t="s">
        <v>74</v>
      </c>
      <c r="AY198" t="s">
        <v>74</v>
      </c>
      <c r="AZ198" t="s">
        <v>74</v>
      </c>
      <c r="BA198" t="s">
        <v>74</v>
      </c>
      <c r="BB198">
        <v>86</v>
      </c>
      <c r="BC198">
        <v>93</v>
      </c>
      <c r="BD198" t="s">
        <v>74</v>
      </c>
      <c r="BE198" t="s">
        <v>4175</v>
      </c>
      <c r="BF198" t="str">
        <f>HYPERLINK("http://dx.doi.org/10.2151/sola.2023-012","http://dx.doi.org/10.2151/sola.2023-012")</f>
        <v>http://dx.doi.org/10.2151/sola.2023-012</v>
      </c>
      <c r="BG198" t="s">
        <v>74</v>
      </c>
      <c r="BH198" t="s">
        <v>74</v>
      </c>
      <c r="BI198">
        <v>8</v>
      </c>
      <c r="BJ198" t="s">
        <v>102</v>
      </c>
      <c r="BK198" t="s">
        <v>103</v>
      </c>
      <c r="BL198" t="s">
        <v>102</v>
      </c>
      <c r="BM198" t="s">
        <v>4176</v>
      </c>
      <c r="BN198" t="s">
        <v>74</v>
      </c>
      <c r="BO198" t="s">
        <v>359</v>
      </c>
      <c r="BP198" t="s">
        <v>74</v>
      </c>
      <c r="BQ198" t="s">
        <v>74</v>
      </c>
      <c r="BR198" t="s">
        <v>106</v>
      </c>
      <c r="BS198" t="s">
        <v>4177</v>
      </c>
      <c r="BT198" t="str">
        <f>HYPERLINK("https%3A%2F%2Fwww.webofscience.com%2Fwos%2Fwoscc%2Ffull-record%2FWOS:001086653100001","View Full Record in Web of Science")</f>
        <v>View Full Record in Web of Science</v>
      </c>
    </row>
    <row r="199" spans="1:72" x14ac:dyDescent="0.15">
      <c r="A199" t="s">
        <v>72</v>
      </c>
      <c r="B199" t="s">
        <v>4178</v>
      </c>
      <c r="C199" t="s">
        <v>74</v>
      </c>
      <c r="D199" t="s">
        <v>74</v>
      </c>
      <c r="E199" t="s">
        <v>74</v>
      </c>
      <c r="F199" t="s">
        <v>4179</v>
      </c>
      <c r="G199" t="s">
        <v>74</v>
      </c>
      <c r="H199" t="s">
        <v>74</v>
      </c>
      <c r="I199" t="s">
        <v>4180</v>
      </c>
      <c r="J199" t="s">
        <v>194</v>
      </c>
      <c r="K199" t="s">
        <v>74</v>
      </c>
      <c r="L199" t="s">
        <v>74</v>
      </c>
      <c r="M199" t="s">
        <v>78</v>
      </c>
      <c r="N199" t="s">
        <v>112</v>
      </c>
      <c r="O199" t="s">
        <v>74</v>
      </c>
      <c r="P199" t="s">
        <v>74</v>
      </c>
      <c r="Q199" t="s">
        <v>74</v>
      </c>
      <c r="R199" t="s">
        <v>74</v>
      </c>
      <c r="S199" t="s">
        <v>74</v>
      </c>
      <c r="T199" t="s">
        <v>74</v>
      </c>
      <c r="U199" t="s">
        <v>4181</v>
      </c>
      <c r="V199" t="s">
        <v>4182</v>
      </c>
      <c r="W199" t="s">
        <v>4183</v>
      </c>
      <c r="X199" t="s">
        <v>4184</v>
      </c>
      <c r="Y199" t="s">
        <v>4185</v>
      </c>
      <c r="Z199" t="s">
        <v>4186</v>
      </c>
      <c r="AA199" t="s">
        <v>4187</v>
      </c>
      <c r="AB199" t="s">
        <v>4188</v>
      </c>
      <c r="AC199" t="s">
        <v>4189</v>
      </c>
      <c r="AD199" t="s">
        <v>4190</v>
      </c>
      <c r="AE199" t="s">
        <v>4191</v>
      </c>
      <c r="AF199" t="s">
        <v>74</v>
      </c>
      <c r="AG199">
        <v>79</v>
      </c>
      <c r="AH199">
        <v>0</v>
      </c>
      <c r="AI199">
        <v>0</v>
      </c>
      <c r="AJ199">
        <v>2</v>
      </c>
      <c r="AK199">
        <v>6</v>
      </c>
      <c r="AL199" t="s">
        <v>203</v>
      </c>
      <c r="AM199" t="s">
        <v>204</v>
      </c>
      <c r="AN199" t="s">
        <v>205</v>
      </c>
      <c r="AO199" t="s">
        <v>206</v>
      </c>
      <c r="AP199" t="s">
        <v>74</v>
      </c>
      <c r="AQ199" t="s">
        <v>74</v>
      </c>
      <c r="AR199" t="s">
        <v>207</v>
      </c>
      <c r="AS199" t="s">
        <v>208</v>
      </c>
      <c r="AT199" t="s">
        <v>4174</v>
      </c>
      <c r="AU199">
        <v>2023</v>
      </c>
      <c r="AV199">
        <v>13</v>
      </c>
      <c r="AW199">
        <v>1</v>
      </c>
      <c r="AX199" t="s">
        <v>74</v>
      </c>
      <c r="AY199" t="s">
        <v>74</v>
      </c>
      <c r="AZ199" t="s">
        <v>74</v>
      </c>
      <c r="BA199" t="s">
        <v>74</v>
      </c>
      <c r="BB199" t="s">
        <v>74</v>
      </c>
      <c r="BC199" t="s">
        <v>74</v>
      </c>
      <c r="BD199">
        <v>5465</v>
      </c>
      <c r="BE199" t="s">
        <v>4192</v>
      </c>
      <c r="BF199" t="str">
        <f>HYPERLINK("http://dx.doi.org/10.1038/s41598-023-32613-5","http://dx.doi.org/10.1038/s41598-023-32613-5")</f>
        <v>http://dx.doi.org/10.1038/s41598-023-32613-5</v>
      </c>
      <c r="BG199" t="s">
        <v>74</v>
      </c>
      <c r="BH199" t="s">
        <v>74</v>
      </c>
      <c r="BI199">
        <v>12</v>
      </c>
      <c r="BJ199" t="s">
        <v>210</v>
      </c>
      <c r="BK199" t="s">
        <v>103</v>
      </c>
      <c r="BL199" t="s">
        <v>211</v>
      </c>
      <c r="BM199" t="s">
        <v>4193</v>
      </c>
      <c r="BN199">
        <v>37015963</v>
      </c>
      <c r="BO199" t="s">
        <v>614</v>
      </c>
      <c r="BP199" t="s">
        <v>74</v>
      </c>
      <c r="BQ199" t="s">
        <v>74</v>
      </c>
      <c r="BR199" t="s">
        <v>106</v>
      </c>
      <c r="BS199" t="s">
        <v>4194</v>
      </c>
      <c r="BT199" t="str">
        <f>HYPERLINK("https%3A%2F%2Fwww.webofscience.com%2Fwos%2Fwoscc%2Ffull-record%2FWOS:000984084100073","View Full Record in Web of Science")</f>
        <v>View Full Record in Web of Science</v>
      </c>
    </row>
    <row r="200" spans="1:72" x14ac:dyDescent="0.15">
      <c r="A200" t="s">
        <v>72</v>
      </c>
      <c r="B200" t="s">
        <v>4195</v>
      </c>
      <c r="C200" t="s">
        <v>74</v>
      </c>
      <c r="D200" t="s">
        <v>74</v>
      </c>
      <c r="E200" t="s">
        <v>74</v>
      </c>
      <c r="F200" t="s">
        <v>4196</v>
      </c>
      <c r="G200" t="s">
        <v>74</v>
      </c>
      <c r="H200" t="s">
        <v>74</v>
      </c>
      <c r="I200" t="s">
        <v>4197</v>
      </c>
      <c r="J200" t="s">
        <v>4198</v>
      </c>
      <c r="K200" t="s">
        <v>74</v>
      </c>
      <c r="L200" t="s">
        <v>74</v>
      </c>
      <c r="M200" t="s">
        <v>78</v>
      </c>
      <c r="N200" t="s">
        <v>112</v>
      </c>
      <c r="O200" t="s">
        <v>74</v>
      </c>
      <c r="P200" t="s">
        <v>74</v>
      </c>
      <c r="Q200" t="s">
        <v>74</v>
      </c>
      <c r="R200" t="s">
        <v>74</v>
      </c>
      <c r="S200" t="s">
        <v>74</v>
      </c>
      <c r="T200" t="s">
        <v>4199</v>
      </c>
      <c r="U200" t="s">
        <v>4200</v>
      </c>
      <c r="V200" t="s">
        <v>4201</v>
      </c>
      <c r="W200" t="s">
        <v>4202</v>
      </c>
      <c r="X200" t="s">
        <v>4203</v>
      </c>
      <c r="Y200" t="s">
        <v>4204</v>
      </c>
      <c r="Z200" t="s">
        <v>4205</v>
      </c>
      <c r="AA200" t="s">
        <v>4206</v>
      </c>
      <c r="AB200" t="s">
        <v>4207</v>
      </c>
      <c r="AC200" t="s">
        <v>4208</v>
      </c>
      <c r="AD200" t="s">
        <v>4209</v>
      </c>
      <c r="AE200" t="s">
        <v>4210</v>
      </c>
      <c r="AF200" t="s">
        <v>74</v>
      </c>
      <c r="AG200">
        <v>98</v>
      </c>
      <c r="AH200">
        <v>1</v>
      </c>
      <c r="AI200">
        <v>1</v>
      </c>
      <c r="AJ200">
        <v>10</v>
      </c>
      <c r="AK200">
        <v>18</v>
      </c>
      <c r="AL200" t="s">
        <v>2116</v>
      </c>
      <c r="AM200" t="s">
        <v>226</v>
      </c>
      <c r="AN200" t="s">
        <v>2117</v>
      </c>
      <c r="AO200" t="s">
        <v>4211</v>
      </c>
      <c r="AP200" t="s">
        <v>4212</v>
      </c>
      <c r="AQ200" t="s">
        <v>74</v>
      </c>
      <c r="AR200" t="s">
        <v>4213</v>
      </c>
      <c r="AS200" t="s">
        <v>4214</v>
      </c>
      <c r="AT200" t="s">
        <v>4174</v>
      </c>
      <c r="AU200">
        <v>2023</v>
      </c>
      <c r="AV200">
        <v>40</v>
      </c>
      <c r="AW200">
        <v>4</v>
      </c>
      <c r="AX200" t="s">
        <v>74</v>
      </c>
      <c r="AY200" t="s">
        <v>74</v>
      </c>
      <c r="AZ200" t="s">
        <v>74</v>
      </c>
      <c r="BA200" t="s">
        <v>74</v>
      </c>
      <c r="BB200" t="s">
        <v>74</v>
      </c>
      <c r="BC200" t="s">
        <v>74</v>
      </c>
      <c r="BD200" t="s">
        <v>4215</v>
      </c>
      <c r="BE200" t="s">
        <v>4216</v>
      </c>
      <c r="BF200" t="str">
        <f>HYPERLINK("http://dx.doi.org/10.1093/molbev/msad030","http://dx.doi.org/10.1093/molbev/msad030")</f>
        <v>http://dx.doi.org/10.1093/molbev/msad030</v>
      </c>
      <c r="BG200" t="s">
        <v>74</v>
      </c>
      <c r="BH200" t="s">
        <v>74</v>
      </c>
      <c r="BI200">
        <v>15</v>
      </c>
      <c r="BJ200" t="s">
        <v>4217</v>
      </c>
      <c r="BK200" t="s">
        <v>103</v>
      </c>
      <c r="BL200" t="s">
        <v>4217</v>
      </c>
      <c r="BM200" t="s">
        <v>4218</v>
      </c>
      <c r="BN200">
        <v>36763103</v>
      </c>
      <c r="BO200" t="s">
        <v>136</v>
      </c>
      <c r="BP200" t="s">
        <v>74</v>
      </c>
      <c r="BQ200" t="s">
        <v>74</v>
      </c>
      <c r="BR200" t="s">
        <v>106</v>
      </c>
      <c r="BS200" t="s">
        <v>4219</v>
      </c>
      <c r="BT200" t="str">
        <f>HYPERLINK("https%3A%2F%2Fwww.webofscience.com%2Fwos%2Fwoscc%2Ffull-record%2FWOS:000970948300007","View Full Record in Web of Science")</f>
        <v>View Full Record in Web of Science</v>
      </c>
    </row>
    <row r="201" spans="1:72" x14ac:dyDescent="0.15">
      <c r="A201" t="s">
        <v>72</v>
      </c>
      <c r="B201" t="s">
        <v>4220</v>
      </c>
      <c r="C201" t="s">
        <v>74</v>
      </c>
      <c r="D201" t="s">
        <v>74</v>
      </c>
      <c r="E201" t="s">
        <v>74</v>
      </c>
      <c r="F201" t="s">
        <v>4221</v>
      </c>
      <c r="G201" t="s">
        <v>74</v>
      </c>
      <c r="H201" t="s">
        <v>74</v>
      </c>
      <c r="I201" t="s">
        <v>4222</v>
      </c>
      <c r="J201" t="s">
        <v>4198</v>
      </c>
      <c r="K201" t="s">
        <v>74</v>
      </c>
      <c r="L201" t="s">
        <v>74</v>
      </c>
      <c r="M201" t="s">
        <v>78</v>
      </c>
      <c r="N201" t="s">
        <v>79</v>
      </c>
      <c r="O201" t="s">
        <v>74</v>
      </c>
      <c r="P201" t="s">
        <v>74</v>
      </c>
      <c r="Q201" t="s">
        <v>74</v>
      </c>
      <c r="R201" t="s">
        <v>74</v>
      </c>
      <c r="S201" t="s">
        <v>74</v>
      </c>
      <c r="T201" t="s">
        <v>74</v>
      </c>
      <c r="U201" t="s">
        <v>74</v>
      </c>
      <c r="V201" t="s">
        <v>74</v>
      </c>
      <c r="W201" t="s">
        <v>74</v>
      </c>
      <c r="X201" t="s">
        <v>74</v>
      </c>
      <c r="Y201" t="s">
        <v>74</v>
      </c>
      <c r="Z201" t="s">
        <v>4223</v>
      </c>
      <c r="AA201" t="s">
        <v>74</v>
      </c>
      <c r="AB201" t="s">
        <v>4224</v>
      </c>
      <c r="AC201" t="s">
        <v>74</v>
      </c>
      <c r="AD201" t="s">
        <v>74</v>
      </c>
      <c r="AE201" t="s">
        <v>74</v>
      </c>
      <c r="AF201" t="s">
        <v>74</v>
      </c>
      <c r="AG201">
        <v>1</v>
      </c>
      <c r="AH201">
        <v>0</v>
      </c>
      <c r="AI201">
        <v>0</v>
      </c>
      <c r="AJ201">
        <v>1</v>
      </c>
      <c r="AK201">
        <v>2</v>
      </c>
      <c r="AL201" t="s">
        <v>2116</v>
      </c>
      <c r="AM201" t="s">
        <v>226</v>
      </c>
      <c r="AN201" t="s">
        <v>2117</v>
      </c>
      <c r="AO201" t="s">
        <v>4211</v>
      </c>
      <c r="AP201" t="s">
        <v>4212</v>
      </c>
      <c r="AQ201" t="s">
        <v>74</v>
      </c>
      <c r="AR201" t="s">
        <v>4213</v>
      </c>
      <c r="AS201" t="s">
        <v>4214</v>
      </c>
      <c r="AT201" t="s">
        <v>4174</v>
      </c>
      <c r="AU201">
        <v>2023</v>
      </c>
      <c r="AV201">
        <v>40</v>
      </c>
      <c r="AW201">
        <v>4</v>
      </c>
      <c r="AX201" t="s">
        <v>74</v>
      </c>
      <c r="AY201" t="s">
        <v>74</v>
      </c>
      <c r="AZ201" t="s">
        <v>74</v>
      </c>
      <c r="BA201" t="s">
        <v>74</v>
      </c>
      <c r="BB201" t="s">
        <v>74</v>
      </c>
      <c r="BC201" t="s">
        <v>74</v>
      </c>
      <c r="BD201" t="s">
        <v>4225</v>
      </c>
      <c r="BE201" t="s">
        <v>4226</v>
      </c>
      <c r="BF201" t="str">
        <f>HYPERLINK("http://dx.doi.org/10.1093/molbev/msad058","http://dx.doi.org/10.1093/molbev/msad058")</f>
        <v>http://dx.doi.org/10.1093/molbev/msad058</v>
      </c>
      <c r="BG201" t="s">
        <v>74</v>
      </c>
      <c r="BH201" t="s">
        <v>74</v>
      </c>
      <c r="BI201">
        <v>1</v>
      </c>
      <c r="BJ201" t="s">
        <v>4217</v>
      </c>
      <c r="BK201" t="s">
        <v>103</v>
      </c>
      <c r="BL201" t="s">
        <v>4217</v>
      </c>
      <c r="BM201" t="s">
        <v>4218</v>
      </c>
      <c r="BN201" t="s">
        <v>74</v>
      </c>
      <c r="BO201" t="s">
        <v>136</v>
      </c>
      <c r="BP201" t="s">
        <v>74</v>
      </c>
      <c r="BQ201" t="s">
        <v>74</v>
      </c>
      <c r="BR201" t="s">
        <v>106</v>
      </c>
      <c r="BS201" t="s">
        <v>4227</v>
      </c>
      <c r="BT201" t="str">
        <f>HYPERLINK("https%3A%2F%2Fwww.webofscience.com%2Fwos%2Fwoscc%2Ffull-record%2FWOS:000970948300003","View Full Record in Web of Science")</f>
        <v>View Full Record in Web of Science</v>
      </c>
    </row>
    <row r="202" spans="1:72" x14ac:dyDescent="0.15">
      <c r="A202" t="s">
        <v>72</v>
      </c>
      <c r="B202" t="s">
        <v>4228</v>
      </c>
      <c r="C202" t="s">
        <v>74</v>
      </c>
      <c r="D202" t="s">
        <v>74</v>
      </c>
      <c r="E202" t="s">
        <v>74</v>
      </c>
      <c r="F202" t="s">
        <v>4229</v>
      </c>
      <c r="G202" t="s">
        <v>74</v>
      </c>
      <c r="H202" t="s">
        <v>74</v>
      </c>
      <c r="I202" t="s">
        <v>4230</v>
      </c>
      <c r="J202" t="s">
        <v>1215</v>
      </c>
      <c r="K202" t="s">
        <v>74</v>
      </c>
      <c r="L202" t="s">
        <v>74</v>
      </c>
      <c r="M202" t="s">
        <v>78</v>
      </c>
      <c r="N202" t="s">
        <v>112</v>
      </c>
      <c r="O202" t="s">
        <v>74</v>
      </c>
      <c r="P202" t="s">
        <v>74</v>
      </c>
      <c r="Q202" t="s">
        <v>74</v>
      </c>
      <c r="R202" t="s">
        <v>74</v>
      </c>
      <c r="S202" t="s">
        <v>74</v>
      </c>
      <c r="T202" t="s">
        <v>4231</v>
      </c>
      <c r="U202" t="s">
        <v>4232</v>
      </c>
      <c r="V202" t="s">
        <v>4233</v>
      </c>
      <c r="W202" t="s">
        <v>4234</v>
      </c>
      <c r="X202" t="s">
        <v>4235</v>
      </c>
      <c r="Y202" t="s">
        <v>4236</v>
      </c>
      <c r="Z202" t="s">
        <v>4237</v>
      </c>
      <c r="AA202" t="s">
        <v>74</v>
      </c>
      <c r="AB202" t="s">
        <v>4238</v>
      </c>
      <c r="AC202" t="s">
        <v>4239</v>
      </c>
      <c r="AD202" t="s">
        <v>4240</v>
      </c>
      <c r="AE202" t="s">
        <v>4241</v>
      </c>
      <c r="AF202" t="s">
        <v>74</v>
      </c>
      <c r="AG202">
        <v>61</v>
      </c>
      <c r="AH202">
        <v>0</v>
      </c>
      <c r="AI202">
        <v>0</v>
      </c>
      <c r="AJ202">
        <v>1</v>
      </c>
      <c r="AK202">
        <v>7</v>
      </c>
      <c r="AL202" t="s">
        <v>700</v>
      </c>
      <c r="AM202" t="s">
        <v>701</v>
      </c>
      <c r="AN202" t="s">
        <v>702</v>
      </c>
      <c r="AO202" t="s">
        <v>74</v>
      </c>
      <c r="AP202" t="s">
        <v>1228</v>
      </c>
      <c r="AQ202" t="s">
        <v>74</v>
      </c>
      <c r="AR202" t="s">
        <v>1229</v>
      </c>
      <c r="AS202" t="s">
        <v>1230</v>
      </c>
      <c r="AT202" t="s">
        <v>4174</v>
      </c>
      <c r="AU202">
        <v>2023</v>
      </c>
      <c r="AV202">
        <v>10</v>
      </c>
      <c r="AW202" t="s">
        <v>74</v>
      </c>
      <c r="AX202" t="s">
        <v>74</v>
      </c>
      <c r="AY202" t="s">
        <v>74</v>
      </c>
      <c r="AZ202" t="s">
        <v>74</v>
      </c>
      <c r="BA202" t="s">
        <v>74</v>
      </c>
      <c r="BB202" t="s">
        <v>74</v>
      </c>
      <c r="BC202" t="s">
        <v>74</v>
      </c>
      <c r="BD202">
        <v>1151332</v>
      </c>
      <c r="BE202" t="s">
        <v>4242</v>
      </c>
      <c r="BF202" t="str">
        <f>HYPERLINK("http://dx.doi.org/10.3389/fmars.2023.1151332","http://dx.doi.org/10.3389/fmars.2023.1151332")</f>
        <v>http://dx.doi.org/10.3389/fmars.2023.1151332</v>
      </c>
      <c r="BG202" t="s">
        <v>74</v>
      </c>
      <c r="BH202" t="s">
        <v>74</v>
      </c>
      <c r="BI202">
        <v>12</v>
      </c>
      <c r="BJ202" t="s">
        <v>636</v>
      </c>
      <c r="BK202" t="s">
        <v>103</v>
      </c>
      <c r="BL202" t="s">
        <v>637</v>
      </c>
      <c r="BM202" t="s">
        <v>4243</v>
      </c>
      <c r="BN202" t="s">
        <v>74</v>
      </c>
      <c r="BO202" t="s">
        <v>359</v>
      </c>
      <c r="BP202" t="s">
        <v>74</v>
      </c>
      <c r="BQ202" t="s">
        <v>74</v>
      </c>
      <c r="BR202" t="s">
        <v>106</v>
      </c>
      <c r="BS202" t="s">
        <v>4244</v>
      </c>
      <c r="BT202" t="str">
        <f>HYPERLINK("https%3A%2F%2Fwww.webofscience.com%2Fwos%2Fwoscc%2Ffull-record%2FWOS:000970776800001","View Full Record in Web of Science")</f>
        <v>View Full Record in Web of Science</v>
      </c>
    </row>
    <row r="203" spans="1:72" x14ac:dyDescent="0.15">
      <c r="A203" t="s">
        <v>72</v>
      </c>
      <c r="B203" t="s">
        <v>4245</v>
      </c>
      <c r="C203" t="s">
        <v>74</v>
      </c>
      <c r="D203" t="s">
        <v>74</v>
      </c>
      <c r="E203" t="s">
        <v>74</v>
      </c>
      <c r="F203" t="s">
        <v>4246</v>
      </c>
      <c r="G203" t="s">
        <v>74</v>
      </c>
      <c r="H203" t="s">
        <v>74</v>
      </c>
      <c r="I203" t="s">
        <v>4247</v>
      </c>
      <c r="J203" t="s">
        <v>1215</v>
      </c>
      <c r="K203" t="s">
        <v>74</v>
      </c>
      <c r="L203" t="s">
        <v>74</v>
      </c>
      <c r="M203" t="s">
        <v>78</v>
      </c>
      <c r="N203" t="s">
        <v>112</v>
      </c>
      <c r="O203" t="s">
        <v>74</v>
      </c>
      <c r="P203" t="s">
        <v>74</v>
      </c>
      <c r="Q203" t="s">
        <v>74</v>
      </c>
      <c r="R203" t="s">
        <v>74</v>
      </c>
      <c r="S203" t="s">
        <v>74</v>
      </c>
      <c r="T203" t="s">
        <v>4248</v>
      </c>
      <c r="U203" t="s">
        <v>4249</v>
      </c>
      <c r="V203" t="s">
        <v>4250</v>
      </c>
      <c r="W203" t="s">
        <v>4251</v>
      </c>
      <c r="X203" t="s">
        <v>4252</v>
      </c>
      <c r="Y203" t="s">
        <v>4253</v>
      </c>
      <c r="Z203" t="s">
        <v>346</v>
      </c>
      <c r="AA203" t="s">
        <v>74</v>
      </c>
      <c r="AB203" t="s">
        <v>74</v>
      </c>
      <c r="AC203" t="s">
        <v>4254</v>
      </c>
      <c r="AD203" t="s">
        <v>4255</v>
      </c>
      <c r="AE203" t="s">
        <v>4256</v>
      </c>
      <c r="AF203" t="s">
        <v>74</v>
      </c>
      <c r="AG203">
        <v>47</v>
      </c>
      <c r="AH203">
        <v>1</v>
      </c>
      <c r="AI203">
        <v>1</v>
      </c>
      <c r="AJ203">
        <v>13</v>
      </c>
      <c r="AK203">
        <v>22</v>
      </c>
      <c r="AL203" t="s">
        <v>700</v>
      </c>
      <c r="AM203" t="s">
        <v>701</v>
      </c>
      <c r="AN203" t="s">
        <v>702</v>
      </c>
      <c r="AO203" t="s">
        <v>74</v>
      </c>
      <c r="AP203" t="s">
        <v>1228</v>
      </c>
      <c r="AQ203" t="s">
        <v>74</v>
      </c>
      <c r="AR203" t="s">
        <v>1229</v>
      </c>
      <c r="AS203" t="s">
        <v>1230</v>
      </c>
      <c r="AT203" t="s">
        <v>4174</v>
      </c>
      <c r="AU203">
        <v>2023</v>
      </c>
      <c r="AV203">
        <v>10</v>
      </c>
      <c r="AW203" t="s">
        <v>74</v>
      </c>
      <c r="AX203" t="s">
        <v>74</v>
      </c>
      <c r="AY203" t="s">
        <v>74</v>
      </c>
      <c r="AZ203" t="s">
        <v>74</v>
      </c>
      <c r="BA203" t="s">
        <v>74</v>
      </c>
      <c r="BB203" t="s">
        <v>74</v>
      </c>
      <c r="BC203" t="s">
        <v>74</v>
      </c>
      <c r="BD203">
        <v>1124752</v>
      </c>
      <c r="BE203" t="s">
        <v>4257</v>
      </c>
      <c r="BF203" t="str">
        <f>HYPERLINK("http://dx.doi.org/10.3389/fmars.2023.1124752","http://dx.doi.org/10.3389/fmars.2023.1124752")</f>
        <v>http://dx.doi.org/10.3389/fmars.2023.1124752</v>
      </c>
      <c r="BG203" t="s">
        <v>74</v>
      </c>
      <c r="BH203" t="s">
        <v>74</v>
      </c>
      <c r="BI203">
        <v>19</v>
      </c>
      <c r="BJ203" t="s">
        <v>636</v>
      </c>
      <c r="BK203" t="s">
        <v>103</v>
      </c>
      <c r="BL203" t="s">
        <v>637</v>
      </c>
      <c r="BM203" t="s">
        <v>4258</v>
      </c>
      <c r="BN203" t="s">
        <v>74</v>
      </c>
      <c r="BO203" t="s">
        <v>359</v>
      </c>
      <c r="BP203" t="s">
        <v>74</v>
      </c>
      <c r="BQ203" t="s">
        <v>74</v>
      </c>
      <c r="BR203" t="s">
        <v>106</v>
      </c>
      <c r="BS203" t="s">
        <v>4259</v>
      </c>
      <c r="BT203" t="str">
        <f>HYPERLINK("https%3A%2F%2Fwww.webofscience.com%2Fwos%2Fwoscc%2Ffull-record%2FWOS:000970942500001","View Full Record in Web of Science")</f>
        <v>View Full Record in Web of Science</v>
      </c>
    </row>
    <row r="204" spans="1:72" x14ac:dyDescent="0.15">
      <c r="A204" t="s">
        <v>72</v>
      </c>
      <c r="B204" t="s">
        <v>4260</v>
      </c>
      <c r="C204" t="s">
        <v>74</v>
      </c>
      <c r="D204" t="s">
        <v>74</v>
      </c>
      <c r="E204" t="s">
        <v>74</v>
      </c>
      <c r="F204" t="s">
        <v>4261</v>
      </c>
      <c r="G204" t="s">
        <v>74</v>
      </c>
      <c r="H204" t="s">
        <v>74</v>
      </c>
      <c r="I204" t="s">
        <v>4262</v>
      </c>
      <c r="J204" t="s">
        <v>1215</v>
      </c>
      <c r="K204" t="s">
        <v>74</v>
      </c>
      <c r="L204" t="s">
        <v>74</v>
      </c>
      <c r="M204" t="s">
        <v>78</v>
      </c>
      <c r="N204" t="s">
        <v>112</v>
      </c>
      <c r="O204" t="s">
        <v>74</v>
      </c>
      <c r="P204" t="s">
        <v>74</v>
      </c>
      <c r="Q204" t="s">
        <v>74</v>
      </c>
      <c r="R204" t="s">
        <v>74</v>
      </c>
      <c r="S204" t="s">
        <v>74</v>
      </c>
      <c r="T204" t="s">
        <v>4263</v>
      </c>
      <c r="U204" t="s">
        <v>4264</v>
      </c>
      <c r="V204" t="s">
        <v>4265</v>
      </c>
      <c r="W204" t="s">
        <v>4266</v>
      </c>
      <c r="X204" t="s">
        <v>4267</v>
      </c>
      <c r="Y204" t="s">
        <v>4268</v>
      </c>
      <c r="Z204" t="s">
        <v>4269</v>
      </c>
      <c r="AA204" t="s">
        <v>4270</v>
      </c>
      <c r="AB204" t="s">
        <v>4271</v>
      </c>
      <c r="AC204" t="s">
        <v>74</v>
      </c>
      <c r="AD204" t="s">
        <v>74</v>
      </c>
      <c r="AE204" t="s">
        <v>74</v>
      </c>
      <c r="AF204" t="s">
        <v>74</v>
      </c>
      <c r="AG204">
        <v>78</v>
      </c>
      <c r="AH204">
        <v>0</v>
      </c>
      <c r="AI204">
        <v>0</v>
      </c>
      <c r="AJ204">
        <v>8</v>
      </c>
      <c r="AK204">
        <v>22</v>
      </c>
      <c r="AL204" t="s">
        <v>700</v>
      </c>
      <c r="AM204" t="s">
        <v>701</v>
      </c>
      <c r="AN204" t="s">
        <v>702</v>
      </c>
      <c r="AO204" t="s">
        <v>74</v>
      </c>
      <c r="AP204" t="s">
        <v>1228</v>
      </c>
      <c r="AQ204" t="s">
        <v>74</v>
      </c>
      <c r="AR204" t="s">
        <v>1229</v>
      </c>
      <c r="AS204" t="s">
        <v>1230</v>
      </c>
      <c r="AT204" t="s">
        <v>4174</v>
      </c>
      <c r="AU204">
        <v>2023</v>
      </c>
      <c r="AV204">
        <v>10</v>
      </c>
      <c r="AW204" t="s">
        <v>74</v>
      </c>
      <c r="AX204" t="s">
        <v>74</v>
      </c>
      <c r="AY204" t="s">
        <v>74</v>
      </c>
      <c r="AZ204" t="s">
        <v>74</v>
      </c>
      <c r="BA204" t="s">
        <v>74</v>
      </c>
      <c r="BB204" t="s">
        <v>74</v>
      </c>
      <c r="BC204" t="s">
        <v>74</v>
      </c>
      <c r="BD204">
        <v>1117826</v>
      </c>
      <c r="BE204" t="s">
        <v>4272</v>
      </c>
      <c r="BF204" t="str">
        <f>HYPERLINK("http://dx.doi.org/10.3389/fmars.2023.1117826","http://dx.doi.org/10.3389/fmars.2023.1117826")</f>
        <v>http://dx.doi.org/10.3389/fmars.2023.1117826</v>
      </c>
      <c r="BG204" t="s">
        <v>74</v>
      </c>
      <c r="BH204" t="s">
        <v>74</v>
      </c>
      <c r="BI204">
        <v>17</v>
      </c>
      <c r="BJ204" t="s">
        <v>636</v>
      </c>
      <c r="BK204" t="s">
        <v>103</v>
      </c>
      <c r="BL204" t="s">
        <v>637</v>
      </c>
      <c r="BM204" t="s">
        <v>4273</v>
      </c>
      <c r="BN204" t="s">
        <v>74</v>
      </c>
      <c r="BO204" t="s">
        <v>359</v>
      </c>
      <c r="BP204" t="s">
        <v>74</v>
      </c>
      <c r="BQ204" t="s">
        <v>74</v>
      </c>
      <c r="BR204" t="s">
        <v>106</v>
      </c>
      <c r="BS204" t="s">
        <v>4274</v>
      </c>
      <c r="BT204" t="str">
        <f>HYPERLINK("https%3A%2F%2Fwww.webofscience.com%2Fwos%2Fwoscc%2Ffull-record%2FWOS:000969379100001","View Full Record in Web of Science")</f>
        <v>View Full Record in Web of Science</v>
      </c>
    </row>
    <row r="205" spans="1:72" x14ac:dyDescent="0.15">
      <c r="A205" t="s">
        <v>72</v>
      </c>
      <c r="B205" t="s">
        <v>4275</v>
      </c>
      <c r="C205" t="s">
        <v>74</v>
      </c>
      <c r="D205" t="s">
        <v>74</v>
      </c>
      <c r="E205" t="s">
        <v>74</v>
      </c>
      <c r="F205" t="s">
        <v>4276</v>
      </c>
      <c r="G205" t="s">
        <v>74</v>
      </c>
      <c r="H205" t="s">
        <v>74</v>
      </c>
      <c r="I205" t="s">
        <v>4277</v>
      </c>
      <c r="J205" t="s">
        <v>1534</v>
      </c>
      <c r="K205" t="s">
        <v>74</v>
      </c>
      <c r="L205" t="s">
        <v>74</v>
      </c>
      <c r="M205" t="s">
        <v>78</v>
      </c>
      <c r="N205" t="s">
        <v>112</v>
      </c>
      <c r="O205" t="s">
        <v>74</v>
      </c>
      <c r="P205" t="s">
        <v>74</v>
      </c>
      <c r="Q205" t="s">
        <v>74</v>
      </c>
      <c r="R205" t="s">
        <v>74</v>
      </c>
      <c r="S205" t="s">
        <v>74</v>
      </c>
      <c r="T205" t="s">
        <v>4278</v>
      </c>
      <c r="U205" t="s">
        <v>4279</v>
      </c>
      <c r="V205" t="s">
        <v>4280</v>
      </c>
      <c r="W205" t="s">
        <v>4281</v>
      </c>
      <c r="X205" t="s">
        <v>4282</v>
      </c>
      <c r="Y205" t="s">
        <v>4283</v>
      </c>
      <c r="Z205" t="s">
        <v>2087</v>
      </c>
      <c r="AA205" t="s">
        <v>4284</v>
      </c>
      <c r="AB205" t="s">
        <v>4285</v>
      </c>
      <c r="AC205" t="s">
        <v>4286</v>
      </c>
      <c r="AD205" t="s">
        <v>4287</v>
      </c>
      <c r="AE205" t="s">
        <v>4288</v>
      </c>
      <c r="AF205" t="s">
        <v>74</v>
      </c>
      <c r="AG205">
        <v>57</v>
      </c>
      <c r="AH205">
        <v>0</v>
      </c>
      <c r="AI205">
        <v>1</v>
      </c>
      <c r="AJ205">
        <v>0</v>
      </c>
      <c r="AK205">
        <v>1</v>
      </c>
      <c r="AL205" t="s">
        <v>1101</v>
      </c>
      <c r="AM205" t="s">
        <v>179</v>
      </c>
      <c r="AN205" t="s">
        <v>1543</v>
      </c>
      <c r="AO205" t="s">
        <v>1544</v>
      </c>
      <c r="AP205" t="s">
        <v>1545</v>
      </c>
      <c r="AQ205" t="s">
        <v>74</v>
      </c>
      <c r="AR205" t="s">
        <v>1546</v>
      </c>
      <c r="AS205" t="s">
        <v>1547</v>
      </c>
      <c r="AT205" t="s">
        <v>232</v>
      </c>
      <c r="AU205">
        <v>2023</v>
      </c>
      <c r="AV205">
        <v>35</v>
      </c>
      <c r="AW205">
        <v>3</v>
      </c>
      <c r="AX205" t="s">
        <v>74</v>
      </c>
      <c r="AY205" t="s">
        <v>74</v>
      </c>
      <c r="AZ205" t="s">
        <v>74</v>
      </c>
      <c r="BA205" t="s">
        <v>74</v>
      </c>
      <c r="BB205">
        <v>165</v>
      </c>
      <c r="BC205">
        <v>175</v>
      </c>
      <c r="BD205" t="s">
        <v>4289</v>
      </c>
      <c r="BE205" t="s">
        <v>4290</v>
      </c>
      <c r="BF205" t="str">
        <f>HYPERLINK("http://dx.doi.org/10.1017/S0954102023000044","http://dx.doi.org/10.1017/S0954102023000044")</f>
        <v>http://dx.doi.org/10.1017/S0954102023000044</v>
      </c>
      <c r="BG205" t="s">
        <v>74</v>
      </c>
      <c r="BH205" t="s">
        <v>427</v>
      </c>
      <c r="BI205">
        <v>11</v>
      </c>
      <c r="BJ205" t="s">
        <v>1550</v>
      </c>
      <c r="BK205" t="s">
        <v>103</v>
      </c>
      <c r="BL205" t="s">
        <v>1551</v>
      </c>
      <c r="BM205" t="s">
        <v>1552</v>
      </c>
      <c r="BN205" t="s">
        <v>74</v>
      </c>
      <c r="BO205" t="s">
        <v>928</v>
      </c>
      <c r="BP205" t="s">
        <v>74</v>
      </c>
      <c r="BQ205" t="s">
        <v>74</v>
      </c>
      <c r="BR205" t="s">
        <v>106</v>
      </c>
      <c r="BS205" t="s">
        <v>4291</v>
      </c>
      <c r="BT205" t="str">
        <f>HYPERLINK("https%3A%2F%2Fwww.webofscience.com%2Fwos%2Fwoscc%2Ffull-record%2FWOS:000962974400001","View Full Record in Web of Science")</f>
        <v>View Full Record in Web of Science</v>
      </c>
    </row>
    <row r="206" spans="1:72" x14ac:dyDescent="0.15">
      <c r="A206" t="s">
        <v>72</v>
      </c>
      <c r="B206" t="s">
        <v>4292</v>
      </c>
      <c r="C206" t="s">
        <v>74</v>
      </c>
      <c r="D206" t="s">
        <v>74</v>
      </c>
      <c r="E206" t="s">
        <v>74</v>
      </c>
      <c r="F206" t="s">
        <v>4293</v>
      </c>
      <c r="G206" t="s">
        <v>74</v>
      </c>
      <c r="H206" t="s">
        <v>74</v>
      </c>
      <c r="I206" t="s">
        <v>4294</v>
      </c>
      <c r="J206" t="s">
        <v>1025</v>
      </c>
      <c r="K206" t="s">
        <v>74</v>
      </c>
      <c r="L206" t="s">
        <v>74</v>
      </c>
      <c r="M206" t="s">
        <v>78</v>
      </c>
      <c r="N206" t="s">
        <v>112</v>
      </c>
      <c r="O206" t="s">
        <v>74</v>
      </c>
      <c r="P206" t="s">
        <v>74</v>
      </c>
      <c r="Q206" t="s">
        <v>74</v>
      </c>
      <c r="R206" t="s">
        <v>74</v>
      </c>
      <c r="S206" t="s">
        <v>74</v>
      </c>
      <c r="T206" t="s">
        <v>74</v>
      </c>
      <c r="U206" t="s">
        <v>4295</v>
      </c>
      <c r="V206" t="s">
        <v>4296</v>
      </c>
      <c r="W206" t="s">
        <v>4297</v>
      </c>
      <c r="X206" t="s">
        <v>2745</v>
      </c>
      <c r="Y206" t="s">
        <v>4298</v>
      </c>
      <c r="Z206" t="s">
        <v>4299</v>
      </c>
      <c r="AA206" t="s">
        <v>4300</v>
      </c>
      <c r="AB206" t="s">
        <v>4301</v>
      </c>
      <c r="AC206" t="s">
        <v>4302</v>
      </c>
      <c r="AD206" t="s">
        <v>4303</v>
      </c>
      <c r="AE206" t="s">
        <v>4304</v>
      </c>
      <c r="AF206" t="s">
        <v>74</v>
      </c>
      <c r="AG206">
        <v>102</v>
      </c>
      <c r="AH206">
        <v>3</v>
      </c>
      <c r="AI206">
        <v>3</v>
      </c>
      <c r="AJ206">
        <v>4</v>
      </c>
      <c r="AK206">
        <v>11</v>
      </c>
      <c r="AL206" t="s">
        <v>794</v>
      </c>
      <c r="AM206" t="s">
        <v>795</v>
      </c>
      <c r="AN206" t="s">
        <v>796</v>
      </c>
      <c r="AO206" t="s">
        <v>1036</v>
      </c>
      <c r="AP206" t="s">
        <v>1037</v>
      </c>
      <c r="AQ206" t="s">
        <v>74</v>
      </c>
      <c r="AR206" t="s">
        <v>1038</v>
      </c>
      <c r="AS206" t="s">
        <v>1039</v>
      </c>
      <c r="AT206" t="s">
        <v>4174</v>
      </c>
      <c r="AU206">
        <v>2023</v>
      </c>
      <c r="AV206">
        <v>19</v>
      </c>
      <c r="AW206">
        <v>4</v>
      </c>
      <c r="AX206" t="s">
        <v>74</v>
      </c>
      <c r="AY206" t="s">
        <v>74</v>
      </c>
      <c r="AZ206" t="s">
        <v>74</v>
      </c>
      <c r="BA206" t="s">
        <v>74</v>
      </c>
      <c r="BB206">
        <v>787</v>
      </c>
      <c r="BC206">
        <v>802</v>
      </c>
      <c r="BD206" t="s">
        <v>74</v>
      </c>
      <c r="BE206" t="s">
        <v>4305</v>
      </c>
      <c r="BF206" t="str">
        <f>HYPERLINK("http://dx.doi.org/10.5194/cp-19-787-2023","http://dx.doi.org/10.5194/cp-19-787-2023")</f>
        <v>http://dx.doi.org/10.5194/cp-19-787-2023</v>
      </c>
      <c r="BG206" t="s">
        <v>74</v>
      </c>
      <c r="BH206" t="s">
        <v>74</v>
      </c>
      <c r="BI206">
        <v>16</v>
      </c>
      <c r="BJ206" t="s">
        <v>1041</v>
      </c>
      <c r="BK206" t="s">
        <v>103</v>
      </c>
      <c r="BL206" t="s">
        <v>1042</v>
      </c>
      <c r="BM206" t="s">
        <v>4306</v>
      </c>
      <c r="BN206" t="s">
        <v>74</v>
      </c>
      <c r="BO206" t="s">
        <v>3241</v>
      </c>
      <c r="BP206" t="s">
        <v>74</v>
      </c>
      <c r="BQ206" t="s">
        <v>74</v>
      </c>
      <c r="BR206" t="s">
        <v>106</v>
      </c>
      <c r="BS206" t="s">
        <v>4307</v>
      </c>
      <c r="BT206" t="str">
        <f>HYPERLINK("https%3A%2F%2Fwww.webofscience.com%2Fwos%2Fwoscc%2Ffull-record%2FWOS:000963766200001","View Full Record in Web of Science")</f>
        <v>View Full Record in Web of Science</v>
      </c>
    </row>
    <row r="207" spans="1:72" x14ac:dyDescent="0.15">
      <c r="A207" t="s">
        <v>72</v>
      </c>
      <c r="B207" t="s">
        <v>4308</v>
      </c>
      <c r="C207" t="s">
        <v>74</v>
      </c>
      <c r="D207" t="s">
        <v>74</v>
      </c>
      <c r="E207" t="s">
        <v>74</v>
      </c>
      <c r="F207" t="s">
        <v>4309</v>
      </c>
      <c r="G207" t="s">
        <v>74</v>
      </c>
      <c r="H207" t="s">
        <v>74</v>
      </c>
      <c r="I207" t="s">
        <v>4310</v>
      </c>
      <c r="J207" t="s">
        <v>4311</v>
      </c>
      <c r="K207" t="s">
        <v>74</v>
      </c>
      <c r="L207" t="s">
        <v>74</v>
      </c>
      <c r="M207" t="s">
        <v>78</v>
      </c>
      <c r="N207" t="s">
        <v>112</v>
      </c>
      <c r="O207" t="s">
        <v>74</v>
      </c>
      <c r="P207" t="s">
        <v>74</v>
      </c>
      <c r="Q207" t="s">
        <v>74</v>
      </c>
      <c r="R207" t="s">
        <v>74</v>
      </c>
      <c r="S207" t="s">
        <v>74</v>
      </c>
      <c r="T207" t="s">
        <v>4312</v>
      </c>
      <c r="U207" t="s">
        <v>4313</v>
      </c>
      <c r="V207" t="s">
        <v>4314</v>
      </c>
      <c r="W207" t="s">
        <v>4315</v>
      </c>
      <c r="X207" t="s">
        <v>4316</v>
      </c>
      <c r="Y207" t="s">
        <v>4317</v>
      </c>
      <c r="Z207" t="s">
        <v>4318</v>
      </c>
      <c r="AA207" t="s">
        <v>4319</v>
      </c>
      <c r="AB207" t="s">
        <v>4320</v>
      </c>
      <c r="AC207" t="s">
        <v>4321</v>
      </c>
      <c r="AD207" t="s">
        <v>4113</v>
      </c>
      <c r="AE207" t="s">
        <v>4322</v>
      </c>
      <c r="AF207" t="s">
        <v>74</v>
      </c>
      <c r="AG207">
        <v>58</v>
      </c>
      <c r="AH207">
        <v>4</v>
      </c>
      <c r="AI207">
        <v>4</v>
      </c>
      <c r="AJ207">
        <v>28</v>
      </c>
      <c r="AK207">
        <v>70</v>
      </c>
      <c r="AL207" t="s">
        <v>3119</v>
      </c>
      <c r="AM207" t="s">
        <v>306</v>
      </c>
      <c r="AN207" t="s">
        <v>3120</v>
      </c>
      <c r="AO207" t="s">
        <v>4323</v>
      </c>
      <c r="AP207" t="s">
        <v>4324</v>
      </c>
      <c r="AQ207" t="s">
        <v>74</v>
      </c>
      <c r="AR207" t="s">
        <v>4325</v>
      </c>
      <c r="AS207" t="s">
        <v>4326</v>
      </c>
      <c r="AT207" t="s">
        <v>4174</v>
      </c>
      <c r="AU207">
        <v>2023</v>
      </c>
      <c r="AV207">
        <v>57</v>
      </c>
      <c r="AW207">
        <v>13</v>
      </c>
      <c r="AX207" t="s">
        <v>74</v>
      </c>
      <c r="AY207" t="s">
        <v>74</v>
      </c>
      <c r="AZ207" t="s">
        <v>74</v>
      </c>
      <c r="BA207" t="s">
        <v>74</v>
      </c>
      <c r="BB207">
        <v>5464</v>
      </c>
      <c r="BC207">
        <v>5473</v>
      </c>
      <c r="BD207" t="s">
        <v>74</v>
      </c>
      <c r="BE207" t="s">
        <v>4327</v>
      </c>
      <c r="BF207" t="str">
        <f>HYPERLINK("http://dx.doi.org/10.1021/acs.est.3c00249","http://dx.doi.org/10.1021/acs.est.3c00249")</f>
        <v>http://dx.doi.org/10.1021/acs.est.3c00249</v>
      </c>
      <c r="BG207" t="s">
        <v>74</v>
      </c>
      <c r="BH207" t="s">
        <v>74</v>
      </c>
      <c r="BI207">
        <v>10</v>
      </c>
      <c r="BJ207" t="s">
        <v>1985</v>
      </c>
      <c r="BK207" t="s">
        <v>103</v>
      </c>
      <c r="BL207" t="s">
        <v>1986</v>
      </c>
      <c r="BM207" t="s">
        <v>4328</v>
      </c>
      <c r="BN207">
        <v>36947486</v>
      </c>
      <c r="BO207" t="s">
        <v>430</v>
      </c>
      <c r="BP207" t="s">
        <v>74</v>
      </c>
      <c r="BQ207" t="s">
        <v>74</v>
      </c>
      <c r="BR207" t="s">
        <v>106</v>
      </c>
      <c r="BS207" t="s">
        <v>4329</v>
      </c>
      <c r="BT207" t="str">
        <f>HYPERLINK("https%3A%2F%2Fwww.webofscience.com%2Fwos%2Fwoscc%2Ffull-record%2FWOS:000966671700001","View Full Record in Web of Science")</f>
        <v>View Full Record in Web of Science</v>
      </c>
    </row>
    <row r="208" spans="1:72" x14ac:dyDescent="0.15">
      <c r="A208" t="s">
        <v>72</v>
      </c>
      <c r="B208" t="s">
        <v>4330</v>
      </c>
      <c r="C208" t="s">
        <v>74</v>
      </c>
      <c r="D208" t="s">
        <v>74</v>
      </c>
      <c r="E208" t="s">
        <v>74</v>
      </c>
      <c r="F208" t="s">
        <v>4331</v>
      </c>
      <c r="G208" t="s">
        <v>74</v>
      </c>
      <c r="H208" t="s">
        <v>74</v>
      </c>
      <c r="I208" t="s">
        <v>4332</v>
      </c>
      <c r="J208" t="s">
        <v>4333</v>
      </c>
      <c r="K208" t="s">
        <v>74</v>
      </c>
      <c r="L208" t="s">
        <v>74</v>
      </c>
      <c r="M208" t="s">
        <v>78</v>
      </c>
      <c r="N208" t="s">
        <v>112</v>
      </c>
      <c r="O208" t="s">
        <v>74</v>
      </c>
      <c r="P208" t="s">
        <v>74</v>
      </c>
      <c r="Q208" t="s">
        <v>74</v>
      </c>
      <c r="R208" t="s">
        <v>74</v>
      </c>
      <c r="S208" t="s">
        <v>74</v>
      </c>
      <c r="T208" t="s">
        <v>4334</v>
      </c>
      <c r="U208" t="s">
        <v>4335</v>
      </c>
      <c r="V208" t="s">
        <v>4336</v>
      </c>
      <c r="W208" t="s">
        <v>4337</v>
      </c>
      <c r="X208" t="s">
        <v>4338</v>
      </c>
      <c r="Y208" t="s">
        <v>4339</v>
      </c>
      <c r="Z208" t="s">
        <v>4340</v>
      </c>
      <c r="AA208" t="s">
        <v>4341</v>
      </c>
      <c r="AB208" t="s">
        <v>4342</v>
      </c>
      <c r="AC208" t="s">
        <v>4343</v>
      </c>
      <c r="AD208" t="s">
        <v>4344</v>
      </c>
      <c r="AE208" t="s">
        <v>4345</v>
      </c>
      <c r="AF208" t="s">
        <v>74</v>
      </c>
      <c r="AG208">
        <v>105</v>
      </c>
      <c r="AH208">
        <v>0</v>
      </c>
      <c r="AI208">
        <v>0</v>
      </c>
      <c r="AJ208">
        <v>1</v>
      </c>
      <c r="AK208">
        <v>1</v>
      </c>
      <c r="AL208" t="s">
        <v>2116</v>
      </c>
      <c r="AM208" t="s">
        <v>226</v>
      </c>
      <c r="AN208" t="s">
        <v>2117</v>
      </c>
      <c r="AO208" t="s">
        <v>4346</v>
      </c>
      <c r="AP208" t="s">
        <v>4347</v>
      </c>
      <c r="AQ208" t="s">
        <v>74</v>
      </c>
      <c r="AR208" t="s">
        <v>4348</v>
      </c>
      <c r="AS208" t="s">
        <v>4349</v>
      </c>
      <c r="AT208" t="s">
        <v>4350</v>
      </c>
      <c r="AU208">
        <v>2023</v>
      </c>
      <c r="AV208">
        <v>45</v>
      </c>
      <c r="AW208">
        <v>3</v>
      </c>
      <c r="AX208" t="s">
        <v>74</v>
      </c>
      <c r="AY208" t="s">
        <v>74</v>
      </c>
      <c r="AZ208" t="s">
        <v>74</v>
      </c>
      <c r="BA208" t="s">
        <v>74</v>
      </c>
      <c r="BB208">
        <v>421</v>
      </c>
      <c r="BC208">
        <v>439</v>
      </c>
      <c r="BD208" t="s">
        <v>74</v>
      </c>
      <c r="BE208" t="s">
        <v>4351</v>
      </c>
      <c r="BF208" t="str">
        <f>HYPERLINK("http://dx.doi.org/10.1093/plankt/fbad008","http://dx.doi.org/10.1093/plankt/fbad008")</f>
        <v>http://dx.doi.org/10.1093/plankt/fbad008</v>
      </c>
      <c r="BG208" t="s">
        <v>74</v>
      </c>
      <c r="BH208" t="s">
        <v>427</v>
      </c>
      <c r="BI208">
        <v>19</v>
      </c>
      <c r="BJ208" t="s">
        <v>553</v>
      </c>
      <c r="BK208" t="s">
        <v>103</v>
      </c>
      <c r="BL208" t="s">
        <v>553</v>
      </c>
      <c r="BM208" t="s">
        <v>4352</v>
      </c>
      <c r="BN208" t="s">
        <v>74</v>
      </c>
      <c r="BO208" t="s">
        <v>334</v>
      </c>
      <c r="BP208" t="s">
        <v>74</v>
      </c>
      <c r="BQ208" t="s">
        <v>74</v>
      </c>
      <c r="BR208" t="s">
        <v>106</v>
      </c>
      <c r="BS208" t="s">
        <v>4353</v>
      </c>
      <c r="BT208" t="str">
        <f>HYPERLINK("https%3A%2F%2Fwww.webofscience.com%2Fwos%2Fwoscc%2Ffull-record%2FWOS:000962907800001","View Full Record in Web of Science")</f>
        <v>View Full Record in Web of Science</v>
      </c>
    </row>
    <row r="209" spans="1:72" x14ac:dyDescent="0.15">
      <c r="A209" t="s">
        <v>72</v>
      </c>
      <c r="B209" t="s">
        <v>4354</v>
      </c>
      <c r="C209" t="s">
        <v>74</v>
      </c>
      <c r="D209" t="s">
        <v>74</v>
      </c>
      <c r="E209" t="s">
        <v>74</v>
      </c>
      <c r="F209" t="s">
        <v>4355</v>
      </c>
      <c r="G209" t="s">
        <v>74</v>
      </c>
      <c r="H209" t="s">
        <v>74</v>
      </c>
      <c r="I209" t="s">
        <v>4356</v>
      </c>
      <c r="J209" t="s">
        <v>782</v>
      </c>
      <c r="K209" t="s">
        <v>74</v>
      </c>
      <c r="L209" t="s">
        <v>74</v>
      </c>
      <c r="M209" t="s">
        <v>78</v>
      </c>
      <c r="N209" t="s">
        <v>112</v>
      </c>
      <c r="O209" t="s">
        <v>74</v>
      </c>
      <c r="P209" t="s">
        <v>74</v>
      </c>
      <c r="Q209" t="s">
        <v>74</v>
      </c>
      <c r="R209" t="s">
        <v>74</v>
      </c>
      <c r="S209" t="s">
        <v>74</v>
      </c>
      <c r="T209" t="s">
        <v>74</v>
      </c>
      <c r="U209" t="s">
        <v>4357</v>
      </c>
      <c r="V209" t="s">
        <v>4358</v>
      </c>
      <c r="W209" t="s">
        <v>4359</v>
      </c>
      <c r="X209" t="s">
        <v>4360</v>
      </c>
      <c r="Y209" t="s">
        <v>4361</v>
      </c>
      <c r="Z209" t="s">
        <v>4362</v>
      </c>
      <c r="AA209" t="s">
        <v>4363</v>
      </c>
      <c r="AB209" t="s">
        <v>4364</v>
      </c>
      <c r="AC209" t="s">
        <v>74</v>
      </c>
      <c r="AD209" t="s">
        <v>74</v>
      </c>
      <c r="AE209" t="s">
        <v>74</v>
      </c>
      <c r="AF209" t="s">
        <v>74</v>
      </c>
      <c r="AG209">
        <v>64</v>
      </c>
      <c r="AH209">
        <v>8</v>
      </c>
      <c r="AI209">
        <v>8</v>
      </c>
      <c r="AJ209">
        <v>4</v>
      </c>
      <c r="AK209">
        <v>10</v>
      </c>
      <c r="AL209" t="s">
        <v>794</v>
      </c>
      <c r="AM209" t="s">
        <v>795</v>
      </c>
      <c r="AN209" t="s">
        <v>796</v>
      </c>
      <c r="AO209" t="s">
        <v>797</v>
      </c>
      <c r="AP209" t="s">
        <v>798</v>
      </c>
      <c r="AQ209" t="s">
        <v>74</v>
      </c>
      <c r="AR209" t="s">
        <v>782</v>
      </c>
      <c r="AS209" t="s">
        <v>799</v>
      </c>
      <c r="AT209" t="s">
        <v>4174</v>
      </c>
      <c r="AU209">
        <v>2023</v>
      </c>
      <c r="AV209">
        <v>17</v>
      </c>
      <c r="AW209">
        <v>4</v>
      </c>
      <c r="AX209" t="s">
        <v>74</v>
      </c>
      <c r="AY209" t="s">
        <v>74</v>
      </c>
      <c r="AZ209" t="s">
        <v>74</v>
      </c>
      <c r="BA209" t="s">
        <v>74</v>
      </c>
      <c r="BB209">
        <v>1445</v>
      </c>
      <c r="BC209">
        <v>1456</v>
      </c>
      <c r="BD209" t="s">
        <v>74</v>
      </c>
      <c r="BE209" t="s">
        <v>4365</v>
      </c>
      <c r="BF209" t="str">
        <f>HYPERLINK("http://dx.doi.org/10.5194/tc-17-1445-2023","http://dx.doi.org/10.5194/tc-17-1445-2023")</f>
        <v>http://dx.doi.org/10.5194/tc-17-1445-2023</v>
      </c>
      <c r="BG209" t="s">
        <v>74</v>
      </c>
      <c r="BH209" t="s">
        <v>74</v>
      </c>
      <c r="BI209">
        <v>12</v>
      </c>
      <c r="BJ209" t="s">
        <v>801</v>
      </c>
      <c r="BK209" t="s">
        <v>103</v>
      </c>
      <c r="BL209" t="s">
        <v>802</v>
      </c>
      <c r="BM209" t="s">
        <v>4366</v>
      </c>
      <c r="BN209" t="s">
        <v>74</v>
      </c>
      <c r="BO209" t="s">
        <v>2600</v>
      </c>
      <c r="BP209" t="s">
        <v>74</v>
      </c>
      <c r="BQ209" t="s">
        <v>74</v>
      </c>
      <c r="BR209" t="s">
        <v>106</v>
      </c>
      <c r="BS209" t="s">
        <v>4367</v>
      </c>
      <c r="BT209" t="str">
        <f>HYPERLINK("https%3A%2F%2Fwww.webofscience.com%2Fwos%2Fwoscc%2Ffull-record%2FWOS:000962110500001","View Full Record in Web of Science")</f>
        <v>View Full Record in Web of Science</v>
      </c>
    </row>
    <row r="210" spans="1:72" x14ac:dyDescent="0.15">
      <c r="A210" t="s">
        <v>72</v>
      </c>
      <c r="B210" t="s">
        <v>4368</v>
      </c>
      <c r="C210" t="s">
        <v>74</v>
      </c>
      <c r="D210" t="s">
        <v>74</v>
      </c>
      <c r="E210" t="s">
        <v>74</v>
      </c>
      <c r="F210" t="s">
        <v>4369</v>
      </c>
      <c r="G210" t="s">
        <v>74</v>
      </c>
      <c r="H210" t="s">
        <v>74</v>
      </c>
      <c r="I210" t="s">
        <v>4370</v>
      </c>
      <c r="J210" t="s">
        <v>4371</v>
      </c>
      <c r="K210" t="s">
        <v>74</v>
      </c>
      <c r="L210" t="s">
        <v>74</v>
      </c>
      <c r="M210" t="s">
        <v>78</v>
      </c>
      <c r="N210" t="s">
        <v>112</v>
      </c>
      <c r="O210" t="s">
        <v>74</v>
      </c>
      <c r="P210" t="s">
        <v>74</v>
      </c>
      <c r="Q210" t="s">
        <v>74</v>
      </c>
      <c r="R210" t="s">
        <v>74</v>
      </c>
      <c r="S210" t="s">
        <v>74</v>
      </c>
      <c r="T210" t="s">
        <v>4372</v>
      </c>
      <c r="U210" t="s">
        <v>4373</v>
      </c>
      <c r="V210" t="s">
        <v>4374</v>
      </c>
      <c r="W210" t="s">
        <v>4375</v>
      </c>
      <c r="X210" t="s">
        <v>4376</v>
      </c>
      <c r="Y210" t="s">
        <v>4377</v>
      </c>
      <c r="Z210" t="s">
        <v>4378</v>
      </c>
      <c r="AA210" t="s">
        <v>74</v>
      </c>
      <c r="AB210" t="s">
        <v>4379</v>
      </c>
      <c r="AC210" t="s">
        <v>4380</v>
      </c>
      <c r="AD210" t="s">
        <v>4381</v>
      </c>
      <c r="AE210" t="s">
        <v>4382</v>
      </c>
      <c r="AF210" t="s">
        <v>74</v>
      </c>
      <c r="AG210">
        <v>50</v>
      </c>
      <c r="AH210">
        <v>0</v>
      </c>
      <c r="AI210">
        <v>0</v>
      </c>
      <c r="AJ210">
        <v>2</v>
      </c>
      <c r="AK210">
        <v>3</v>
      </c>
      <c r="AL210" t="s">
        <v>1101</v>
      </c>
      <c r="AM210" t="s">
        <v>179</v>
      </c>
      <c r="AN210" t="s">
        <v>1543</v>
      </c>
      <c r="AO210" t="s">
        <v>4383</v>
      </c>
      <c r="AP210" t="s">
        <v>4384</v>
      </c>
      <c r="AQ210" t="s">
        <v>74</v>
      </c>
      <c r="AR210" t="s">
        <v>4385</v>
      </c>
      <c r="AS210" t="s">
        <v>4386</v>
      </c>
      <c r="AT210" t="s">
        <v>4174</v>
      </c>
      <c r="AU210">
        <v>2023</v>
      </c>
      <c r="AV210">
        <v>103</v>
      </c>
      <c r="AW210" t="s">
        <v>74</v>
      </c>
      <c r="AX210" t="s">
        <v>74</v>
      </c>
      <c r="AY210" t="s">
        <v>74</v>
      </c>
      <c r="AZ210" t="s">
        <v>74</v>
      </c>
      <c r="BA210" t="s">
        <v>74</v>
      </c>
      <c r="BB210" t="s">
        <v>74</v>
      </c>
      <c r="BC210" t="s">
        <v>74</v>
      </c>
      <c r="BD210" t="s">
        <v>4387</v>
      </c>
      <c r="BE210" t="s">
        <v>4388</v>
      </c>
      <c r="BF210" t="str">
        <f>HYPERLINK("http://dx.doi.org/10.1017/S0025315423000176","http://dx.doi.org/10.1017/S0025315423000176")</f>
        <v>http://dx.doi.org/10.1017/S0025315423000176</v>
      </c>
      <c r="BG210" t="s">
        <v>74</v>
      </c>
      <c r="BH210" t="s">
        <v>74</v>
      </c>
      <c r="BI210">
        <v>7</v>
      </c>
      <c r="BJ210" t="s">
        <v>385</v>
      </c>
      <c r="BK210" t="s">
        <v>103</v>
      </c>
      <c r="BL210" t="s">
        <v>385</v>
      </c>
      <c r="BM210" t="s">
        <v>4389</v>
      </c>
      <c r="BN210" t="s">
        <v>74</v>
      </c>
      <c r="BO210" t="s">
        <v>74</v>
      </c>
      <c r="BP210" t="s">
        <v>74</v>
      </c>
      <c r="BQ210" t="s">
        <v>74</v>
      </c>
      <c r="BR210" t="s">
        <v>106</v>
      </c>
      <c r="BS210" t="s">
        <v>4390</v>
      </c>
      <c r="BT210" t="str">
        <f>HYPERLINK("https%3A%2F%2Fwww.webofscience.com%2Fwos%2Fwoscc%2Ffull-record%2FWOS:000962823800001","View Full Record in Web of Science")</f>
        <v>View Full Record in Web of Science</v>
      </c>
    </row>
    <row r="211" spans="1:72" x14ac:dyDescent="0.15">
      <c r="A211" t="s">
        <v>72</v>
      </c>
      <c r="B211" t="s">
        <v>4391</v>
      </c>
      <c r="C211" t="s">
        <v>74</v>
      </c>
      <c r="D211" t="s">
        <v>74</v>
      </c>
      <c r="E211" t="s">
        <v>74</v>
      </c>
      <c r="F211" t="s">
        <v>4392</v>
      </c>
      <c r="G211" t="s">
        <v>74</v>
      </c>
      <c r="H211" t="s">
        <v>74</v>
      </c>
      <c r="I211" t="s">
        <v>4393</v>
      </c>
      <c r="J211" t="s">
        <v>4394</v>
      </c>
      <c r="K211" t="s">
        <v>74</v>
      </c>
      <c r="L211" t="s">
        <v>74</v>
      </c>
      <c r="M211" t="s">
        <v>78</v>
      </c>
      <c r="N211" t="s">
        <v>112</v>
      </c>
      <c r="O211" t="s">
        <v>74</v>
      </c>
      <c r="P211" t="s">
        <v>74</v>
      </c>
      <c r="Q211" t="s">
        <v>74</v>
      </c>
      <c r="R211" t="s">
        <v>74</v>
      </c>
      <c r="S211" t="s">
        <v>74</v>
      </c>
      <c r="T211" t="s">
        <v>4395</v>
      </c>
      <c r="U211" t="s">
        <v>4396</v>
      </c>
      <c r="V211" t="s">
        <v>4397</v>
      </c>
      <c r="W211" t="s">
        <v>4398</v>
      </c>
      <c r="X211" t="s">
        <v>4399</v>
      </c>
      <c r="Y211" t="s">
        <v>4400</v>
      </c>
      <c r="Z211" t="s">
        <v>4401</v>
      </c>
      <c r="AA211" t="s">
        <v>4402</v>
      </c>
      <c r="AB211" t="s">
        <v>74</v>
      </c>
      <c r="AC211" t="s">
        <v>4403</v>
      </c>
      <c r="AD211" t="s">
        <v>4403</v>
      </c>
      <c r="AE211" t="s">
        <v>4404</v>
      </c>
      <c r="AF211" t="s">
        <v>74</v>
      </c>
      <c r="AG211">
        <v>51</v>
      </c>
      <c r="AH211">
        <v>0</v>
      </c>
      <c r="AI211">
        <v>0</v>
      </c>
      <c r="AJ211">
        <v>0</v>
      </c>
      <c r="AK211">
        <v>0</v>
      </c>
      <c r="AL211" t="s">
        <v>4405</v>
      </c>
      <c r="AM211" t="s">
        <v>4171</v>
      </c>
      <c r="AN211" t="s">
        <v>4406</v>
      </c>
      <c r="AO211" t="s">
        <v>4407</v>
      </c>
      <c r="AP211" t="s">
        <v>4408</v>
      </c>
      <c r="AQ211" t="s">
        <v>74</v>
      </c>
      <c r="AR211" t="s">
        <v>4409</v>
      </c>
      <c r="AS211" t="s">
        <v>4410</v>
      </c>
      <c r="AT211" t="s">
        <v>98</v>
      </c>
      <c r="AU211">
        <v>2023</v>
      </c>
      <c r="AV211">
        <v>89</v>
      </c>
      <c r="AW211">
        <v>3</v>
      </c>
      <c r="AX211" t="s">
        <v>74</v>
      </c>
      <c r="AY211" t="s">
        <v>74</v>
      </c>
      <c r="AZ211" t="s">
        <v>74</v>
      </c>
      <c r="BA211" t="s">
        <v>74</v>
      </c>
      <c r="BB211">
        <v>301</v>
      </c>
      <c r="BC211">
        <v>315</v>
      </c>
      <c r="BD211" t="s">
        <v>74</v>
      </c>
      <c r="BE211" t="s">
        <v>4411</v>
      </c>
      <c r="BF211" t="str">
        <f>HYPERLINK("http://dx.doi.org/10.1007/s12562-023-01678-6","http://dx.doi.org/10.1007/s12562-023-01678-6")</f>
        <v>http://dx.doi.org/10.1007/s12562-023-01678-6</v>
      </c>
      <c r="BG211" t="s">
        <v>74</v>
      </c>
      <c r="BH211" t="s">
        <v>427</v>
      </c>
      <c r="BI211">
        <v>15</v>
      </c>
      <c r="BJ211" t="s">
        <v>3222</v>
      </c>
      <c r="BK211" t="s">
        <v>103</v>
      </c>
      <c r="BL211" t="s">
        <v>3222</v>
      </c>
      <c r="BM211" t="s">
        <v>4412</v>
      </c>
      <c r="BN211" t="s">
        <v>74</v>
      </c>
      <c r="BO211" t="s">
        <v>74</v>
      </c>
      <c r="BP211" t="s">
        <v>74</v>
      </c>
      <c r="BQ211" t="s">
        <v>74</v>
      </c>
      <c r="BR211" t="s">
        <v>106</v>
      </c>
      <c r="BS211" t="s">
        <v>4413</v>
      </c>
      <c r="BT211" t="str">
        <f>HYPERLINK("https%3A%2F%2Fwww.webofscience.com%2Fwos%2Fwoscc%2Ffull-record%2FWOS:000964385300001","View Full Record in Web of Science")</f>
        <v>View Full Record in Web of Science</v>
      </c>
    </row>
    <row r="212" spans="1:72" x14ac:dyDescent="0.15">
      <c r="A212" t="s">
        <v>72</v>
      </c>
      <c r="B212" t="s">
        <v>4414</v>
      </c>
      <c r="C212" t="s">
        <v>74</v>
      </c>
      <c r="D212" t="s">
        <v>74</v>
      </c>
      <c r="E212" t="s">
        <v>74</v>
      </c>
      <c r="F212" t="s">
        <v>4415</v>
      </c>
      <c r="G212" t="s">
        <v>74</v>
      </c>
      <c r="H212" t="s">
        <v>74</v>
      </c>
      <c r="I212" t="s">
        <v>4416</v>
      </c>
      <c r="J212" t="s">
        <v>4417</v>
      </c>
      <c r="K212" t="s">
        <v>74</v>
      </c>
      <c r="L212" t="s">
        <v>74</v>
      </c>
      <c r="M212" t="s">
        <v>78</v>
      </c>
      <c r="N212" t="s">
        <v>112</v>
      </c>
      <c r="O212" t="s">
        <v>74</v>
      </c>
      <c r="P212" t="s">
        <v>74</v>
      </c>
      <c r="Q212" t="s">
        <v>74</v>
      </c>
      <c r="R212" t="s">
        <v>74</v>
      </c>
      <c r="S212" t="s">
        <v>74</v>
      </c>
      <c r="T212" t="s">
        <v>74</v>
      </c>
      <c r="U212" t="s">
        <v>4418</v>
      </c>
      <c r="V212" t="s">
        <v>4419</v>
      </c>
      <c r="W212" t="s">
        <v>4420</v>
      </c>
      <c r="X212" t="s">
        <v>4421</v>
      </c>
      <c r="Y212" t="s">
        <v>4422</v>
      </c>
      <c r="Z212" t="s">
        <v>4423</v>
      </c>
      <c r="AA212" t="s">
        <v>4424</v>
      </c>
      <c r="AB212" t="s">
        <v>4425</v>
      </c>
      <c r="AC212" t="s">
        <v>4426</v>
      </c>
      <c r="AD212" t="s">
        <v>4427</v>
      </c>
      <c r="AE212" t="s">
        <v>4428</v>
      </c>
      <c r="AF212" t="s">
        <v>74</v>
      </c>
      <c r="AG212">
        <v>77</v>
      </c>
      <c r="AH212">
        <v>2</v>
      </c>
      <c r="AI212">
        <v>2</v>
      </c>
      <c r="AJ212">
        <v>1</v>
      </c>
      <c r="AK212">
        <v>6</v>
      </c>
      <c r="AL212" t="s">
        <v>794</v>
      </c>
      <c r="AM212" t="s">
        <v>795</v>
      </c>
      <c r="AN212" t="s">
        <v>796</v>
      </c>
      <c r="AO212" t="s">
        <v>4429</v>
      </c>
      <c r="AP212" t="s">
        <v>4430</v>
      </c>
      <c r="AQ212" t="s">
        <v>74</v>
      </c>
      <c r="AR212" t="s">
        <v>4431</v>
      </c>
      <c r="AS212" t="s">
        <v>4432</v>
      </c>
      <c r="AT212" t="s">
        <v>4174</v>
      </c>
      <c r="AU212">
        <v>2023</v>
      </c>
      <c r="AV212">
        <v>19</v>
      </c>
      <c r="AW212">
        <v>2</v>
      </c>
      <c r="AX212" t="s">
        <v>74</v>
      </c>
      <c r="AY212" t="s">
        <v>74</v>
      </c>
      <c r="AZ212" t="s">
        <v>74</v>
      </c>
      <c r="BA212" t="s">
        <v>74</v>
      </c>
      <c r="BB212">
        <v>381</v>
      </c>
      <c r="BC212">
        <v>402</v>
      </c>
      <c r="BD212" t="s">
        <v>74</v>
      </c>
      <c r="BE212" t="s">
        <v>4433</v>
      </c>
      <c r="BF212" t="str">
        <f>HYPERLINK("http://dx.doi.org/10.5194/os-19-381-2023","http://dx.doi.org/10.5194/os-19-381-2023")</f>
        <v>http://dx.doi.org/10.5194/os-19-381-2023</v>
      </c>
      <c r="BG212" t="s">
        <v>74</v>
      </c>
      <c r="BH212" t="s">
        <v>74</v>
      </c>
      <c r="BI212">
        <v>22</v>
      </c>
      <c r="BJ212" t="s">
        <v>4434</v>
      </c>
      <c r="BK212" t="s">
        <v>103</v>
      </c>
      <c r="BL212" t="s">
        <v>4434</v>
      </c>
      <c r="BM212" t="s">
        <v>4435</v>
      </c>
      <c r="BN212" t="s">
        <v>74</v>
      </c>
      <c r="BO212" t="s">
        <v>2600</v>
      </c>
      <c r="BP212" t="s">
        <v>74</v>
      </c>
      <c r="BQ212" t="s">
        <v>74</v>
      </c>
      <c r="BR212" t="s">
        <v>106</v>
      </c>
      <c r="BS212" t="s">
        <v>4436</v>
      </c>
      <c r="BT212" t="str">
        <f>HYPERLINK("https%3A%2F%2Fwww.webofscience.com%2Fwos%2Fwoscc%2Ffull-record%2FWOS:000964267600001","View Full Record in Web of Science")</f>
        <v>View Full Record in Web of Science</v>
      </c>
    </row>
    <row r="213" spans="1:72" x14ac:dyDescent="0.15">
      <c r="A213" t="s">
        <v>72</v>
      </c>
      <c r="B213" t="s">
        <v>4437</v>
      </c>
      <c r="C213" t="s">
        <v>74</v>
      </c>
      <c r="D213" t="s">
        <v>74</v>
      </c>
      <c r="E213" t="s">
        <v>74</v>
      </c>
      <c r="F213" t="s">
        <v>4438</v>
      </c>
      <c r="G213" t="s">
        <v>74</v>
      </c>
      <c r="H213" t="s">
        <v>74</v>
      </c>
      <c r="I213" t="s">
        <v>4439</v>
      </c>
      <c r="J213" t="s">
        <v>4440</v>
      </c>
      <c r="K213" t="s">
        <v>74</v>
      </c>
      <c r="L213" t="s">
        <v>74</v>
      </c>
      <c r="M213" t="s">
        <v>78</v>
      </c>
      <c r="N213" t="s">
        <v>112</v>
      </c>
      <c r="O213" t="s">
        <v>74</v>
      </c>
      <c r="P213" t="s">
        <v>74</v>
      </c>
      <c r="Q213" t="s">
        <v>74</v>
      </c>
      <c r="R213" t="s">
        <v>74</v>
      </c>
      <c r="S213" t="s">
        <v>74</v>
      </c>
      <c r="T213" t="s">
        <v>74</v>
      </c>
      <c r="U213" t="s">
        <v>4441</v>
      </c>
      <c r="V213" t="s">
        <v>4442</v>
      </c>
      <c r="W213" t="s">
        <v>4443</v>
      </c>
      <c r="X213" t="s">
        <v>4444</v>
      </c>
      <c r="Y213" t="s">
        <v>4445</v>
      </c>
      <c r="Z213" t="s">
        <v>4446</v>
      </c>
      <c r="AA213" t="s">
        <v>74</v>
      </c>
      <c r="AB213" t="s">
        <v>74</v>
      </c>
      <c r="AC213" t="s">
        <v>4447</v>
      </c>
      <c r="AD213" t="s">
        <v>4448</v>
      </c>
      <c r="AE213" t="s">
        <v>4449</v>
      </c>
      <c r="AF213" t="s">
        <v>74</v>
      </c>
      <c r="AG213">
        <v>46</v>
      </c>
      <c r="AH213">
        <v>0</v>
      </c>
      <c r="AI213">
        <v>0</v>
      </c>
      <c r="AJ213">
        <v>3</v>
      </c>
      <c r="AK213">
        <v>4</v>
      </c>
      <c r="AL213" t="s">
        <v>2116</v>
      </c>
      <c r="AM213" t="s">
        <v>226</v>
      </c>
      <c r="AN213" t="s">
        <v>2117</v>
      </c>
      <c r="AO213" t="s">
        <v>74</v>
      </c>
      <c r="AP213" t="s">
        <v>4450</v>
      </c>
      <c r="AQ213" t="s">
        <v>74</v>
      </c>
      <c r="AR213" t="s">
        <v>4440</v>
      </c>
      <c r="AS213" t="s">
        <v>4451</v>
      </c>
      <c r="AT213" t="s">
        <v>4452</v>
      </c>
      <c r="AU213">
        <v>2023</v>
      </c>
      <c r="AV213">
        <v>2</v>
      </c>
      <c r="AW213">
        <v>4</v>
      </c>
      <c r="AX213" t="s">
        <v>74</v>
      </c>
      <c r="AY213" t="s">
        <v>74</v>
      </c>
      <c r="AZ213" t="s">
        <v>74</v>
      </c>
      <c r="BA213" t="s">
        <v>74</v>
      </c>
      <c r="BB213" t="s">
        <v>74</v>
      </c>
      <c r="BC213" t="s">
        <v>74</v>
      </c>
      <c r="BD213" t="s">
        <v>74</v>
      </c>
      <c r="BE213" t="s">
        <v>4453</v>
      </c>
      <c r="BF213" t="str">
        <f>HYPERLINK("http://dx.doi.org/10.1093/pnasnexus/pgad103","http://dx.doi.org/10.1093/pnasnexus/pgad103")</f>
        <v>http://dx.doi.org/10.1093/pnasnexus/pgad103</v>
      </c>
      <c r="BG213" t="s">
        <v>74</v>
      </c>
      <c r="BH213" t="s">
        <v>74</v>
      </c>
      <c r="BI213">
        <v>9</v>
      </c>
      <c r="BJ213" t="s">
        <v>4454</v>
      </c>
      <c r="BK213" t="s">
        <v>160</v>
      </c>
      <c r="BL213" t="s">
        <v>4455</v>
      </c>
      <c r="BM213" t="s">
        <v>4456</v>
      </c>
      <c r="BN213">
        <v>37091546</v>
      </c>
      <c r="BO213" t="s">
        <v>136</v>
      </c>
      <c r="BP213" t="s">
        <v>74</v>
      </c>
      <c r="BQ213" t="s">
        <v>74</v>
      </c>
      <c r="BR213" t="s">
        <v>106</v>
      </c>
      <c r="BS213" t="s">
        <v>4457</v>
      </c>
      <c r="BT213" t="str">
        <f>HYPERLINK("https%3A%2F%2Fwww.webofscience.com%2Fwos%2Fwoscc%2Ffull-record%2FWOS:001053440200006","View Full Record in Web of Science")</f>
        <v>View Full Record in Web of Science</v>
      </c>
    </row>
    <row r="214" spans="1:72" x14ac:dyDescent="0.15">
      <c r="A214" t="s">
        <v>72</v>
      </c>
      <c r="B214" t="s">
        <v>4458</v>
      </c>
      <c r="C214" t="s">
        <v>74</v>
      </c>
      <c r="D214" t="s">
        <v>74</v>
      </c>
      <c r="E214" t="s">
        <v>74</v>
      </c>
      <c r="F214" t="s">
        <v>4459</v>
      </c>
      <c r="G214" t="s">
        <v>74</v>
      </c>
      <c r="H214" t="s">
        <v>74</v>
      </c>
      <c r="I214" t="s">
        <v>4460</v>
      </c>
      <c r="J214" t="s">
        <v>2563</v>
      </c>
      <c r="K214" t="s">
        <v>74</v>
      </c>
      <c r="L214" t="s">
        <v>74</v>
      </c>
      <c r="M214" t="s">
        <v>78</v>
      </c>
      <c r="N214" t="s">
        <v>112</v>
      </c>
      <c r="O214" t="s">
        <v>74</v>
      </c>
      <c r="P214" t="s">
        <v>74</v>
      </c>
      <c r="Q214" t="s">
        <v>74</v>
      </c>
      <c r="R214" t="s">
        <v>74</v>
      </c>
      <c r="S214" t="s">
        <v>74</v>
      </c>
      <c r="T214" t="s">
        <v>4461</v>
      </c>
      <c r="U214" t="s">
        <v>4462</v>
      </c>
      <c r="V214" t="s">
        <v>4463</v>
      </c>
      <c r="W214" t="s">
        <v>4464</v>
      </c>
      <c r="X214" t="s">
        <v>4465</v>
      </c>
      <c r="Y214" t="s">
        <v>4466</v>
      </c>
      <c r="Z214" t="s">
        <v>74</v>
      </c>
      <c r="AA214" t="s">
        <v>74</v>
      </c>
      <c r="AB214" t="s">
        <v>4467</v>
      </c>
      <c r="AC214" t="s">
        <v>74</v>
      </c>
      <c r="AD214" t="s">
        <v>74</v>
      </c>
      <c r="AE214" t="s">
        <v>74</v>
      </c>
      <c r="AF214" t="s">
        <v>74</v>
      </c>
      <c r="AG214">
        <v>377</v>
      </c>
      <c r="AH214">
        <v>3</v>
      </c>
      <c r="AI214">
        <v>3</v>
      </c>
      <c r="AJ214">
        <v>0</v>
      </c>
      <c r="AK214">
        <v>2</v>
      </c>
      <c r="AL214" t="s">
        <v>2575</v>
      </c>
      <c r="AM214" t="s">
        <v>2576</v>
      </c>
      <c r="AN214" t="s">
        <v>2577</v>
      </c>
      <c r="AO214" t="s">
        <v>2578</v>
      </c>
      <c r="AP214" t="s">
        <v>2579</v>
      </c>
      <c r="AQ214" t="s">
        <v>74</v>
      </c>
      <c r="AR214" t="s">
        <v>2563</v>
      </c>
      <c r="AS214" t="s">
        <v>2580</v>
      </c>
      <c r="AT214" t="s">
        <v>4452</v>
      </c>
      <c r="AU214">
        <v>2023</v>
      </c>
      <c r="AV214">
        <v>5261</v>
      </c>
      <c r="AW214">
        <v>1</v>
      </c>
      <c r="AX214" t="s">
        <v>74</v>
      </c>
      <c r="AY214" t="s">
        <v>74</v>
      </c>
      <c r="AZ214" t="s">
        <v>74</v>
      </c>
      <c r="BA214" t="s">
        <v>74</v>
      </c>
      <c r="BB214">
        <v>1</v>
      </c>
      <c r="BC214">
        <v>83</v>
      </c>
      <c r="BD214" t="s">
        <v>74</v>
      </c>
      <c r="BE214" t="s">
        <v>4468</v>
      </c>
      <c r="BF214" t="str">
        <f>HYPERLINK("http://dx.doi.org/10.11646/zootaxa.5261.1.1","http://dx.doi.org/10.11646/zootaxa.5261.1.1")</f>
        <v>http://dx.doi.org/10.11646/zootaxa.5261.1.1</v>
      </c>
      <c r="BG214" t="s">
        <v>74</v>
      </c>
      <c r="BH214" t="s">
        <v>74</v>
      </c>
      <c r="BI214">
        <v>83</v>
      </c>
      <c r="BJ214" t="s">
        <v>2582</v>
      </c>
      <c r="BK214" t="s">
        <v>103</v>
      </c>
      <c r="BL214" t="s">
        <v>2582</v>
      </c>
      <c r="BM214" t="s">
        <v>4469</v>
      </c>
      <c r="BN214">
        <v>37044568</v>
      </c>
      <c r="BO214" t="s">
        <v>74</v>
      </c>
      <c r="BP214" t="s">
        <v>74</v>
      </c>
      <c r="BQ214" t="s">
        <v>74</v>
      </c>
      <c r="BR214" t="s">
        <v>106</v>
      </c>
      <c r="BS214" t="s">
        <v>4470</v>
      </c>
      <c r="BT214" t="str">
        <f>HYPERLINK("https%3A%2F%2Fwww.webofscience.com%2Fwos%2Fwoscc%2Ffull-record%2FWOS:000970592200001","View Full Record in Web of Science")</f>
        <v>View Full Record in Web of Science</v>
      </c>
    </row>
    <row r="215" spans="1:72" x14ac:dyDescent="0.15">
      <c r="A215" t="s">
        <v>72</v>
      </c>
      <c r="B215" t="s">
        <v>4471</v>
      </c>
      <c r="C215" t="s">
        <v>74</v>
      </c>
      <c r="D215" t="s">
        <v>74</v>
      </c>
      <c r="E215" t="s">
        <v>74</v>
      </c>
      <c r="F215" t="s">
        <v>4472</v>
      </c>
      <c r="G215" t="s">
        <v>74</v>
      </c>
      <c r="H215" t="s">
        <v>74</v>
      </c>
      <c r="I215" t="s">
        <v>4473</v>
      </c>
      <c r="J215" t="s">
        <v>4474</v>
      </c>
      <c r="K215" t="s">
        <v>74</v>
      </c>
      <c r="L215" t="s">
        <v>74</v>
      </c>
      <c r="M215" t="s">
        <v>78</v>
      </c>
      <c r="N215" t="s">
        <v>1754</v>
      </c>
      <c r="O215" t="s">
        <v>74</v>
      </c>
      <c r="P215" t="s">
        <v>74</v>
      </c>
      <c r="Q215" t="s">
        <v>74</v>
      </c>
      <c r="R215" t="s">
        <v>74</v>
      </c>
      <c r="S215" t="s">
        <v>74</v>
      </c>
      <c r="T215" t="s">
        <v>4475</v>
      </c>
      <c r="U215" t="s">
        <v>4476</v>
      </c>
      <c r="V215" t="s">
        <v>4477</v>
      </c>
      <c r="W215" t="s">
        <v>4478</v>
      </c>
      <c r="X215" t="s">
        <v>4479</v>
      </c>
      <c r="Y215" t="s">
        <v>4480</v>
      </c>
      <c r="Z215" t="s">
        <v>4481</v>
      </c>
      <c r="AA215" t="s">
        <v>4482</v>
      </c>
      <c r="AB215" t="s">
        <v>4483</v>
      </c>
      <c r="AC215" t="s">
        <v>74</v>
      </c>
      <c r="AD215" t="s">
        <v>74</v>
      </c>
      <c r="AE215" t="s">
        <v>74</v>
      </c>
      <c r="AF215" t="s">
        <v>74</v>
      </c>
      <c r="AG215">
        <v>161</v>
      </c>
      <c r="AH215">
        <v>7</v>
      </c>
      <c r="AI215">
        <v>7</v>
      </c>
      <c r="AJ215">
        <v>0</v>
      </c>
      <c r="AK215">
        <v>5</v>
      </c>
      <c r="AL215" t="s">
        <v>768</v>
      </c>
      <c r="AM215" t="s">
        <v>179</v>
      </c>
      <c r="AN215" t="s">
        <v>769</v>
      </c>
      <c r="AO215" t="s">
        <v>4484</v>
      </c>
      <c r="AP215" t="s">
        <v>4485</v>
      </c>
      <c r="AQ215" t="s">
        <v>74</v>
      </c>
      <c r="AR215" t="s">
        <v>4474</v>
      </c>
      <c r="AS215" t="s">
        <v>4486</v>
      </c>
      <c r="AT215" t="s">
        <v>4487</v>
      </c>
      <c r="AU215">
        <v>2023</v>
      </c>
      <c r="AV215" t="s">
        <v>74</v>
      </c>
      <c r="AW215" t="s">
        <v>74</v>
      </c>
      <c r="AX215" t="s">
        <v>74</v>
      </c>
      <c r="AY215" t="s">
        <v>74</v>
      </c>
      <c r="AZ215" t="s">
        <v>74</v>
      </c>
      <c r="BA215" t="s">
        <v>74</v>
      </c>
      <c r="BB215" t="s">
        <v>74</v>
      </c>
      <c r="BC215" t="s">
        <v>74</v>
      </c>
      <c r="BD215" t="s">
        <v>74</v>
      </c>
      <c r="BE215" t="s">
        <v>4488</v>
      </c>
      <c r="BF215" t="str">
        <f>HYPERLINK("http://dx.doi.org/10.1007/s00338-023-02378-4","http://dx.doi.org/10.1007/s00338-023-02378-4")</f>
        <v>http://dx.doi.org/10.1007/s00338-023-02378-4</v>
      </c>
      <c r="BG215" t="s">
        <v>74</v>
      </c>
      <c r="BH215" t="s">
        <v>427</v>
      </c>
      <c r="BI215">
        <v>14</v>
      </c>
      <c r="BJ215" t="s">
        <v>385</v>
      </c>
      <c r="BK215" t="s">
        <v>103</v>
      </c>
      <c r="BL215" t="s">
        <v>385</v>
      </c>
      <c r="BM215" t="s">
        <v>4489</v>
      </c>
      <c r="BN215" t="s">
        <v>74</v>
      </c>
      <c r="BO215" t="s">
        <v>823</v>
      </c>
      <c r="BP215" t="s">
        <v>74</v>
      </c>
      <c r="BQ215" t="s">
        <v>74</v>
      </c>
      <c r="BR215" t="s">
        <v>106</v>
      </c>
      <c r="BS215" t="s">
        <v>4490</v>
      </c>
      <c r="BT215" t="str">
        <f>HYPERLINK("https%3A%2F%2Fwww.webofscience.com%2Fwos%2Fwoscc%2Ffull-record%2FWOS:000963806000003","View Full Record in Web of Science")</f>
        <v>View Full Record in Web of Science</v>
      </c>
    </row>
    <row r="216" spans="1:72" x14ac:dyDescent="0.15">
      <c r="A216" t="s">
        <v>72</v>
      </c>
      <c r="B216" t="s">
        <v>4491</v>
      </c>
      <c r="C216" t="s">
        <v>74</v>
      </c>
      <c r="D216" t="s">
        <v>74</v>
      </c>
      <c r="E216" t="s">
        <v>74</v>
      </c>
      <c r="F216" t="s">
        <v>4492</v>
      </c>
      <c r="G216" t="s">
        <v>74</v>
      </c>
      <c r="H216" t="s">
        <v>74</v>
      </c>
      <c r="I216" t="s">
        <v>4493</v>
      </c>
      <c r="J216" t="s">
        <v>3772</v>
      </c>
      <c r="K216" t="s">
        <v>74</v>
      </c>
      <c r="L216" t="s">
        <v>74</v>
      </c>
      <c r="M216" t="s">
        <v>78</v>
      </c>
      <c r="N216" t="s">
        <v>112</v>
      </c>
      <c r="O216" t="s">
        <v>74</v>
      </c>
      <c r="P216" t="s">
        <v>74</v>
      </c>
      <c r="Q216" t="s">
        <v>74</v>
      </c>
      <c r="R216" t="s">
        <v>74</v>
      </c>
      <c r="S216" t="s">
        <v>74</v>
      </c>
      <c r="T216" t="s">
        <v>4494</v>
      </c>
      <c r="U216" t="s">
        <v>4495</v>
      </c>
      <c r="V216" t="s">
        <v>4496</v>
      </c>
      <c r="W216" t="s">
        <v>4497</v>
      </c>
      <c r="X216" t="s">
        <v>624</v>
      </c>
      <c r="Y216" t="s">
        <v>4498</v>
      </c>
      <c r="Z216" t="s">
        <v>626</v>
      </c>
      <c r="AA216" t="s">
        <v>4499</v>
      </c>
      <c r="AB216" t="s">
        <v>627</v>
      </c>
      <c r="AC216" t="s">
        <v>4500</v>
      </c>
      <c r="AD216" t="s">
        <v>4501</v>
      </c>
      <c r="AE216" t="s">
        <v>4502</v>
      </c>
      <c r="AF216" t="s">
        <v>74</v>
      </c>
      <c r="AG216">
        <v>108</v>
      </c>
      <c r="AH216">
        <v>2</v>
      </c>
      <c r="AI216">
        <v>2</v>
      </c>
      <c r="AJ216">
        <v>9</v>
      </c>
      <c r="AK216">
        <v>21</v>
      </c>
      <c r="AL216" t="s">
        <v>2116</v>
      </c>
      <c r="AM216" t="s">
        <v>226</v>
      </c>
      <c r="AN216" t="s">
        <v>2117</v>
      </c>
      <c r="AO216" t="s">
        <v>3784</v>
      </c>
      <c r="AP216" t="s">
        <v>3785</v>
      </c>
      <c r="AQ216" t="s">
        <v>74</v>
      </c>
      <c r="AR216" t="s">
        <v>3786</v>
      </c>
      <c r="AS216" t="s">
        <v>3787</v>
      </c>
      <c r="AT216" t="s">
        <v>4503</v>
      </c>
      <c r="AU216">
        <v>2023</v>
      </c>
      <c r="AV216">
        <v>80</v>
      </c>
      <c r="AW216">
        <v>5</v>
      </c>
      <c r="AX216" t="s">
        <v>74</v>
      </c>
      <c r="AY216" t="s">
        <v>74</v>
      </c>
      <c r="AZ216" t="s">
        <v>74</v>
      </c>
      <c r="BA216" t="s">
        <v>74</v>
      </c>
      <c r="BB216">
        <v>1277</v>
      </c>
      <c r="BC216">
        <v>1290</v>
      </c>
      <c r="BD216" t="s">
        <v>74</v>
      </c>
      <c r="BE216" t="s">
        <v>4504</v>
      </c>
      <c r="BF216" t="str">
        <f>HYPERLINK("http://dx.doi.org/10.1093/icesjms/fsad052","http://dx.doi.org/10.1093/icesjms/fsad052")</f>
        <v>http://dx.doi.org/10.1093/icesjms/fsad052</v>
      </c>
      <c r="BG216" t="s">
        <v>74</v>
      </c>
      <c r="BH216" t="s">
        <v>427</v>
      </c>
      <c r="BI216">
        <v>14</v>
      </c>
      <c r="BJ216" t="s">
        <v>3790</v>
      </c>
      <c r="BK216" t="s">
        <v>103</v>
      </c>
      <c r="BL216" t="s">
        <v>3790</v>
      </c>
      <c r="BM216" t="s">
        <v>4505</v>
      </c>
      <c r="BN216" t="s">
        <v>74</v>
      </c>
      <c r="BO216" t="s">
        <v>1084</v>
      </c>
      <c r="BP216" t="s">
        <v>74</v>
      </c>
      <c r="BQ216" t="s">
        <v>74</v>
      </c>
      <c r="BR216" t="s">
        <v>106</v>
      </c>
      <c r="BS216" t="s">
        <v>4506</v>
      </c>
      <c r="BT216" t="str">
        <f>HYPERLINK("https%3A%2F%2Fwww.webofscience.com%2Fwos%2Fwoscc%2Ffull-record%2FWOS:000962564400001","View Full Record in Web of Science")</f>
        <v>View Full Record in Web of Science</v>
      </c>
    </row>
    <row r="217" spans="1:72" x14ac:dyDescent="0.15">
      <c r="A217" t="s">
        <v>72</v>
      </c>
      <c r="B217" t="s">
        <v>4507</v>
      </c>
      <c r="C217" t="s">
        <v>74</v>
      </c>
      <c r="D217" t="s">
        <v>74</v>
      </c>
      <c r="E217" t="s">
        <v>74</v>
      </c>
      <c r="F217" t="s">
        <v>4508</v>
      </c>
      <c r="G217" t="s">
        <v>74</v>
      </c>
      <c r="H217" t="s">
        <v>74</v>
      </c>
      <c r="I217" t="s">
        <v>4509</v>
      </c>
      <c r="J217" t="s">
        <v>194</v>
      </c>
      <c r="K217" t="s">
        <v>74</v>
      </c>
      <c r="L217" t="s">
        <v>74</v>
      </c>
      <c r="M217" t="s">
        <v>78</v>
      </c>
      <c r="N217" t="s">
        <v>112</v>
      </c>
      <c r="O217" t="s">
        <v>74</v>
      </c>
      <c r="P217" t="s">
        <v>74</v>
      </c>
      <c r="Q217" t="s">
        <v>74</v>
      </c>
      <c r="R217" t="s">
        <v>74</v>
      </c>
      <c r="S217" t="s">
        <v>74</v>
      </c>
      <c r="T217" t="s">
        <v>74</v>
      </c>
      <c r="U217" t="s">
        <v>4510</v>
      </c>
      <c r="V217" t="s">
        <v>4511</v>
      </c>
      <c r="W217" t="s">
        <v>4512</v>
      </c>
      <c r="X217" t="s">
        <v>4513</v>
      </c>
      <c r="Y217" t="s">
        <v>4514</v>
      </c>
      <c r="Z217" t="s">
        <v>4515</v>
      </c>
      <c r="AA217" t="s">
        <v>74</v>
      </c>
      <c r="AB217" t="s">
        <v>4516</v>
      </c>
      <c r="AC217" t="s">
        <v>4517</v>
      </c>
      <c r="AD217" t="s">
        <v>4518</v>
      </c>
      <c r="AE217" t="s">
        <v>4519</v>
      </c>
      <c r="AF217" t="s">
        <v>74</v>
      </c>
      <c r="AG217">
        <v>55</v>
      </c>
      <c r="AH217">
        <v>0</v>
      </c>
      <c r="AI217">
        <v>0</v>
      </c>
      <c r="AJ217">
        <v>4</v>
      </c>
      <c r="AK217">
        <v>8</v>
      </c>
      <c r="AL217" t="s">
        <v>203</v>
      </c>
      <c r="AM217" t="s">
        <v>204</v>
      </c>
      <c r="AN217" t="s">
        <v>205</v>
      </c>
      <c r="AO217" t="s">
        <v>206</v>
      </c>
      <c r="AP217" t="s">
        <v>74</v>
      </c>
      <c r="AQ217" t="s">
        <v>74</v>
      </c>
      <c r="AR217" t="s">
        <v>207</v>
      </c>
      <c r="AS217" t="s">
        <v>208</v>
      </c>
      <c r="AT217" t="s">
        <v>4520</v>
      </c>
      <c r="AU217">
        <v>2023</v>
      </c>
      <c r="AV217">
        <v>13</v>
      </c>
      <c r="AW217">
        <v>1</v>
      </c>
      <c r="AX217" t="s">
        <v>74</v>
      </c>
      <c r="AY217" t="s">
        <v>74</v>
      </c>
      <c r="AZ217" t="s">
        <v>74</v>
      </c>
      <c r="BA217" t="s">
        <v>74</v>
      </c>
      <c r="BB217" t="s">
        <v>74</v>
      </c>
      <c r="BC217" t="s">
        <v>74</v>
      </c>
      <c r="BD217">
        <v>5376</v>
      </c>
      <c r="BE217" t="s">
        <v>4521</v>
      </c>
      <c r="BF217" t="str">
        <f>HYPERLINK("http://dx.doi.org/10.1038/s41598-023-31676-8","http://dx.doi.org/10.1038/s41598-023-31676-8")</f>
        <v>http://dx.doi.org/10.1038/s41598-023-31676-8</v>
      </c>
      <c r="BG217" t="s">
        <v>74</v>
      </c>
      <c r="BH217" t="s">
        <v>74</v>
      </c>
      <c r="BI217">
        <v>12</v>
      </c>
      <c r="BJ217" t="s">
        <v>210</v>
      </c>
      <c r="BK217" t="s">
        <v>103</v>
      </c>
      <c r="BL217" t="s">
        <v>211</v>
      </c>
      <c r="BM217" t="s">
        <v>4522</v>
      </c>
      <c r="BN217">
        <v>37009788</v>
      </c>
      <c r="BO217" t="s">
        <v>136</v>
      </c>
      <c r="BP217" t="s">
        <v>74</v>
      </c>
      <c r="BQ217" t="s">
        <v>74</v>
      </c>
      <c r="BR217" t="s">
        <v>106</v>
      </c>
      <c r="BS217" t="s">
        <v>4523</v>
      </c>
      <c r="BT217" t="str">
        <f>HYPERLINK("https%3A%2F%2Fwww.webofscience.com%2Fwos%2Fwoscc%2Ffull-record%2FWOS:000962406600003","View Full Record in Web of Science")</f>
        <v>View Full Record in Web of Science</v>
      </c>
    </row>
    <row r="218" spans="1:72" x14ac:dyDescent="0.15">
      <c r="A218" t="s">
        <v>72</v>
      </c>
      <c r="B218" t="s">
        <v>4524</v>
      </c>
      <c r="C218" t="s">
        <v>74</v>
      </c>
      <c r="D218" t="s">
        <v>74</v>
      </c>
      <c r="E218" t="s">
        <v>74</v>
      </c>
      <c r="F218" t="s">
        <v>4525</v>
      </c>
      <c r="G218" t="s">
        <v>74</v>
      </c>
      <c r="H218" t="s">
        <v>74</v>
      </c>
      <c r="I218" t="s">
        <v>4526</v>
      </c>
      <c r="J218" t="s">
        <v>4527</v>
      </c>
      <c r="K218" t="s">
        <v>74</v>
      </c>
      <c r="L218" t="s">
        <v>74</v>
      </c>
      <c r="M218" t="s">
        <v>78</v>
      </c>
      <c r="N218" t="s">
        <v>112</v>
      </c>
      <c r="O218" t="s">
        <v>74</v>
      </c>
      <c r="P218" t="s">
        <v>74</v>
      </c>
      <c r="Q218" t="s">
        <v>74</v>
      </c>
      <c r="R218" t="s">
        <v>74</v>
      </c>
      <c r="S218" t="s">
        <v>74</v>
      </c>
      <c r="T218" t="s">
        <v>4528</v>
      </c>
      <c r="U218" t="s">
        <v>4529</v>
      </c>
      <c r="V218" t="s">
        <v>4530</v>
      </c>
      <c r="W218" t="s">
        <v>4531</v>
      </c>
      <c r="X218" t="s">
        <v>4532</v>
      </c>
      <c r="Y218" t="s">
        <v>4533</v>
      </c>
      <c r="Z218" t="s">
        <v>4534</v>
      </c>
      <c r="AA218" t="s">
        <v>4535</v>
      </c>
      <c r="AB218" t="s">
        <v>4536</v>
      </c>
      <c r="AC218" t="s">
        <v>4537</v>
      </c>
      <c r="AD218" t="s">
        <v>4538</v>
      </c>
      <c r="AE218" t="s">
        <v>4539</v>
      </c>
      <c r="AF218" t="s">
        <v>74</v>
      </c>
      <c r="AG218">
        <v>52</v>
      </c>
      <c r="AH218">
        <v>0</v>
      </c>
      <c r="AI218">
        <v>0</v>
      </c>
      <c r="AJ218">
        <v>4</v>
      </c>
      <c r="AK218">
        <v>4</v>
      </c>
      <c r="AL218" t="s">
        <v>4540</v>
      </c>
      <c r="AM218" t="s">
        <v>4541</v>
      </c>
      <c r="AN218" t="s">
        <v>4542</v>
      </c>
      <c r="AO218" t="s">
        <v>74</v>
      </c>
      <c r="AP218" t="s">
        <v>4543</v>
      </c>
      <c r="AQ218" t="s">
        <v>74</v>
      </c>
      <c r="AR218" t="s">
        <v>4544</v>
      </c>
      <c r="AS218" t="s">
        <v>4545</v>
      </c>
      <c r="AT218" t="s">
        <v>4546</v>
      </c>
      <c r="AU218">
        <v>2023</v>
      </c>
      <c r="AV218">
        <v>17</v>
      </c>
      <c r="AW218">
        <v>2</v>
      </c>
      <c r="AX218" t="s">
        <v>74</v>
      </c>
      <c r="AY218" t="s">
        <v>74</v>
      </c>
      <c r="AZ218" t="s">
        <v>74</v>
      </c>
      <c r="BA218" t="s">
        <v>74</v>
      </c>
      <c r="BB218" t="s">
        <v>74</v>
      </c>
      <c r="BC218" t="s">
        <v>74</v>
      </c>
      <c r="BD218">
        <v>28501</v>
      </c>
      <c r="BE218" t="s">
        <v>4547</v>
      </c>
      <c r="BF218" t="str">
        <f>HYPERLINK("http://dx.doi.org/10.1117/1.JRS.17.028501","http://dx.doi.org/10.1117/1.JRS.17.028501")</f>
        <v>http://dx.doi.org/10.1117/1.JRS.17.028501</v>
      </c>
      <c r="BG218" t="s">
        <v>74</v>
      </c>
      <c r="BH218" t="s">
        <v>74</v>
      </c>
      <c r="BI218">
        <v>20</v>
      </c>
      <c r="BJ218" t="s">
        <v>4548</v>
      </c>
      <c r="BK218" t="s">
        <v>103</v>
      </c>
      <c r="BL218" t="s">
        <v>4549</v>
      </c>
      <c r="BM218" t="s">
        <v>4550</v>
      </c>
      <c r="BN218" t="s">
        <v>74</v>
      </c>
      <c r="BO218" t="s">
        <v>74</v>
      </c>
      <c r="BP218" t="s">
        <v>74</v>
      </c>
      <c r="BQ218" t="s">
        <v>74</v>
      </c>
      <c r="BR218" t="s">
        <v>106</v>
      </c>
      <c r="BS218" t="s">
        <v>4551</v>
      </c>
      <c r="BT218" t="str">
        <f>HYPERLINK("https%3A%2F%2Fwww.webofscience.com%2Fwos%2Fwoscc%2Ffull-record%2FWOS:001062717600044","View Full Record in Web of Science")</f>
        <v>View Full Record in Web of Science</v>
      </c>
    </row>
    <row r="219" spans="1:72" x14ac:dyDescent="0.15">
      <c r="A219" t="s">
        <v>72</v>
      </c>
      <c r="B219" t="s">
        <v>4552</v>
      </c>
      <c r="C219" t="s">
        <v>74</v>
      </c>
      <c r="D219" t="s">
        <v>74</v>
      </c>
      <c r="E219" t="s">
        <v>74</v>
      </c>
      <c r="F219" t="s">
        <v>4553</v>
      </c>
      <c r="G219" t="s">
        <v>74</v>
      </c>
      <c r="H219" t="s">
        <v>74</v>
      </c>
      <c r="I219" t="s">
        <v>4554</v>
      </c>
      <c r="J219" t="s">
        <v>4555</v>
      </c>
      <c r="K219" t="s">
        <v>74</v>
      </c>
      <c r="L219" t="s">
        <v>74</v>
      </c>
      <c r="M219" t="s">
        <v>78</v>
      </c>
      <c r="N219" t="s">
        <v>112</v>
      </c>
      <c r="O219" t="s">
        <v>74</v>
      </c>
      <c r="P219" t="s">
        <v>74</v>
      </c>
      <c r="Q219" t="s">
        <v>74</v>
      </c>
      <c r="R219" t="s">
        <v>74</v>
      </c>
      <c r="S219" t="s">
        <v>74</v>
      </c>
      <c r="T219" t="s">
        <v>4556</v>
      </c>
      <c r="U219" t="s">
        <v>4557</v>
      </c>
      <c r="V219" t="s">
        <v>4558</v>
      </c>
      <c r="W219" t="s">
        <v>4559</v>
      </c>
      <c r="X219" t="s">
        <v>4560</v>
      </c>
      <c r="Y219" t="s">
        <v>4561</v>
      </c>
      <c r="Z219" t="s">
        <v>4562</v>
      </c>
      <c r="AA219" t="s">
        <v>4563</v>
      </c>
      <c r="AB219" t="s">
        <v>4564</v>
      </c>
      <c r="AC219" t="s">
        <v>4565</v>
      </c>
      <c r="AD219" t="s">
        <v>4566</v>
      </c>
      <c r="AE219" t="s">
        <v>4567</v>
      </c>
      <c r="AF219" t="s">
        <v>74</v>
      </c>
      <c r="AG219">
        <v>69</v>
      </c>
      <c r="AH219">
        <v>1</v>
      </c>
      <c r="AI219">
        <v>1</v>
      </c>
      <c r="AJ219">
        <v>1</v>
      </c>
      <c r="AK219">
        <v>6</v>
      </c>
      <c r="AL219" t="s">
        <v>2092</v>
      </c>
      <c r="AM219" t="s">
        <v>2093</v>
      </c>
      <c r="AN219" t="s">
        <v>2094</v>
      </c>
      <c r="AO219" t="s">
        <v>4568</v>
      </c>
      <c r="AP219" t="s">
        <v>4569</v>
      </c>
      <c r="AQ219" t="s">
        <v>74</v>
      </c>
      <c r="AR219" t="s">
        <v>4570</v>
      </c>
      <c r="AS219" t="s">
        <v>4571</v>
      </c>
      <c r="AT219" t="s">
        <v>1437</v>
      </c>
      <c r="AU219">
        <v>2023</v>
      </c>
      <c r="AV219">
        <v>26</v>
      </c>
      <c r="AW219">
        <v>2</v>
      </c>
      <c r="AX219" t="s">
        <v>74</v>
      </c>
      <c r="AY219" t="s">
        <v>74</v>
      </c>
      <c r="AZ219" t="s">
        <v>74</v>
      </c>
      <c r="BA219" t="s">
        <v>74</v>
      </c>
      <c r="BB219" t="s">
        <v>74</v>
      </c>
      <c r="BC219" t="s">
        <v>74</v>
      </c>
      <c r="BD219" t="s">
        <v>4572</v>
      </c>
      <c r="BE219" t="s">
        <v>4573</v>
      </c>
      <c r="BF219" t="str">
        <f>HYPERLINK("http://dx.doi.org/10.1111/avsc.12721","http://dx.doi.org/10.1111/avsc.12721")</f>
        <v>http://dx.doi.org/10.1111/avsc.12721</v>
      </c>
      <c r="BG219" t="s">
        <v>74</v>
      </c>
      <c r="BH219" t="s">
        <v>74</v>
      </c>
      <c r="BI219">
        <v>14</v>
      </c>
      <c r="BJ219" t="s">
        <v>4574</v>
      </c>
      <c r="BK219" t="s">
        <v>103</v>
      </c>
      <c r="BL219" t="s">
        <v>4575</v>
      </c>
      <c r="BM219" t="s">
        <v>4576</v>
      </c>
      <c r="BN219" t="s">
        <v>74</v>
      </c>
      <c r="BO219" t="s">
        <v>74</v>
      </c>
      <c r="BP219" t="s">
        <v>74</v>
      </c>
      <c r="BQ219" t="s">
        <v>74</v>
      </c>
      <c r="BR219" t="s">
        <v>106</v>
      </c>
      <c r="BS219" t="s">
        <v>4577</v>
      </c>
      <c r="BT219" t="str">
        <f>HYPERLINK("https%3A%2F%2Fwww.webofscience.com%2Fwos%2Fwoscc%2Ffull-record%2FWOS:000969126500001","View Full Record in Web of Science")</f>
        <v>View Full Record in Web of Science</v>
      </c>
    </row>
    <row r="220" spans="1:72" x14ac:dyDescent="0.15">
      <c r="A220" t="s">
        <v>72</v>
      </c>
      <c r="B220" t="s">
        <v>4578</v>
      </c>
      <c r="C220" t="s">
        <v>74</v>
      </c>
      <c r="D220" t="s">
        <v>74</v>
      </c>
      <c r="E220" t="s">
        <v>74</v>
      </c>
      <c r="F220" t="s">
        <v>4579</v>
      </c>
      <c r="G220" t="s">
        <v>74</v>
      </c>
      <c r="H220" t="s">
        <v>74</v>
      </c>
      <c r="I220" t="s">
        <v>4580</v>
      </c>
      <c r="J220" t="s">
        <v>4581</v>
      </c>
      <c r="K220" t="s">
        <v>74</v>
      </c>
      <c r="L220" t="s">
        <v>74</v>
      </c>
      <c r="M220" t="s">
        <v>78</v>
      </c>
      <c r="N220" t="s">
        <v>112</v>
      </c>
      <c r="O220" t="s">
        <v>74</v>
      </c>
      <c r="P220" t="s">
        <v>74</v>
      </c>
      <c r="Q220" t="s">
        <v>74</v>
      </c>
      <c r="R220" t="s">
        <v>74</v>
      </c>
      <c r="S220" t="s">
        <v>74</v>
      </c>
      <c r="T220" t="s">
        <v>4582</v>
      </c>
      <c r="U220" t="s">
        <v>4583</v>
      </c>
      <c r="V220" t="s">
        <v>4584</v>
      </c>
      <c r="W220" t="s">
        <v>4585</v>
      </c>
      <c r="X220" t="s">
        <v>4586</v>
      </c>
      <c r="Y220" t="s">
        <v>4587</v>
      </c>
      <c r="Z220" t="s">
        <v>4588</v>
      </c>
      <c r="AA220" t="s">
        <v>74</v>
      </c>
      <c r="AB220" t="s">
        <v>74</v>
      </c>
      <c r="AC220" t="s">
        <v>4589</v>
      </c>
      <c r="AD220" t="s">
        <v>4590</v>
      </c>
      <c r="AE220" t="s">
        <v>4591</v>
      </c>
      <c r="AF220" t="s">
        <v>74</v>
      </c>
      <c r="AG220">
        <v>114</v>
      </c>
      <c r="AH220">
        <v>1</v>
      </c>
      <c r="AI220">
        <v>1</v>
      </c>
      <c r="AJ220">
        <v>3</v>
      </c>
      <c r="AK220">
        <v>3</v>
      </c>
      <c r="AL220" t="s">
        <v>225</v>
      </c>
      <c r="AM220" t="s">
        <v>226</v>
      </c>
      <c r="AN220" t="s">
        <v>227</v>
      </c>
      <c r="AO220" t="s">
        <v>4592</v>
      </c>
      <c r="AP220" t="s">
        <v>4593</v>
      </c>
      <c r="AQ220" t="s">
        <v>74</v>
      </c>
      <c r="AR220" t="s">
        <v>4594</v>
      </c>
      <c r="AS220" t="s">
        <v>4595</v>
      </c>
      <c r="AT220" t="s">
        <v>454</v>
      </c>
      <c r="AU220">
        <v>2023</v>
      </c>
      <c r="AV220">
        <v>250</v>
      </c>
      <c r="AW220" t="s">
        <v>74</v>
      </c>
      <c r="AX220" t="s">
        <v>74</v>
      </c>
      <c r="AY220" t="s">
        <v>74</v>
      </c>
      <c r="AZ220" t="s">
        <v>74</v>
      </c>
      <c r="BA220" t="s">
        <v>74</v>
      </c>
      <c r="BB220" t="s">
        <v>74</v>
      </c>
      <c r="BC220" t="s">
        <v>74</v>
      </c>
      <c r="BD220">
        <v>105635</v>
      </c>
      <c r="BE220" t="s">
        <v>4596</v>
      </c>
      <c r="BF220" t="str">
        <f>HYPERLINK("http://dx.doi.org/10.1016/j.jseaes.2023.105635","http://dx.doi.org/10.1016/j.jseaes.2023.105635")</f>
        <v>http://dx.doi.org/10.1016/j.jseaes.2023.105635</v>
      </c>
      <c r="BG220" t="s">
        <v>74</v>
      </c>
      <c r="BH220" t="s">
        <v>427</v>
      </c>
      <c r="BI220">
        <v>12</v>
      </c>
      <c r="BJ220" t="s">
        <v>261</v>
      </c>
      <c r="BK220" t="s">
        <v>103</v>
      </c>
      <c r="BL220" t="s">
        <v>262</v>
      </c>
      <c r="BM220" t="s">
        <v>4597</v>
      </c>
      <c r="BN220" t="s">
        <v>74</v>
      </c>
      <c r="BO220" t="s">
        <v>74</v>
      </c>
      <c r="BP220" t="s">
        <v>74</v>
      </c>
      <c r="BQ220" t="s">
        <v>74</v>
      </c>
      <c r="BR220" t="s">
        <v>106</v>
      </c>
      <c r="BS220" t="s">
        <v>4598</v>
      </c>
      <c r="BT220" t="str">
        <f>HYPERLINK("https%3A%2F%2Fwww.webofscience.com%2Fwos%2Fwoscc%2Ffull-record%2FWOS:001060919700001","View Full Record in Web of Science")</f>
        <v>View Full Record in Web of Science</v>
      </c>
    </row>
    <row r="221" spans="1:72" x14ac:dyDescent="0.15">
      <c r="A221" t="s">
        <v>72</v>
      </c>
      <c r="B221" t="s">
        <v>4599</v>
      </c>
      <c r="C221" t="s">
        <v>74</v>
      </c>
      <c r="D221" t="s">
        <v>74</v>
      </c>
      <c r="E221" t="s">
        <v>74</v>
      </c>
      <c r="F221" t="s">
        <v>4600</v>
      </c>
      <c r="G221" t="s">
        <v>74</v>
      </c>
      <c r="H221" t="s">
        <v>74</v>
      </c>
      <c r="I221" t="s">
        <v>4601</v>
      </c>
      <c r="J221" t="s">
        <v>4602</v>
      </c>
      <c r="K221" t="s">
        <v>74</v>
      </c>
      <c r="L221" t="s">
        <v>74</v>
      </c>
      <c r="M221" t="s">
        <v>78</v>
      </c>
      <c r="N221" t="s">
        <v>112</v>
      </c>
      <c r="O221" t="s">
        <v>74</v>
      </c>
      <c r="P221" t="s">
        <v>74</v>
      </c>
      <c r="Q221" t="s">
        <v>74</v>
      </c>
      <c r="R221" t="s">
        <v>74</v>
      </c>
      <c r="S221" t="s">
        <v>74</v>
      </c>
      <c r="T221" t="s">
        <v>4603</v>
      </c>
      <c r="U221" t="s">
        <v>4604</v>
      </c>
      <c r="V221" t="s">
        <v>4605</v>
      </c>
      <c r="W221" t="s">
        <v>4606</v>
      </c>
      <c r="X221" t="s">
        <v>4607</v>
      </c>
      <c r="Y221" t="s">
        <v>4608</v>
      </c>
      <c r="Z221" t="s">
        <v>4609</v>
      </c>
      <c r="AA221" t="s">
        <v>74</v>
      </c>
      <c r="AB221" t="s">
        <v>4610</v>
      </c>
      <c r="AC221" t="s">
        <v>4611</v>
      </c>
      <c r="AD221" t="s">
        <v>74</v>
      </c>
      <c r="AE221" t="s">
        <v>4612</v>
      </c>
      <c r="AF221" t="s">
        <v>74</v>
      </c>
      <c r="AG221">
        <v>47</v>
      </c>
      <c r="AH221">
        <v>0</v>
      </c>
      <c r="AI221">
        <v>0</v>
      </c>
      <c r="AJ221">
        <v>1</v>
      </c>
      <c r="AK221">
        <v>1</v>
      </c>
      <c r="AL221" t="s">
        <v>377</v>
      </c>
      <c r="AM221" t="s">
        <v>378</v>
      </c>
      <c r="AN221" t="s">
        <v>379</v>
      </c>
      <c r="AO221" t="s">
        <v>4613</v>
      </c>
      <c r="AP221" t="s">
        <v>4614</v>
      </c>
      <c r="AQ221" t="s">
        <v>74</v>
      </c>
      <c r="AR221" t="s">
        <v>4615</v>
      </c>
      <c r="AS221" t="s">
        <v>4616</v>
      </c>
      <c r="AT221" t="s">
        <v>1437</v>
      </c>
      <c r="AU221">
        <v>2023</v>
      </c>
      <c r="AV221">
        <v>53</v>
      </c>
      <c r="AW221">
        <v>2</v>
      </c>
      <c r="AX221" t="s">
        <v>74</v>
      </c>
      <c r="AY221" t="s">
        <v>74</v>
      </c>
      <c r="AZ221" t="s">
        <v>74</v>
      </c>
      <c r="BA221" t="s">
        <v>74</v>
      </c>
      <c r="BB221" t="s">
        <v>74</v>
      </c>
      <c r="BC221" t="s">
        <v>74</v>
      </c>
      <c r="BD221">
        <v>24</v>
      </c>
      <c r="BE221" t="s">
        <v>4617</v>
      </c>
      <c r="BF221" t="str">
        <f>HYPERLINK("http://dx.doi.org/10.1007/s12526-022-01328-7","http://dx.doi.org/10.1007/s12526-022-01328-7")</f>
        <v>http://dx.doi.org/10.1007/s12526-022-01328-7</v>
      </c>
      <c r="BG221" t="s">
        <v>74</v>
      </c>
      <c r="BH221" t="s">
        <v>74</v>
      </c>
      <c r="BI221">
        <v>16</v>
      </c>
      <c r="BJ221" t="s">
        <v>4618</v>
      </c>
      <c r="BK221" t="s">
        <v>103</v>
      </c>
      <c r="BL221" t="s">
        <v>4619</v>
      </c>
      <c r="BM221" t="s">
        <v>4620</v>
      </c>
      <c r="BN221" t="s">
        <v>74</v>
      </c>
      <c r="BO221" t="s">
        <v>387</v>
      </c>
      <c r="BP221" t="s">
        <v>74</v>
      </c>
      <c r="BQ221" t="s">
        <v>74</v>
      </c>
      <c r="BR221" t="s">
        <v>106</v>
      </c>
      <c r="BS221" t="s">
        <v>4621</v>
      </c>
      <c r="BT221" t="str">
        <f>HYPERLINK("https%3A%2F%2Fwww.webofscience.com%2Fwos%2Fwoscc%2Ffull-record%2FWOS:001013559000002","View Full Record in Web of Science")</f>
        <v>View Full Record in Web of Science</v>
      </c>
    </row>
    <row r="222" spans="1:72" x14ac:dyDescent="0.15">
      <c r="A222" t="s">
        <v>72</v>
      </c>
      <c r="B222" t="s">
        <v>4622</v>
      </c>
      <c r="C222" t="s">
        <v>74</v>
      </c>
      <c r="D222" t="s">
        <v>74</v>
      </c>
      <c r="E222" t="s">
        <v>74</v>
      </c>
      <c r="F222" t="s">
        <v>4623</v>
      </c>
      <c r="G222" t="s">
        <v>74</v>
      </c>
      <c r="H222" t="s">
        <v>74</v>
      </c>
      <c r="I222" t="s">
        <v>4624</v>
      </c>
      <c r="J222" t="s">
        <v>846</v>
      </c>
      <c r="K222" t="s">
        <v>74</v>
      </c>
      <c r="L222" t="s">
        <v>74</v>
      </c>
      <c r="M222" t="s">
        <v>78</v>
      </c>
      <c r="N222" t="s">
        <v>112</v>
      </c>
      <c r="O222" t="s">
        <v>74</v>
      </c>
      <c r="P222" t="s">
        <v>74</v>
      </c>
      <c r="Q222" t="s">
        <v>74</v>
      </c>
      <c r="R222" t="s">
        <v>74</v>
      </c>
      <c r="S222" t="s">
        <v>74</v>
      </c>
      <c r="T222" t="s">
        <v>4625</v>
      </c>
      <c r="U222" t="s">
        <v>4626</v>
      </c>
      <c r="V222" t="s">
        <v>4627</v>
      </c>
      <c r="W222" t="s">
        <v>4628</v>
      </c>
      <c r="X222" t="s">
        <v>4629</v>
      </c>
      <c r="Y222" t="s">
        <v>4630</v>
      </c>
      <c r="Z222" t="s">
        <v>4631</v>
      </c>
      <c r="AA222" t="s">
        <v>74</v>
      </c>
      <c r="AB222" t="s">
        <v>74</v>
      </c>
      <c r="AC222" t="s">
        <v>4632</v>
      </c>
      <c r="AD222" t="s">
        <v>4633</v>
      </c>
      <c r="AE222" t="s">
        <v>4634</v>
      </c>
      <c r="AF222" t="s">
        <v>74</v>
      </c>
      <c r="AG222">
        <v>70</v>
      </c>
      <c r="AH222">
        <v>0</v>
      </c>
      <c r="AI222">
        <v>0</v>
      </c>
      <c r="AJ222">
        <v>5</v>
      </c>
      <c r="AK222">
        <v>7</v>
      </c>
      <c r="AL222" t="s">
        <v>225</v>
      </c>
      <c r="AM222" t="s">
        <v>226</v>
      </c>
      <c r="AN222" t="s">
        <v>227</v>
      </c>
      <c r="AO222" t="s">
        <v>858</v>
      </c>
      <c r="AP222" t="s">
        <v>859</v>
      </c>
      <c r="AQ222" t="s">
        <v>74</v>
      </c>
      <c r="AR222" t="s">
        <v>860</v>
      </c>
      <c r="AS222" t="s">
        <v>861</v>
      </c>
      <c r="AT222" t="s">
        <v>570</v>
      </c>
      <c r="AU222">
        <v>2023</v>
      </c>
      <c r="AV222">
        <v>197</v>
      </c>
      <c r="AW222" t="s">
        <v>74</v>
      </c>
      <c r="AX222" t="s">
        <v>74</v>
      </c>
      <c r="AY222" t="s">
        <v>74</v>
      </c>
      <c r="AZ222" t="s">
        <v>74</v>
      </c>
      <c r="BA222" t="s">
        <v>74</v>
      </c>
      <c r="BB222" t="s">
        <v>74</v>
      </c>
      <c r="BC222" t="s">
        <v>74</v>
      </c>
      <c r="BD222">
        <v>104027</v>
      </c>
      <c r="BE222" t="s">
        <v>4635</v>
      </c>
      <c r="BF222" t="str">
        <f>HYPERLINK("http://dx.doi.org/10.1016/j.dsr.2023.104027","http://dx.doi.org/10.1016/j.dsr.2023.104027")</f>
        <v>http://dx.doi.org/10.1016/j.dsr.2023.104027</v>
      </c>
      <c r="BG222" t="s">
        <v>74</v>
      </c>
      <c r="BH222" t="s">
        <v>427</v>
      </c>
      <c r="BI222">
        <v>9</v>
      </c>
      <c r="BJ222" t="s">
        <v>863</v>
      </c>
      <c r="BK222" t="s">
        <v>103</v>
      </c>
      <c r="BL222" t="s">
        <v>863</v>
      </c>
      <c r="BM222" t="s">
        <v>4636</v>
      </c>
      <c r="BN222" t="s">
        <v>74</v>
      </c>
      <c r="BO222" t="s">
        <v>74</v>
      </c>
      <c r="BP222" t="s">
        <v>74</v>
      </c>
      <c r="BQ222" t="s">
        <v>74</v>
      </c>
      <c r="BR222" t="s">
        <v>106</v>
      </c>
      <c r="BS222" t="s">
        <v>4637</v>
      </c>
      <c r="BT222" t="str">
        <f>HYPERLINK("https%3A%2F%2Fwww.webofscience.com%2Fwos%2Fwoscc%2Ffull-record%2FWOS:001055249400001","View Full Record in Web of Science")</f>
        <v>View Full Record in Web of Science</v>
      </c>
    </row>
    <row r="223" spans="1:72" x14ac:dyDescent="0.15">
      <c r="A223" t="s">
        <v>72</v>
      </c>
      <c r="B223" t="s">
        <v>4638</v>
      </c>
      <c r="C223" t="s">
        <v>74</v>
      </c>
      <c r="D223" t="s">
        <v>74</v>
      </c>
      <c r="E223" t="s">
        <v>74</v>
      </c>
      <c r="F223" t="s">
        <v>4639</v>
      </c>
      <c r="G223" t="s">
        <v>74</v>
      </c>
      <c r="H223" t="s">
        <v>74</v>
      </c>
      <c r="I223" t="s">
        <v>4640</v>
      </c>
      <c r="J223" t="s">
        <v>4641</v>
      </c>
      <c r="K223" t="s">
        <v>74</v>
      </c>
      <c r="L223" t="s">
        <v>74</v>
      </c>
      <c r="M223" t="s">
        <v>78</v>
      </c>
      <c r="N223" t="s">
        <v>112</v>
      </c>
      <c r="O223" t="s">
        <v>74</v>
      </c>
      <c r="P223" t="s">
        <v>74</v>
      </c>
      <c r="Q223" t="s">
        <v>74</v>
      </c>
      <c r="R223" t="s">
        <v>74</v>
      </c>
      <c r="S223" t="s">
        <v>74</v>
      </c>
      <c r="T223" t="s">
        <v>4642</v>
      </c>
      <c r="U223" t="s">
        <v>4643</v>
      </c>
      <c r="V223" t="s">
        <v>4644</v>
      </c>
      <c r="W223" t="s">
        <v>4645</v>
      </c>
      <c r="X223" t="s">
        <v>2036</v>
      </c>
      <c r="Y223" t="s">
        <v>4646</v>
      </c>
      <c r="Z223" t="s">
        <v>4647</v>
      </c>
      <c r="AA223" t="s">
        <v>4648</v>
      </c>
      <c r="AB223" t="s">
        <v>74</v>
      </c>
      <c r="AC223" t="s">
        <v>74</v>
      </c>
      <c r="AD223" t="s">
        <v>74</v>
      </c>
      <c r="AE223" t="s">
        <v>74</v>
      </c>
      <c r="AF223" t="s">
        <v>74</v>
      </c>
      <c r="AG223">
        <v>178</v>
      </c>
      <c r="AH223">
        <v>0</v>
      </c>
      <c r="AI223">
        <v>0</v>
      </c>
      <c r="AJ223">
        <v>2</v>
      </c>
      <c r="AK223">
        <v>3</v>
      </c>
      <c r="AL223" t="s">
        <v>4649</v>
      </c>
      <c r="AM223" t="s">
        <v>4650</v>
      </c>
      <c r="AN223" t="s">
        <v>4651</v>
      </c>
      <c r="AO223" t="s">
        <v>4652</v>
      </c>
      <c r="AP223" t="s">
        <v>4653</v>
      </c>
      <c r="AQ223" t="s">
        <v>74</v>
      </c>
      <c r="AR223" t="s">
        <v>4654</v>
      </c>
      <c r="AS223" t="s">
        <v>4655</v>
      </c>
      <c r="AT223" t="s">
        <v>1437</v>
      </c>
      <c r="AU223">
        <v>2023</v>
      </c>
      <c r="AV223">
        <v>51</v>
      </c>
      <c r="AW223">
        <v>1</v>
      </c>
      <c r="AX223" t="s">
        <v>74</v>
      </c>
      <c r="AY223" t="s">
        <v>74</v>
      </c>
      <c r="AZ223" t="s">
        <v>74</v>
      </c>
      <c r="BA223" t="s">
        <v>74</v>
      </c>
      <c r="BB223">
        <v>11</v>
      </c>
      <c r="BC223">
        <v>22</v>
      </c>
      <c r="BD223" t="s">
        <v>74</v>
      </c>
      <c r="BE223" t="s">
        <v>74</v>
      </c>
      <c r="BF223" t="s">
        <v>74</v>
      </c>
      <c r="BG223" t="s">
        <v>74</v>
      </c>
      <c r="BH223" t="s">
        <v>74</v>
      </c>
      <c r="BI223">
        <v>12</v>
      </c>
      <c r="BJ223" t="s">
        <v>4656</v>
      </c>
      <c r="BK223" t="s">
        <v>103</v>
      </c>
      <c r="BL223" t="s">
        <v>4657</v>
      </c>
      <c r="BM223" t="s">
        <v>4658</v>
      </c>
      <c r="BN223" t="s">
        <v>74</v>
      </c>
      <c r="BO223" t="s">
        <v>74</v>
      </c>
      <c r="BP223" t="s">
        <v>74</v>
      </c>
      <c r="BQ223" t="s">
        <v>74</v>
      </c>
      <c r="BR223" t="s">
        <v>106</v>
      </c>
      <c r="BS223" t="s">
        <v>4659</v>
      </c>
      <c r="BT223" t="str">
        <f>HYPERLINK("https%3A%2F%2Fwww.webofscience.com%2Fwos%2Fwoscc%2Ffull-record%2FWOS:000999908700002","View Full Record in Web of Science")</f>
        <v>View Full Record in Web of Science</v>
      </c>
    </row>
    <row r="224" spans="1:72" x14ac:dyDescent="0.15">
      <c r="A224" t="s">
        <v>72</v>
      </c>
      <c r="B224" t="s">
        <v>4660</v>
      </c>
      <c r="C224" t="s">
        <v>74</v>
      </c>
      <c r="D224" t="s">
        <v>74</v>
      </c>
      <c r="E224" t="s">
        <v>74</v>
      </c>
      <c r="F224" t="s">
        <v>4661</v>
      </c>
      <c r="G224" t="s">
        <v>74</v>
      </c>
      <c r="H224" t="s">
        <v>74</v>
      </c>
      <c r="I224" t="s">
        <v>4662</v>
      </c>
      <c r="J224" t="s">
        <v>4641</v>
      </c>
      <c r="K224" t="s">
        <v>74</v>
      </c>
      <c r="L224" t="s">
        <v>74</v>
      </c>
      <c r="M224" t="s">
        <v>78</v>
      </c>
      <c r="N224" t="s">
        <v>112</v>
      </c>
      <c r="O224" t="s">
        <v>74</v>
      </c>
      <c r="P224" t="s">
        <v>74</v>
      </c>
      <c r="Q224" t="s">
        <v>74</v>
      </c>
      <c r="R224" t="s">
        <v>74</v>
      </c>
      <c r="S224" t="s">
        <v>74</v>
      </c>
      <c r="T224" t="s">
        <v>4663</v>
      </c>
      <c r="U224" t="s">
        <v>4664</v>
      </c>
      <c r="V224" t="s">
        <v>4665</v>
      </c>
      <c r="W224" t="s">
        <v>4666</v>
      </c>
      <c r="X224" t="s">
        <v>4667</v>
      </c>
      <c r="Y224" t="s">
        <v>4668</v>
      </c>
      <c r="Z224" t="s">
        <v>4669</v>
      </c>
      <c r="AA224" t="s">
        <v>74</v>
      </c>
      <c r="AB224" t="s">
        <v>74</v>
      </c>
      <c r="AC224" t="s">
        <v>74</v>
      </c>
      <c r="AD224" t="s">
        <v>74</v>
      </c>
      <c r="AE224" t="s">
        <v>74</v>
      </c>
      <c r="AF224" t="s">
        <v>74</v>
      </c>
      <c r="AG224">
        <v>36</v>
      </c>
      <c r="AH224">
        <v>0</v>
      </c>
      <c r="AI224">
        <v>0</v>
      </c>
      <c r="AJ224">
        <v>1</v>
      </c>
      <c r="AK224">
        <v>2</v>
      </c>
      <c r="AL224" t="s">
        <v>4649</v>
      </c>
      <c r="AM224" t="s">
        <v>4650</v>
      </c>
      <c r="AN224" t="s">
        <v>4651</v>
      </c>
      <c r="AO224" t="s">
        <v>4652</v>
      </c>
      <c r="AP224" t="s">
        <v>4653</v>
      </c>
      <c r="AQ224" t="s">
        <v>74</v>
      </c>
      <c r="AR224" t="s">
        <v>4654</v>
      </c>
      <c r="AS224" t="s">
        <v>4655</v>
      </c>
      <c r="AT224" t="s">
        <v>1437</v>
      </c>
      <c r="AU224">
        <v>2023</v>
      </c>
      <c r="AV224">
        <v>51</v>
      </c>
      <c r="AW224">
        <v>1</v>
      </c>
      <c r="AX224" t="s">
        <v>74</v>
      </c>
      <c r="AY224" t="s">
        <v>74</v>
      </c>
      <c r="AZ224" t="s">
        <v>74</v>
      </c>
      <c r="BA224" t="s">
        <v>74</v>
      </c>
      <c r="BB224">
        <v>137</v>
      </c>
      <c r="BC224">
        <v>140</v>
      </c>
      <c r="BD224" t="s">
        <v>74</v>
      </c>
      <c r="BE224" t="s">
        <v>74</v>
      </c>
      <c r="BF224" t="s">
        <v>74</v>
      </c>
      <c r="BG224" t="s">
        <v>74</v>
      </c>
      <c r="BH224" t="s">
        <v>74</v>
      </c>
      <c r="BI224">
        <v>4</v>
      </c>
      <c r="BJ224" t="s">
        <v>4656</v>
      </c>
      <c r="BK224" t="s">
        <v>103</v>
      </c>
      <c r="BL224" t="s">
        <v>4657</v>
      </c>
      <c r="BM224" t="s">
        <v>4658</v>
      </c>
      <c r="BN224" t="s">
        <v>74</v>
      </c>
      <c r="BO224" t="s">
        <v>74</v>
      </c>
      <c r="BP224" t="s">
        <v>74</v>
      </c>
      <c r="BQ224" t="s">
        <v>74</v>
      </c>
      <c r="BR224" t="s">
        <v>106</v>
      </c>
      <c r="BS224" t="s">
        <v>4670</v>
      </c>
      <c r="BT224" t="str">
        <f>HYPERLINK("https%3A%2F%2Fwww.webofscience.com%2Fwos%2Fwoscc%2Ffull-record%2FWOS:000999908700018","View Full Record in Web of Science")</f>
        <v>View Full Record in Web of Science</v>
      </c>
    </row>
    <row r="225" spans="1:72" x14ac:dyDescent="0.15">
      <c r="A225" t="s">
        <v>72</v>
      </c>
      <c r="B225" t="s">
        <v>4671</v>
      </c>
      <c r="C225" t="s">
        <v>74</v>
      </c>
      <c r="D225" t="s">
        <v>74</v>
      </c>
      <c r="E225" t="s">
        <v>74</v>
      </c>
      <c r="F225" t="s">
        <v>4672</v>
      </c>
      <c r="G225" t="s">
        <v>74</v>
      </c>
      <c r="H225" t="s">
        <v>74</v>
      </c>
      <c r="I225" t="s">
        <v>4673</v>
      </c>
      <c r="J225" t="s">
        <v>292</v>
      </c>
      <c r="K225" t="s">
        <v>74</v>
      </c>
      <c r="L225" t="s">
        <v>74</v>
      </c>
      <c r="M225" t="s">
        <v>78</v>
      </c>
      <c r="N225" t="s">
        <v>112</v>
      </c>
      <c r="O225" t="s">
        <v>74</v>
      </c>
      <c r="P225" t="s">
        <v>74</v>
      </c>
      <c r="Q225" t="s">
        <v>74</v>
      </c>
      <c r="R225" t="s">
        <v>74</v>
      </c>
      <c r="S225" t="s">
        <v>74</v>
      </c>
      <c r="T225" t="s">
        <v>4674</v>
      </c>
      <c r="U225" t="s">
        <v>4675</v>
      </c>
      <c r="V225" t="s">
        <v>4676</v>
      </c>
      <c r="W225" t="s">
        <v>4677</v>
      </c>
      <c r="X225" t="s">
        <v>4678</v>
      </c>
      <c r="Y225" t="s">
        <v>4679</v>
      </c>
      <c r="Z225" t="s">
        <v>4680</v>
      </c>
      <c r="AA225" t="s">
        <v>4681</v>
      </c>
      <c r="AB225" t="s">
        <v>4682</v>
      </c>
      <c r="AC225" t="s">
        <v>4683</v>
      </c>
      <c r="AD225" t="s">
        <v>4684</v>
      </c>
      <c r="AE225" t="s">
        <v>4685</v>
      </c>
      <c r="AF225" t="s">
        <v>74</v>
      </c>
      <c r="AG225">
        <v>70</v>
      </c>
      <c r="AH225">
        <v>2</v>
      </c>
      <c r="AI225">
        <v>2</v>
      </c>
      <c r="AJ225">
        <v>1</v>
      </c>
      <c r="AK225">
        <v>5</v>
      </c>
      <c r="AL225" t="s">
        <v>305</v>
      </c>
      <c r="AM225" t="s">
        <v>306</v>
      </c>
      <c r="AN225" t="s">
        <v>307</v>
      </c>
      <c r="AO225" t="s">
        <v>308</v>
      </c>
      <c r="AP225" t="s">
        <v>309</v>
      </c>
      <c r="AQ225" t="s">
        <v>74</v>
      </c>
      <c r="AR225" t="s">
        <v>292</v>
      </c>
      <c r="AS225" t="s">
        <v>310</v>
      </c>
      <c r="AT225" t="s">
        <v>1437</v>
      </c>
      <c r="AU225">
        <v>2023</v>
      </c>
      <c r="AV225">
        <v>42</v>
      </c>
      <c r="AW225">
        <v>4</v>
      </c>
      <c r="AX225" t="s">
        <v>74</v>
      </c>
      <c r="AY225" t="s">
        <v>74</v>
      </c>
      <c r="AZ225" t="s">
        <v>74</v>
      </c>
      <c r="BA225" t="s">
        <v>74</v>
      </c>
      <c r="BB225" t="s">
        <v>74</v>
      </c>
      <c r="BC225" t="s">
        <v>74</v>
      </c>
      <c r="BD225" t="s">
        <v>4686</v>
      </c>
      <c r="BE225" t="s">
        <v>4687</v>
      </c>
      <c r="BF225" t="str">
        <f>HYPERLINK("http://dx.doi.org/10.1029/2022TC007602","http://dx.doi.org/10.1029/2022TC007602")</f>
        <v>http://dx.doi.org/10.1029/2022TC007602</v>
      </c>
      <c r="BG225" t="s">
        <v>74</v>
      </c>
      <c r="BH225" t="s">
        <v>74</v>
      </c>
      <c r="BI225">
        <v>20</v>
      </c>
      <c r="BJ225" t="s">
        <v>313</v>
      </c>
      <c r="BK225" t="s">
        <v>103</v>
      </c>
      <c r="BL225" t="s">
        <v>313</v>
      </c>
      <c r="BM225" t="s">
        <v>4688</v>
      </c>
      <c r="BN225" t="s">
        <v>74</v>
      </c>
      <c r="BO225" t="s">
        <v>1748</v>
      </c>
      <c r="BP225" t="s">
        <v>74</v>
      </c>
      <c r="BQ225" t="s">
        <v>74</v>
      </c>
      <c r="BR225" t="s">
        <v>106</v>
      </c>
      <c r="BS225" t="s">
        <v>4689</v>
      </c>
      <c r="BT225" t="str">
        <f>HYPERLINK("https%3A%2F%2Fwww.webofscience.com%2Fwos%2Fwoscc%2Ffull-record%2FWOS:000973049500001","View Full Record in Web of Science")</f>
        <v>View Full Record in Web of Science</v>
      </c>
    </row>
    <row r="226" spans="1:72" x14ac:dyDescent="0.15">
      <c r="A226" t="s">
        <v>72</v>
      </c>
      <c r="B226" t="s">
        <v>4690</v>
      </c>
      <c r="C226" t="s">
        <v>74</v>
      </c>
      <c r="D226" t="s">
        <v>74</v>
      </c>
      <c r="E226" t="s">
        <v>74</v>
      </c>
      <c r="F226" t="s">
        <v>4691</v>
      </c>
      <c r="G226" t="s">
        <v>74</v>
      </c>
      <c r="H226" t="s">
        <v>74</v>
      </c>
      <c r="I226" t="s">
        <v>4692</v>
      </c>
      <c r="J226" t="s">
        <v>4693</v>
      </c>
      <c r="K226" t="s">
        <v>74</v>
      </c>
      <c r="L226" t="s">
        <v>74</v>
      </c>
      <c r="M226" t="s">
        <v>78</v>
      </c>
      <c r="N226" t="s">
        <v>112</v>
      </c>
      <c r="O226" t="s">
        <v>74</v>
      </c>
      <c r="P226" t="s">
        <v>74</v>
      </c>
      <c r="Q226" t="s">
        <v>74</v>
      </c>
      <c r="R226" t="s">
        <v>74</v>
      </c>
      <c r="S226" t="s">
        <v>74</v>
      </c>
      <c r="T226" t="s">
        <v>4694</v>
      </c>
      <c r="U226" t="s">
        <v>4695</v>
      </c>
      <c r="V226" t="s">
        <v>4696</v>
      </c>
      <c r="W226" t="s">
        <v>4697</v>
      </c>
      <c r="X226" t="s">
        <v>4698</v>
      </c>
      <c r="Y226" t="s">
        <v>4699</v>
      </c>
      <c r="Z226" t="s">
        <v>4700</v>
      </c>
      <c r="AA226" t="s">
        <v>74</v>
      </c>
      <c r="AB226" t="s">
        <v>4701</v>
      </c>
      <c r="AC226" t="s">
        <v>4702</v>
      </c>
      <c r="AD226" t="s">
        <v>3117</v>
      </c>
      <c r="AE226" t="s">
        <v>4703</v>
      </c>
      <c r="AF226" t="s">
        <v>74</v>
      </c>
      <c r="AG226">
        <v>116</v>
      </c>
      <c r="AH226">
        <v>0</v>
      </c>
      <c r="AI226">
        <v>1</v>
      </c>
      <c r="AJ226">
        <v>2</v>
      </c>
      <c r="AK226">
        <v>4</v>
      </c>
      <c r="AL226" t="s">
        <v>305</v>
      </c>
      <c r="AM226" t="s">
        <v>306</v>
      </c>
      <c r="AN226" t="s">
        <v>307</v>
      </c>
      <c r="AO226" t="s">
        <v>74</v>
      </c>
      <c r="AP226" t="s">
        <v>4704</v>
      </c>
      <c r="AQ226" t="s">
        <v>74</v>
      </c>
      <c r="AR226" t="s">
        <v>4705</v>
      </c>
      <c r="AS226" t="s">
        <v>4706</v>
      </c>
      <c r="AT226" t="s">
        <v>1437</v>
      </c>
      <c r="AU226">
        <v>2023</v>
      </c>
      <c r="AV226">
        <v>24</v>
      </c>
      <c r="AW226">
        <v>4</v>
      </c>
      <c r="AX226" t="s">
        <v>74</v>
      </c>
      <c r="AY226" t="s">
        <v>74</v>
      </c>
      <c r="AZ226" t="s">
        <v>74</v>
      </c>
      <c r="BA226" t="s">
        <v>74</v>
      </c>
      <c r="BB226" t="s">
        <v>74</v>
      </c>
      <c r="BC226" t="s">
        <v>74</v>
      </c>
      <c r="BD226" t="s">
        <v>4707</v>
      </c>
      <c r="BE226" t="s">
        <v>4708</v>
      </c>
      <c r="BF226" t="str">
        <f>HYPERLINK("http://dx.doi.org/10.1029/2022GC010746","http://dx.doi.org/10.1029/2022GC010746")</f>
        <v>http://dx.doi.org/10.1029/2022GC010746</v>
      </c>
      <c r="BG226" t="s">
        <v>74</v>
      </c>
      <c r="BH226" t="s">
        <v>74</v>
      </c>
      <c r="BI226">
        <v>15</v>
      </c>
      <c r="BJ226" t="s">
        <v>313</v>
      </c>
      <c r="BK226" t="s">
        <v>103</v>
      </c>
      <c r="BL226" t="s">
        <v>313</v>
      </c>
      <c r="BM226" t="s">
        <v>4709</v>
      </c>
      <c r="BN226" t="s">
        <v>74</v>
      </c>
      <c r="BO226" t="s">
        <v>359</v>
      </c>
      <c r="BP226" t="s">
        <v>74</v>
      </c>
      <c r="BQ226" t="s">
        <v>74</v>
      </c>
      <c r="BR226" t="s">
        <v>106</v>
      </c>
      <c r="BS226" t="s">
        <v>4710</v>
      </c>
      <c r="BT226" t="str">
        <f>HYPERLINK("https%3A%2F%2Fwww.webofscience.com%2Fwos%2Fwoscc%2Ffull-record%2FWOS:000960727700001","View Full Record in Web of Science")</f>
        <v>View Full Record in Web of Science</v>
      </c>
    </row>
    <row r="227" spans="1:72" x14ac:dyDescent="0.15">
      <c r="A227" t="s">
        <v>72</v>
      </c>
      <c r="B227" t="s">
        <v>4711</v>
      </c>
      <c r="C227" t="s">
        <v>74</v>
      </c>
      <c r="D227" t="s">
        <v>74</v>
      </c>
      <c r="E227" t="s">
        <v>74</v>
      </c>
      <c r="F227" t="s">
        <v>4712</v>
      </c>
      <c r="G227" t="s">
        <v>74</v>
      </c>
      <c r="H227" t="s">
        <v>74</v>
      </c>
      <c r="I227" t="s">
        <v>4713</v>
      </c>
      <c r="J227" t="s">
        <v>4714</v>
      </c>
      <c r="K227" t="s">
        <v>74</v>
      </c>
      <c r="L227" t="s">
        <v>74</v>
      </c>
      <c r="M227" t="s">
        <v>78</v>
      </c>
      <c r="N227" t="s">
        <v>112</v>
      </c>
      <c r="O227" t="s">
        <v>74</v>
      </c>
      <c r="P227" t="s">
        <v>74</v>
      </c>
      <c r="Q227" t="s">
        <v>74</v>
      </c>
      <c r="R227" t="s">
        <v>74</v>
      </c>
      <c r="S227" t="s">
        <v>74</v>
      </c>
      <c r="T227" t="s">
        <v>4715</v>
      </c>
      <c r="U227" t="s">
        <v>4716</v>
      </c>
      <c r="V227" t="s">
        <v>4717</v>
      </c>
      <c r="W227" t="s">
        <v>4718</v>
      </c>
      <c r="X227" t="s">
        <v>4719</v>
      </c>
      <c r="Y227" t="s">
        <v>4720</v>
      </c>
      <c r="Z227" t="s">
        <v>4721</v>
      </c>
      <c r="AA227" t="s">
        <v>4722</v>
      </c>
      <c r="AB227" t="s">
        <v>4723</v>
      </c>
      <c r="AC227" t="s">
        <v>4724</v>
      </c>
      <c r="AD227" t="s">
        <v>4725</v>
      </c>
      <c r="AE227" t="s">
        <v>4726</v>
      </c>
      <c r="AF227" t="s">
        <v>74</v>
      </c>
      <c r="AG227">
        <v>95</v>
      </c>
      <c r="AH227">
        <v>1</v>
      </c>
      <c r="AI227">
        <v>1</v>
      </c>
      <c r="AJ227">
        <v>3</v>
      </c>
      <c r="AK227">
        <v>12</v>
      </c>
      <c r="AL227" t="s">
        <v>305</v>
      </c>
      <c r="AM227" t="s">
        <v>306</v>
      </c>
      <c r="AN227" t="s">
        <v>307</v>
      </c>
      <c r="AO227" t="s">
        <v>4727</v>
      </c>
      <c r="AP227" t="s">
        <v>4728</v>
      </c>
      <c r="AQ227" t="s">
        <v>74</v>
      </c>
      <c r="AR227" t="s">
        <v>4729</v>
      </c>
      <c r="AS227" t="s">
        <v>4730</v>
      </c>
      <c r="AT227" t="s">
        <v>1437</v>
      </c>
      <c r="AU227">
        <v>2023</v>
      </c>
      <c r="AV227">
        <v>128</v>
      </c>
      <c r="AW227">
        <v>4</v>
      </c>
      <c r="AX227" t="s">
        <v>74</v>
      </c>
      <c r="AY227" t="s">
        <v>74</v>
      </c>
      <c r="AZ227" t="s">
        <v>74</v>
      </c>
      <c r="BA227" t="s">
        <v>74</v>
      </c>
      <c r="BB227" t="s">
        <v>74</v>
      </c>
      <c r="BC227" t="s">
        <v>74</v>
      </c>
      <c r="BD227" t="s">
        <v>4731</v>
      </c>
      <c r="BE227" t="s">
        <v>4732</v>
      </c>
      <c r="BF227" t="str">
        <f>HYPERLINK("http://dx.doi.org/10.1029/2022JG007252","http://dx.doi.org/10.1029/2022JG007252")</f>
        <v>http://dx.doi.org/10.1029/2022JG007252</v>
      </c>
      <c r="BG227" t="s">
        <v>74</v>
      </c>
      <c r="BH227" t="s">
        <v>74</v>
      </c>
      <c r="BI227">
        <v>20</v>
      </c>
      <c r="BJ227" t="s">
        <v>1363</v>
      </c>
      <c r="BK227" t="s">
        <v>103</v>
      </c>
      <c r="BL227" t="s">
        <v>1364</v>
      </c>
      <c r="BM227" t="s">
        <v>4733</v>
      </c>
      <c r="BN227" t="s">
        <v>74</v>
      </c>
      <c r="BO227" t="s">
        <v>430</v>
      </c>
      <c r="BP227" t="s">
        <v>74</v>
      </c>
      <c r="BQ227" t="s">
        <v>74</v>
      </c>
      <c r="BR227" t="s">
        <v>106</v>
      </c>
      <c r="BS227" t="s">
        <v>4734</v>
      </c>
      <c r="BT227" t="str">
        <f>HYPERLINK("https%3A%2F%2Fwww.webofscience.com%2Fwos%2Fwoscc%2Ffull-record%2FWOS:000971622600001","View Full Record in Web of Science")</f>
        <v>View Full Record in Web of Science</v>
      </c>
    </row>
    <row r="228" spans="1:72" x14ac:dyDescent="0.15">
      <c r="A228" t="s">
        <v>72</v>
      </c>
      <c r="B228" t="s">
        <v>4735</v>
      </c>
      <c r="C228" t="s">
        <v>74</v>
      </c>
      <c r="D228" t="s">
        <v>74</v>
      </c>
      <c r="E228" t="s">
        <v>74</v>
      </c>
      <c r="F228" t="s">
        <v>4736</v>
      </c>
      <c r="G228" t="s">
        <v>74</v>
      </c>
      <c r="H228" t="s">
        <v>74</v>
      </c>
      <c r="I228" t="s">
        <v>4737</v>
      </c>
      <c r="J228" t="s">
        <v>4714</v>
      </c>
      <c r="K228" t="s">
        <v>74</v>
      </c>
      <c r="L228" t="s">
        <v>74</v>
      </c>
      <c r="M228" t="s">
        <v>78</v>
      </c>
      <c r="N228" t="s">
        <v>112</v>
      </c>
      <c r="O228" t="s">
        <v>74</v>
      </c>
      <c r="P228" t="s">
        <v>74</v>
      </c>
      <c r="Q228" t="s">
        <v>74</v>
      </c>
      <c r="R228" t="s">
        <v>74</v>
      </c>
      <c r="S228" t="s">
        <v>74</v>
      </c>
      <c r="T228" t="s">
        <v>4738</v>
      </c>
      <c r="U228" t="s">
        <v>4739</v>
      </c>
      <c r="V228" t="s">
        <v>4740</v>
      </c>
      <c r="W228" t="s">
        <v>4741</v>
      </c>
      <c r="X228" t="s">
        <v>4742</v>
      </c>
      <c r="Y228" t="s">
        <v>4743</v>
      </c>
      <c r="Z228" t="s">
        <v>4744</v>
      </c>
      <c r="AA228" t="s">
        <v>4745</v>
      </c>
      <c r="AB228" t="s">
        <v>4746</v>
      </c>
      <c r="AC228" t="s">
        <v>4747</v>
      </c>
      <c r="AD228" t="s">
        <v>4748</v>
      </c>
      <c r="AE228" t="s">
        <v>4749</v>
      </c>
      <c r="AF228" t="s">
        <v>74</v>
      </c>
      <c r="AG228">
        <v>69</v>
      </c>
      <c r="AH228">
        <v>0</v>
      </c>
      <c r="AI228">
        <v>0</v>
      </c>
      <c r="AJ228">
        <v>1</v>
      </c>
      <c r="AK228">
        <v>1</v>
      </c>
      <c r="AL228" t="s">
        <v>305</v>
      </c>
      <c r="AM228" t="s">
        <v>306</v>
      </c>
      <c r="AN228" t="s">
        <v>307</v>
      </c>
      <c r="AO228" t="s">
        <v>4727</v>
      </c>
      <c r="AP228" t="s">
        <v>4728</v>
      </c>
      <c r="AQ228" t="s">
        <v>74</v>
      </c>
      <c r="AR228" t="s">
        <v>4729</v>
      </c>
      <c r="AS228" t="s">
        <v>4730</v>
      </c>
      <c r="AT228" t="s">
        <v>1437</v>
      </c>
      <c r="AU228">
        <v>2023</v>
      </c>
      <c r="AV228">
        <v>128</v>
      </c>
      <c r="AW228">
        <v>4</v>
      </c>
      <c r="AX228" t="s">
        <v>74</v>
      </c>
      <c r="AY228" t="s">
        <v>74</v>
      </c>
      <c r="AZ228" t="s">
        <v>74</v>
      </c>
      <c r="BA228" t="s">
        <v>74</v>
      </c>
      <c r="BB228" t="s">
        <v>74</v>
      </c>
      <c r="BC228" t="s">
        <v>74</v>
      </c>
      <c r="BD228" t="s">
        <v>4750</v>
      </c>
      <c r="BE228" t="s">
        <v>4751</v>
      </c>
      <c r="BF228" t="str">
        <f>HYPERLINK("http://dx.doi.org/10.1029/2023JG007454","http://dx.doi.org/10.1029/2023JG007454")</f>
        <v>http://dx.doi.org/10.1029/2023JG007454</v>
      </c>
      <c r="BG228" t="s">
        <v>74</v>
      </c>
      <c r="BH228" t="s">
        <v>74</v>
      </c>
      <c r="BI228">
        <v>20</v>
      </c>
      <c r="BJ228" t="s">
        <v>1363</v>
      </c>
      <c r="BK228" t="s">
        <v>103</v>
      </c>
      <c r="BL228" t="s">
        <v>1364</v>
      </c>
      <c r="BM228" t="s">
        <v>4752</v>
      </c>
      <c r="BN228" t="s">
        <v>74</v>
      </c>
      <c r="BO228" t="s">
        <v>387</v>
      </c>
      <c r="BP228" t="s">
        <v>74</v>
      </c>
      <c r="BQ228" t="s">
        <v>74</v>
      </c>
      <c r="BR228" t="s">
        <v>106</v>
      </c>
      <c r="BS228" t="s">
        <v>4753</v>
      </c>
      <c r="BT228" t="str">
        <f>HYPERLINK("https%3A%2F%2Fwww.webofscience.com%2Fwos%2Fwoscc%2Ffull-record%2FWOS:001000227300001","View Full Record in Web of Science")</f>
        <v>View Full Record in Web of Science</v>
      </c>
    </row>
    <row r="229" spans="1:72" x14ac:dyDescent="0.15">
      <c r="A229" t="s">
        <v>72</v>
      </c>
      <c r="B229" t="s">
        <v>4754</v>
      </c>
      <c r="C229" t="s">
        <v>74</v>
      </c>
      <c r="D229" t="s">
        <v>74</v>
      </c>
      <c r="E229" t="s">
        <v>74</v>
      </c>
      <c r="F229" t="s">
        <v>4755</v>
      </c>
      <c r="G229" t="s">
        <v>74</v>
      </c>
      <c r="H229" t="s">
        <v>74</v>
      </c>
      <c r="I229" t="s">
        <v>4756</v>
      </c>
      <c r="J229" t="s">
        <v>4757</v>
      </c>
      <c r="K229" t="s">
        <v>74</v>
      </c>
      <c r="L229" t="s">
        <v>74</v>
      </c>
      <c r="M229" t="s">
        <v>78</v>
      </c>
      <c r="N229" t="s">
        <v>112</v>
      </c>
      <c r="O229" t="s">
        <v>74</v>
      </c>
      <c r="P229" t="s">
        <v>74</v>
      </c>
      <c r="Q229" t="s">
        <v>74</v>
      </c>
      <c r="R229" t="s">
        <v>74</v>
      </c>
      <c r="S229" t="s">
        <v>74</v>
      </c>
      <c r="T229" t="s">
        <v>74</v>
      </c>
      <c r="U229" t="s">
        <v>4758</v>
      </c>
      <c r="V229" t="s">
        <v>4759</v>
      </c>
      <c r="W229" t="s">
        <v>4760</v>
      </c>
      <c r="X229" t="s">
        <v>4761</v>
      </c>
      <c r="Y229" t="s">
        <v>4762</v>
      </c>
      <c r="Z229" t="s">
        <v>4763</v>
      </c>
      <c r="AA229" t="s">
        <v>4764</v>
      </c>
      <c r="AB229" t="s">
        <v>4765</v>
      </c>
      <c r="AC229" t="s">
        <v>4766</v>
      </c>
      <c r="AD229" t="s">
        <v>4767</v>
      </c>
      <c r="AE229" t="s">
        <v>4768</v>
      </c>
      <c r="AF229" t="s">
        <v>74</v>
      </c>
      <c r="AG229">
        <v>58</v>
      </c>
      <c r="AH229">
        <v>2</v>
      </c>
      <c r="AI229">
        <v>2</v>
      </c>
      <c r="AJ229">
        <v>0</v>
      </c>
      <c r="AK229">
        <v>1</v>
      </c>
      <c r="AL229" t="s">
        <v>305</v>
      </c>
      <c r="AM229" t="s">
        <v>306</v>
      </c>
      <c r="AN229" t="s">
        <v>307</v>
      </c>
      <c r="AO229" t="s">
        <v>4769</v>
      </c>
      <c r="AP229" t="s">
        <v>4770</v>
      </c>
      <c r="AQ229" t="s">
        <v>74</v>
      </c>
      <c r="AR229" t="s">
        <v>4771</v>
      </c>
      <c r="AS229" t="s">
        <v>4772</v>
      </c>
      <c r="AT229" t="s">
        <v>1437</v>
      </c>
      <c r="AU229">
        <v>2023</v>
      </c>
      <c r="AV229">
        <v>128</v>
      </c>
      <c r="AW229">
        <v>4</v>
      </c>
      <c r="AX229" t="s">
        <v>74</v>
      </c>
      <c r="AY229" t="s">
        <v>74</v>
      </c>
      <c r="AZ229" t="s">
        <v>74</v>
      </c>
      <c r="BA229" t="s">
        <v>74</v>
      </c>
      <c r="BB229" t="s">
        <v>74</v>
      </c>
      <c r="BC229" t="s">
        <v>74</v>
      </c>
      <c r="BD229" t="s">
        <v>4773</v>
      </c>
      <c r="BE229" t="s">
        <v>4774</v>
      </c>
      <c r="BF229" t="str">
        <f>HYPERLINK("http://dx.doi.org/10.1029/2022JC019156","http://dx.doi.org/10.1029/2022JC019156")</f>
        <v>http://dx.doi.org/10.1029/2022JC019156</v>
      </c>
      <c r="BG229" t="s">
        <v>74</v>
      </c>
      <c r="BH229" t="s">
        <v>74</v>
      </c>
      <c r="BI229">
        <v>18</v>
      </c>
      <c r="BJ229" t="s">
        <v>863</v>
      </c>
      <c r="BK229" t="s">
        <v>103</v>
      </c>
      <c r="BL229" t="s">
        <v>863</v>
      </c>
      <c r="BM229" t="s">
        <v>4775</v>
      </c>
      <c r="BN229" t="s">
        <v>74</v>
      </c>
      <c r="BO229" t="s">
        <v>4776</v>
      </c>
      <c r="BP229" t="s">
        <v>74</v>
      </c>
      <c r="BQ229" t="s">
        <v>74</v>
      </c>
      <c r="BR229" t="s">
        <v>106</v>
      </c>
      <c r="BS229" t="s">
        <v>4777</v>
      </c>
      <c r="BT229" t="str">
        <f>HYPERLINK("https%3A%2F%2Fwww.webofscience.com%2Fwos%2Fwoscc%2Ffull-record%2FWOS:001000241500001","View Full Record in Web of Science")</f>
        <v>View Full Record in Web of Science</v>
      </c>
    </row>
    <row r="230" spans="1:72" x14ac:dyDescent="0.15">
      <c r="A230" t="s">
        <v>72</v>
      </c>
      <c r="B230" t="s">
        <v>4778</v>
      </c>
      <c r="C230" t="s">
        <v>74</v>
      </c>
      <c r="D230" t="s">
        <v>74</v>
      </c>
      <c r="E230" t="s">
        <v>74</v>
      </c>
      <c r="F230" t="s">
        <v>4779</v>
      </c>
      <c r="G230" t="s">
        <v>74</v>
      </c>
      <c r="H230" t="s">
        <v>74</v>
      </c>
      <c r="I230" t="s">
        <v>4780</v>
      </c>
      <c r="J230" t="s">
        <v>4757</v>
      </c>
      <c r="K230" t="s">
        <v>74</v>
      </c>
      <c r="L230" t="s">
        <v>74</v>
      </c>
      <c r="M230" t="s">
        <v>78</v>
      </c>
      <c r="N230" t="s">
        <v>112</v>
      </c>
      <c r="O230" t="s">
        <v>74</v>
      </c>
      <c r="P230" t="s">
        <v>74</v>
      </c>
      <c r="Q230" t="s">
        <v>74</v>
      </c>
      <c r="R230" t="s">
        <v>74</v>
      </c>
      <c r="S230" t="s">
        <v>74</v>
      </c>
      <c r="T230" t="s">
        <v>4781</v>
      </c>
      <c r="U230" t="s">
        <v>4782</v>
      </c>
      <c r="V230" t="s">
        <v>4783</v>
      </c>
      <c r="W230" t="s">
        <v>4784</v>
      </c>
      <c r="X230" t="s">
        <v>74</v>
      </c>
      <c r="Y230" t="s">
        <v>4785</v>
      </c>
      <c r="Z230" t="s">
        <v>4786</v>
      </c>
      <c r="AA230" t="s">
        <v>74</v>
      </c>
      <c r="AB230" t="s">
        <v>4787</v>
      </c>
      <c r="AC230" t="s">
        <v>4788</v>
      </c>
      <c r="AD230" t="s">
        <v>4788</v>
      </c>
      <c r="AE230" t="s">
        <v>4789</v>
      </c>
      <c r="AF230" t="s">
        <v>74</v>
      </c>
      <c r="AG230">
        <v>72</v>
      </c>
      <c r="AH230">
        <v>2</v>
      </c>
      <c r="AI230">
        <v>2</v>
      </c>
      <c r="AJ230">
        <v>2</v>
      </c>
      <c r="AK230">
        <v>4</v>
      </c>
      <c r="AL230" t="s">
        <v>305</v>
      </c>
      <c r="AM230" t="s">
        <v>306</v>
      </c>
      <c r="AN230" t="s">
        <v>307</v>
      </c>
      <c r="AO230" t="s">
        <v>4769</v>
      </c>
      <c r="AP230" t="s">
        <v>4770</v>
      </c>
      <c r="AQ230" t="s">
        <v>74</v>
      </c>
      <c r="AR230" t="s">
        <v>4771</v>
      </c>
      <c r="AS230" t="s">
        <v>4772</v>
      </c>
      <c r="AT230" t="s">
        <v>1437</v>
      </c>
      <c r="AU230">
        <v>2023</v>
      </c>
      <c r="AV230">
        <v>128</v>
      </c>
      <c r="AW230">
        <v>4</v>
      </c>
      <c r="AX230" t="s">
        <v>74</v>
      </c>
      <c r="AY230" t="s">
        <v>74</v>
      </c>
      <c r="AZ230" t="s">
        <v>74</v>
      </c>
      <c r="BA230" t="s">
        <v>74</v>
      </c>
      <c r="BB230" t="s">
        <v>74</v>
      </c>
      <c r="BC230" t="s">
        <v>74</v>
      </c>
      <c r="BD230" t="s">
        <v>4790</v>
      </c>
      <c r="BE230" t="s">
        <v>4791</v>
      </c>
      <c r="BF230" t="str">
        <f>HYPERLINK("http://dx.doi.org/10.1029/2022JC019523","http://dx.doi.org/10.1029/2022JC019523")</f>
        <v>http://dx.doi.org/10.1029/2022JC019523</v>
      </c>
      <c r="BG230" t="s">
        <v>74</v>
      </c>
      <c r="BH230" t="s">
        <v>74</v>
      </c>
      <c r="BI230">
        <v>20</v>
      </c>
      <c r="BJ230" t="s">
        <v>863</v>
      </c>
      <c r="BK230" t="s">
        <v>103</v>
      </c>
      <c r="BL230" t="s">
        <v>863</v>
      </c>
      <c r="BM230" t="s">
        <v>4792</v>
      </c>
      <c r="BN230" t="s">
        <v>74</v>
      </c>
      <c r="BO230" t="s">
        <v>387</v>
      </c>
      <c r="BP230" t="s">
        <v>74</v>
      </c>
      <c r="BQ230" t="s">
        <v>74</v>
      </c>
      <c r="BR230" t="s">
        <v>106</v>
      </c>
      <c r="BS230" t="s">
        <v>4793</v>
      </c>
      <c r="BT230" t="str">
        <f>HYPERLINK("https%3A%2F%2Fwww.webofscience.com%2Fwos%2Fwoscc%2Ffull-record%2FWOS:001000241000001","View Full Record in Web of Science")</f>
        <v>View Full Record in Web of Science</v>
      </c>
    </row>
    <row r="231" spans="1:72" x14ac:dyDescent="0.15">
      <c r="A231" t="s">
        <v>72</v>
      </c>
      <c r="B231" t="s">
        <v>4794</v>
      </c>
      <c r="C231" t="s">
        <v>74</v>
      </c>
      <c r="D231" t="s">
        <v>74</v>
      </c>
      <c r="E231" t="s">
        <v>74</v>
      </c>
      <c r="F231" t="s">
        <v>4795</v>
      </c>
      <c r="G231" t="s">
        <v>74</v>
      </c>
      <c r="H231" t="s">
        <v>74</v>
      </c>
      <c r="I231" t="s">
        <v>4796</v>
      </c>
      <c r="J231" t="s">
        <v>4797</v>
      </c>
      <c r="K231" t="s">
        <v>74</v>
      </c>
      <c r="L231" t="s">
        <v>74</v>
      </c>
      <c r="M231" t="s">
        <v>78</v>
      </c>
      <c r="N231" t="s">
        <v>112</v>
      </c>
      <c r="O231" t="s">
        <v>74</v>
      </c>
      <c r="P231" t="s">
        <v>74</v>
      </c>
      <c r="Q231" t="s">
        <v>74</v>
      </c>
      <c r="R231" t="s">
        <v>74</v>
      </c>
      <c r="S231" t="s">
        <v>74</v>
      </c>
      <c r="T231" t="s">
        <v>4798</v>
      </c>
      <c r="U231" t="s">
        <v>4799</v>
      </c>
      <c r="V231" t="s">
        <v>4800</v>
      </c>
      <c r="W231" t="s">
        <v>4801</v>
      </c>
      <c r="X231" t="s">
        <v>4802</v>
      </c>
      <c r="Y231" t="s">
        <v>4803</v>
      </c>
      <c r="Z231" t="s">
        <v>4804</v>
      </c>
      <c r="AA231" t="s">
        <v>4805</v>
      </c>
      <c r="AB231" t="s">
        <v>4806</v>
      </c>
      <c r="AC231" t="s">
        <v>4807</v>
      </c>
      <c r="AD231" t="s">
        <v>4808</v>
      </c>
      <c r="AE231" t="s">
        <v>4809</v>
      </c>
      <c r="AF231" t="s">
        <v>74</v>
      </c>
      <c r="AG231">
        <v>72</v>
      </c>
      <c r="AH231">
        <v>1</v>
      </c>
      <c r="AI231">
        <v>1</v>
      </c>
      <c r="AJ231">
        <v>1</v>
      </c>
      <c r="AK231">
        <v>5</v>
      </c>
      <c r="AL231" t="s">
        <v>305</v>
      </c>
      <c r="AM231" t="s">
        <v>306</v>
      </c>
      <c r="AN231" t="s">
        <v>307</v>
      </c>
      <c r="AO231" t="s">
        <v>4810</v>
      </c>
      <c r="AP231" t="s">
        <v>4811</v>
      </c>
      <c r="AQ231" t="s">
        <v>74</v>
      </c>
      <c r="AR231" t="s">
        <v>4812</v>
      </c>
      <c r="AS231" t="s">
        <v>4813</v>
      </c>
      <c r="AT231" t="s">
        <v>1437</v>
      </c>
      <c r="AU231">
        <v>2023</v>
      </c>
      <c r="AV231">
        <v>128</v>
      </c>
      <c r="AW231">
        <v>4</v>
      </c>
      <c r="AX231" t="s">
        <v>74</v>
      </c>
      <c r="AY231" t="s">
        <v>74</v>
      </c>
      <c r="AZ231" t="s">
        <v>74</v>
      </c>
      <c r="BA231" t="s">
        <v>74</v>
      </c>
      <c r="BB231" t="s">
        <v>74</v>
      </c>
      <c r="BC231" t="s">
        <v>74</v>
      </c>
      <c r="BD231" t="s">
        <v>4814</v>
      </c>
      <c r="BE231" t="s">
        <v>4815</v>
      </c>
      <c r="BF231" t="str">
        <f>HYPERLINK("http://dx.doi.org/10.1029/2022JA030738","http://dx.doi.org/10.1029/2022JA030738")</f>
        <v>http://dx.doi.org/10.1029/2022JA030738</v>
      </c>
      <c r="BG231" t="s">
        <v>74</v>
      </c>
      <c r="BH231" t="s">
        <v>74</v>
      </c>
      <c r="BI231">
        <v>17</v>
      </c>
      <c r="BJ231" t="s">
        <v>159</v>
      </c>
      <c r="BK231" t="s">
        <v>103</v>
      </c>
      <c r="BL231" t="s">
        <v>159</v>
      </c>
      <c r="BM231" t="s">
        <v>4816</v>
      </c>
      <c r="BN231" t="s">
        <v>74</v>
      </c>
      <c r="BO231" t="s">
        <v>387</v>
      </c>
      <c r="BP231" t="s">
        <v>74</v>
      </c>
      <c r="BQ231" t="s">
        <v>74</v>
      </c>
      <c r="BR231" t="s">
        <v>106</v>
      </c>
      <c r="BS231" t="s">
        <v>4817</v>
      </c>
      <c r="BT231" t="str">
        <f>HYPERLINK("https%3A%2F%2Fwww.webofscience.com%2Fwos%2Fwoscc%2Ffull-record%2FWOS:000964178800001","View Full Record in Web of Science")</f>
        <v>View Full Record in Web of Science</v>
      </c>
    </row>
    <row r="232" spans="1:72" x14ac:dyDescent="0.15">
      <c r="A232" t="s">
        <v>72</v>
      </c>
      <c r="B232" t="s">
        <v>4818</v>
      </c>
      <c r="C232" t="s">
        <v>74</v>
      </c>
      <c r="D232" t="s">
        <v>74</v>
      </c>
      <c r="E232" t="s">
        <v>74</v>
      </c>
      <c r="F232" t="s">
        <v>4819</v>
      </c>
      <c r="G232" t="s">
        <v>74</v>
      </c>
      <c r="H232" t="s">
        <v>74</v>
      </c>
      <c r="I232" t="s">
        <v>4820</v>
      </c>
      <c r="J232" t="s">
        <v>4821</v>
      </c>
      <c r="K232" t="s">
        <v>74</v>
      </c>
      <c r="L232" t="s">
        <v>74</v>
      </c>
      <c r="M232" t="s">
        <v>78</v>
      </c>
      <c r="N232" t="s">
        <v>112</v>
      </c>
      <c r="O232" t="s">
        <v>74</v>
      </c>
      <c r="P232" t="s">
        <v>74</v>
      </c>
      <c r="Q232" t="s">
        <v>74</v>
      </c>
      <c r="R232" t="s">
        <v>74</v>
      </c>
      <c r="S232" t="s">
        <v>74</v>
      </c>
      <c r="T232" t="s">
        <v>4822</v>
      </c>
      <c r="U232" t="s">
        <v>4823</v>
      </c>
      <c r="V232" t="s">
        <v>4824</v>
      </c>
      <c r="W232" t="s">
        <v>4825</v>
      </c>
      <c r="X232" t="s">
        <v>4826</v>
      </c>
      <c r="Y232" t="s">
        <v>4827</v>
      </c>
      <c r="Z232" t="s">
        <v>4828</v>
      </c>
      <c r="AA232" t="s">
        <v>4829</v>
      </c>
      <c r="AB232" t="s">
        <v>4830</v>
      </c>
      <c r="AC232" t="s">
        <v>4831</v>
      </c>
      <c r="AD232" t="s">
        <v>4832</v>
      </c>
      <c r="AE232" t="s">
        <v>4833</v>
      </c>
      <c r="AF232" t="s">
        <v>74</v>
      </c>
      <c r="AG232">
        <v>97</v>
      </c>
      <c r="AH232">
        <v>0</v>
      </c>
      <c r="AI232">
        <v>0</v>
      </c>
      <c r="AJ232">
        <v>9</v>
      </c>
      <c r="AK232">
        <v>10</v>
      </c>
      <c r="AL232" t="s">
        <v>305</v>
      </c>
      <c r="AM232" t="s">
        <v>306</v>
      </c>
      <c r="AN232" t="s">
        <v>307</v>
      </c>
      <c r="AO232" t="s">
        <v>4834</v>
      </c>
      <c r="AP232" t="s">
        <v>4835</v>
      </c>
      <c r="AQ232" t="s">
        <v>74</v>
      </c>
      <c r="AR232" t="s">
        <v>4836</v>
      </c>
      <c r="AS232" t="s">
        <v>4837</v>
      </c>
      <c r="AT232" t="s">
        <v>1437</v>
      </c>
      <c r="AU232">
        <v>2023</v>
      </c>
      <c r="AV232">
        <v>38</v>
      </c>
      <c r="AW232">
        <v>4</v>
      </c>
      <c r="AX232" t="s">
        <v>74</v>
      </c>
      <c r="AY232" t="s">
        <v>74</v>
      </c>
      <c r="AZ232" t="s">
        <v>74</v>
      </c>
      <c r="BA232" t="s">
        <v>74</v>
      </c>
      <c r="BB232" t="s">
        <v>74</v>
      </c>
      <c r="BC232" t="s">
        <v>74</v>
      </c>
      <c r="BD232" t="s">
        <v>4838</v>
      </c>
      <c r="BE232" t="s">
        <v>4839</v>
      </c>
      <c r="BF232" t="str">
        <f>HYPERLINK("http://dx.doi.org/10.1029/2022PA004543","http://dx.doi.org/10.1029/2022PA004543")</f>
        <v>http://dx.doi.org/10.1029/2022PA004543</v>
      </c>
      <c r="BG232" t="s">
        <v>74</v>
      </c>
      <c r="BH232" t="s">
        <v>74</v>
      </c>
      <c r="BI232">
        <v>15</v>
      </c>
      <c r="BJ232" t="s">
        <v>4840</v>
      </c>
      <c r="BK232" t="s">
        <v>103</v>
      </c>
      <c r="BL232" t="s">
        <v>4841</v>
      </c>
      <c r="BM232" t="s">
        <v>4842</v>
      </c>
      <c r="BN232" t="s">
        <v>74</v>
      </c>
      <c r="BO232" t="s">
        <v>74</v>
      </c>
      <c r="BP232" t="s">
        <v>74</v>
      </c>
      <c r="BQ232" t="s">
        <v>74</v>
      </c>
      <c r="BR232" t="s">
        <v>106</v>
      </c>
      <c r="BS232" t="s">
        <v>4843</v>
      </c>
      <c r="BT232" t="str">
        <f>HYPERLINK("https%3A%2F%2Fwww.webofscience.com%2Fwos%2Fwoscc%2Ffull-record%2FWOS:000959860100001","View Full Record in Web of Science")</f>
        <v>View Full Record in Web of Science</v>
      </c>
    </row>
    <row r="233" spans="1:72" x14ac:dyDescent="0.15">
      <c r="A233" t="s">
        <v>72</v>
      </c>
      <c r="B233" t="s">
        <v>4844</v>
      </c>
      <c r="C233" t="s">
        <v>74</v>
      </c>
      <c r="D233" t="s">
        <v>74</v>
      </c>
      <c r="E233" t="s">
        <v>74</v>
      </c>
      <c r="F233" t="s">
        <v>4845</v>
      </c>
      <c r="G233" t="s">
        <v>74</v>
      </c>
      <c r="H233" t="s">
        <v>74</v>
      </c>
      <c r="I233" t="s">
        <v>4846</v>
      </c>
      <c r="J233" t="s">
        <v>4847</v>
      </c>
      <c r="K233" t="s">
        <v>74</v>
      </c>
      <c r="L233" t="s">
        <v>74</v>
      </c>
      <c r="M233" t="s">
        <v>78</v>
      </c>
      <c r="N233" t="s">
        <v>112</v>
      </c>
      <c r="O233" t="s">
        <v>74</v>
      </c>
      <c r="P233" t="s">
        <v>74</v>
      </c>
      <c r="Q233" t="s">
        <v>74</v>
      </c>
      <c r="R233" t="s">
        <v>74</v>
      </c>
      <c r="S233" t="s">
        <v>74</v>
      </c>
      <c r="T233" t="s">
        <v>4848</v>
      </c>
      <c r="U233" t="s">
        <v>4849</v>
      </c>
      <c r="V233" t="s">
        <v>4850</v>
      </c>
      <c r="W233" t="s">
        <v>4851</v>
      </c>
      <c r="X233" t="s">
        <v>4852</v>
      </c>
      <c r="Y233" t="s">
        <v>4853</v>
      </c>
      <c r="Z233" t="s">
        <v>4854</v>
      </c>
      <c r="AA233" t="s">
        <v>4855</v>
      </c>
      <c r="AB233" t="s">
        <v>4856</v>
      </c>
      <c r="AC233" t="s">
        <v>4857</v>
      </c>
      <c r="AD233" t="s">
        <v>4858</v>
      </c>
      <c r="AE233" t="s">
        <v>4859</v>
      </c>
      <c r="AF233" t="s">
        <v>74</v>
      </c>
      <c r="AG233">
        <v>58</v>
      </c>
      <c r="AH233">
        <v>1</v>
      </c>
      <c r="AI233">
        <v>1</v>
      </c>
      <c r="AJ233">
        <v>19</v>
      </c>
      <c r="AK233">
        <v>30</v>
      </c>
      <c r="AL233" t="s">
        <v>305</v>
      </c>
      <c r="AM233" t="s">
        <v>306</v>
      </c>
      <c r="AN233" t="s">
        <v>307</v>
      </c>
      <c r="AO233" t="s">
        <v>74</v>
      </c>
      <c r="AP233" t="s">
        <v>4860</v>
      </c>
      <c r="AQ233" t="s">
        <v>74</v>
      </c>
      <c r="AR233" t="s">
        <v>4861</v>
      </c>
      <c r="AS233" t="s">
        <v>4862</v>
      </c>
      <c r="AT233" t="s">
        <v>1437</v>
      </c>
      <c r="AU233">
        <v>2023</v>
      </c>
      <c r="AV233">
        <v>21</v>
      </c>
      <c r="AW233">
        <v>4</v>
      </c>
      <c r="AX233" t="s">
        <v>74</v>
      </c>
      <c r="AY233" t="s">
        <v>74</v>
      </c>
      <c r="AZ233" t="s">
        <v>74</v>
      </c>
      <c r="BA233" t="s">
        <v>74</v>
      </c>
      <c r="BB233" t="s">
        <v>74</v>
      </c>
      <c r="BC233" t="s">
        <v>74</v>
      </c>
      <c r="BD233" t="s">
        <v>4863</v>
      </c>
      <c r="BE233" t="s">
        <v>4864</v>
      </c>
      <c r="BF233" t="str">
        <f>HYPERLINK("http://dx.doi.org/10.1029/2022SW003368","http://dx.doi.org/10.1029/2022SW003368")</f>
        <v>http://dx.doi.org/10.1029/2022SW003368</v>
      </c>
      <c r="BG233" t="s">
        <v>74</v>
      </c>
      <c r="BH233" t="s">
        <v>74</v>
      </c>
      <c r="BI233">
        <v>18</v>
      </c>
      <c r="BJ233" t="s">
        <v>4865</v>
      </c>
      <c r="BK233" t="s">
        <v>103</v>
      </c>
      <c r="BL233" t="s">
        <v>4865</v>
      </c>
      <c r="BM233" t="s">
        <v>4866</v>
      </c>
      <c r="BN233" t="s">
        <v>74</v>
      </c>
      <c r="BO233" t="s">
        <v>387</v>
      </c>
      <c r="BP233" t="s">
        <v>74</v>
      </c>
      <c r="BQ233" t="s">
        <v>74</v>
      </c>
      <c r="BR233" t="s">
        <v>106</v>
      </c>
      <c r="BS233" t="s">
        <v>4867</v>
      </c>
      <c r="BT233" t="str">
        <f>HYPERLINK("https%3A%2F%2Fwww.webofscience.com%2Fwos%2Fwoscc%2Ffull-record%2FWOS:000973053800001","View Full Record in Web of Science")</f>
        <v>View Full Record in Web of Science</v>
      </c>
    </row>
    <row r="234" spans="1:72" x14ac:dyDescent="0.15">
      <c r="A234" t="s">
        <v>72</v>
      </c>
      <c r="B234" t="s">
        <v>4868</v>
      </c>
      <c r="C234" t="s">
        <v>74</v>
      </c>
      <c r="D234" t="s">
        <v>74</v>
      </c>
      <c r="E234" t="s">
        <v>74</v>
      </c>
      <c r="F234" t="s">
        <v>4869</v>
      </c>
      <c r="G234" t="s">
        <v>74</v>
      </c>
      <c r="H234" t="s">
        <v>74</v>
      </c>
      <c r="I234" t="s">
        <v>4870</v>
      </c>
      <c r="J234" t="s">
        <v>4847</v>
      </c>
      <c r="K234" t="s">
        <v>74</v>
      </c>
      <c r="L234" t="s">
        <v>74</v>
      </c>
      <c r="M234" t="s">
        <v>78</v>
      </c>
      <c r="N234" t="s">
        <v>112</v>
      </c>
      <c r="O234" t="s">
        <v>74</v>
      </c>
      <c r="P234" t="s">
        <v>74</v>
      </c>
      <c r="Q234" t="s">
        <v>74</v>
      </c>
      <c r="R234" t="s">
        <v>74</v>
      </c>
      <c r="S234" t="s">
        <v>74</v>
      </c>
      <c r="T234" t="s">
        <v>4871</v>
      </c>
      <c r="U234" t="s">
        <v>4872</v>
      </c>
      <c r="V234" t="s">
        <v>4873</v>
      </c>
      <c r="W234" t="s">
        <v>4874</v>
      </c>
      <c r="X234" t="s">
        <v>4875</v>
      </c>
      <c r="Y234" t="s">
        <v>4876</v>
      </c>
      <c r="Z234" t="s">
        <v>4877</v>
      </c>
      <c r="AA234" t="s">
        <v>4878</v>
      </c>
      <c r="AB234" t="s">
        <v>4879</v>
      </c>
      <c r="AC234" t="s">
        <v>4880</v>
      </c>
      <c r="AD234" t="s">
        <v>4881</v>
      </c>
      <c r="AE234" t="s">
        <v>4882</v>
      </c>
      <c r="AF234" t="s">
        <v>74</v>
      </c>
      <c r="AG234">
        <v>86</v>
      </c>
      <c r="AH234">
        <v>2</v>
      </c>
      <c r="AI234">
        <v>2</v>
      </c>
      <c r="AJ234">
        <v>8</v>
      </c>
      <c r="AK234">
        <v>11</v>
      </c>
      <c r="AL234" t="s">
        <v>305</v>
      </c>
      <c r="AM234" t="s">
        <v>306</v>
      </c>
      <c r="AN234" t="s">
        <v>307</v>
      </c>
      <c r="AO234" t="s">
        <v>74</v>
      </c>
      <c r="AP234" t="s">
        <v>4860</v>
      </c>
      <c r="AQ234" t="s">
        <v>74</v>
      </c>
      <c r="AR234" t="s">
        <v>4861</v>
      </c>
      <c r="AS234" t="s">
        <v>4862</v>
      </c>
      <c r="AT234" t="s">
        <v>1437</v>
      </c>
      <c r="AU234">
        <v>2023</v>
      </c>
      <c r="AV234">
        <v>21</v>
      </c>
      <c r="AW234">
        <v>4</v>
      </c>
      <c r="AX234" t="s">
        <v>74</v>
      </c>
      <c r="AY234" t="s">
        <v>74</v>
      </c>
      <c r="AZ234" t="s">
        <v>74</v>
      </c>
      <c r="BA234" t="s">
        <v>74</v>
      </c>
      <c r="BB234" t="s">
        <v>74</v>
      </c>
      <c r="BC234" t="s">
        <v>74</v>
      </c>
      <c r="BD234" t="s">
        <v>4883</v>
      </c>
      <c r="BE234" t="s">
        <v>4884</v>
      </c>
      <c r="BF234" t="str">
        <f>HYPERLINK("http://dx.doi.org/10.1029/2022SW003249","http://dx.doi.org/10.1029/2022SW003249")</f>
        <v>http://dx.doi.org/10.1029/2022SW003249</v>
      </c>
      <c r="BG234" t="s">
        <v>74</v>
      </c>
      <c r="BH234" t="s">
        <v>74</v>
      </c>
      <c r="BI234">
        <v>15</v>
      </c>
      <c r="BJ234" t="s">
        <v>4865</v>
      </c>
      <c r="BK234" t="s">
        <v>103</v>
      </c>
      <c r="BL234" t="s">
        <v>4865</v>
      </c>
      <c r="BM234" t="s">
        <v>4885</v>
      </c>
      <c r="BN234" t="s">
        <v>74</v>
      </c>
      <c r="BO234" t="s">
        <v>387</v>
      </c>
      <c r="BP234" t="s">
        <v>74</v>
      </c>
      <c r="BQ234" t="s">
        <v>74</v>
      </c>
      <c r="BR234" t="s">
        <v>106</v>
      </c>
      <c r="BS234" t="s">
        <v>4886</v>
      </c>
      <c r="BT234" t="str">
        <f>HYPERLINK("https%3A%2F%2Fwww.webofscience.com%2Fwos%2Fwoscc%2Ffull-record%2FWOS:000997419000001","View Full Record in Web of Science")</f>
        <v>View Full Record in Web of Science</v>
      </c>
    </row>
    <row r="235" spans="1:72" x14ac:dyDescent="0.15">
      <c r="A235" t="s">
        <v>72</v>
      </c>
      <c r="B235" t="s">
        <v>4887</v>
      </c>
      <c r="C235" t="s">
        <v>74</v>
      </c>
      <c r="D235" t="s">
        <v>74</v>
      </c>
      <c r="E235" t="s">
        <v>74</v>
      </c>
      <c r="F235" t="s">
        <v>4888</v>
      </c>
      <c r="G235" t="s">
        <v>74</v>
      </c>
      <c r="H235" t="s">
        <v>74</v>
      </c>
      <c r="I235" t="s">
        <v>4889</v>
      </c>
      <c r="J235" t="s">
        <v>4890</v>
      </c>
      <c r="K235" t="s">
        <v>74</v>
      </c>
      <c r="L235" t="s">
        <v>74</v>
      </c>
      <c r="M235" t="s">
        <v>78</v>
      </c>
      <c r="N235" t="s">
        <v>112</v>
      </c>
      <c r="O235" t="s">
        <v>74</v>
      </c>
      <c r="P235" t="s">
        <v>74</v>
      </c>
      <c r="Q235" t="s">
        <v>74</v>
      </c>
      <c r="R235" t="s">
        <v>74</v>
      </c>
      <c r="S235" t="s">
        <v>74</v>
      </c>
      <c r="T235" t="s">
        <v>4891</v>
      </c>
      <c r="U235" t="s">
        <v>4892</v>
      </c>
      <c r="V235" t="s">
        <v>4893</v>
      </c>
      <c r="W235" t="s">
        <v>4894</v>
      </c>
      <c r="X235" t="s">
        <v>4895</v>
      </c>
      <c r="Y235" t="s">
        <v>4896</v>
      </c>
      <c r="Z235" t="s">
        <v>4897</v>
      </c>
      <c r="AA235" t="s">
        <v>4898</v>
      </c>
      <c r="AB235" t="s">
        <v>4899</v>
      </c>
      <c r="AC235" t="s">
        <v>4900</v>
      </c>
      <c r="AD235" t="s">
        <v>4901</v>
      </c>
      <c r="AE235" t="s">
        <v>4902</v>
      </c>
      <c r="AF235" t="s">
        <v>74</v>
      </c>
      <c r="AG235">
        <v>71</v>
      </c>
      <c r="AH235">
        <v>0</v>
      </c>
      <c r="AI235">
        <v>0</v>
      </c>
      <c r="AJ235">
        <v>7</v>
      </c>
      <c r="AK235">
        <v>12</v>
      </c>
      <c r="AL235" t="s">
        <v>768</v>
      </c>
      <c r="AM235" t="s">
        <v>179</v>
      </c>
      <c r="AN235" t="s">
        <v>769</v>
      </c>
      <c r="AO235" t="s">
        <v>4903</v>
      </c>
      <c r="AP235" t="s">
        <v>4904</v>
      </c>
      <c r="AQ235" t="s">
        <v>74</v>
      </c>
      <c r="AR235" t="s">
        <v>4905</v>
      </c>
      <c r="AS235" t="s">
        <v>4906</v>
      </c>
      <c r="AT235" t="s">
        <v>1437</v>
      </c>
      <c r="AU235">
        <v>2023</v>
      </c>
      <c r="AV235">
        <v>42</v>
      </c>
      <c r="AW235">
        <v>4</v>
      </c>
      <c r="AX235" t="s">
        <v>74</v>
      </c>
      <c r="AY235" t="s">
        <v>74</v>
      </c>
      <c r="AZ235" t="s">
        <v>74</v>
      </c>
      <c r="BA235" t="s">
        <v>74</v>
      </c>
      <c r="BB235">
        <v>16</v>
      </c>
      <c r="BC235">
        <v>24</v>
      </c>
      <c r="BD235" t="s">
        <v>74</v>
      </c>
      <c r="BE235" t="s">
        <v>4907</v>
      </c>
      <c r="BF235" t="str">
        <f>HYPERLINK("http://dx.doi.org/10.1007/s13131-022-2111-4","http://dx.doi.org/10.1007/s13131-022-2111-4")</f>
        <v>http://dx.doi.org/10.1007/s13131-022-2111-4</v>
      </c>
      <c r="BG235" t="s">
        <v>74</v>
      </c>
      <c r="BH235" t="s">
        <v>74</v>
      </c>
      <c r="BI235">
        <v>9</v>
      </c>
      <c r="BJ235" t="s">
        <v>863</v>
      </c>
      <c r="BK235" t="s">
        <v>103</v>
      </c>
      <c r="BL235" t="s">
        <v>863</v>
      </c>
      <c r="BM235" t="s">
        <v>4908</v>
      </c>
      <c r="BN235" t="s">
        <v>74</v>
      </c>
      <c r="BO235" t="s">
        <v>74</v>
      </c>
      <c r="BP235" t="s">
        <v>74</v>
      </c>
      <c r="BQ235" t="s">
        <v>74</v>
      </c>
      <c r="BR235" t="s">
        <v>106</v>
      </c>
      <c r="BS235" t="s">
        <v>4909</v>
      </c>
      <c r="BT235" t="str">
        <f>HYPERLINK("https%3A%2F%2Fwww.webofscience.com%2Fwos%2Fwoscc%2Ffull-record%2FWOS:001012865900002","View Full Record in Web of Science")</f>
        <v>View Full Record in Web of Science</v>
      </c>
    </row>
    <row r="236" spans="1:72" x14ac:dyDescent="0.15">
      <c r="A236" t="s">
        <v>72</v>
      </c>
      <c r="B236" t="s">
        <v>4910</v>
      </c>
      <c r="C236" t="s">
        <v>74</v>
      </c>
      <c r="D236" t="s">
        <v>74</v>
      </c>
      <c r="E236" t="s">
        <v>74</v>
      </c>
      <c r="F236" t="s">
        <v>4911</v>
      </c>
      <c r="G236" t="s">
        <v>74</v>
      </c>
      <c r="H236" t="s">
        <v>74</v>
      </c>
      <c r="I236" t="s">
        <v>4912</v>
      </c>
      <c r="J236" t="s">
        <v>4913</v>
      </c>
      <c r="K236" t="s">
        <v>74</v>
      </c>
      <c r="L236" t="s">
        <v>74</v>
      </c>
      <c r="M236" t="s">
        <v>78</v>
      </c>
      <c r="N236" t="s">
        <v>112</v>
      </c>
      <c r="O236" t="s">
        <v>74</v>
      </c>
      <c r="P236" t="s">
        <v>74</v>
      </c>
      <c r="Q236" t="s">
        <v>74</v>
      </c>
      <c r="R236" t="s">
        <v>74</v>
      </c>
      <c r="S236" t="s">
        <v>74</v>
      </c>
      <c r="T236" t="s">
        <v>4914</v>
      </c>
      <c r="U236" t="s">
        <v>4915</v>
      </c>
      <c r="V236" t="s">
        <v>4916</v>
      </c>
      <c r="W236" t="s">
        <v>4917</v>
      </c>
      <c r="X236" t="s">
        <v>4918</v>
      </c>
      <c r="Y236" t="s">
        <v>4919</v>
      </c>
      <c r="Z236" t="s">
        <v>4920</v>
      </c>
      <c r="AA236" t="s">
        <v>4921</v>
      </c>
      <c r="AB236" t="s">
        <v>4922</v>
      </c>
      <c r="AC236" t="s">
        <v>4923</v>
      </c>
      <c r="AD236" t="s">
        <v>4924</v>
      </c>
      <c r="AE236" t="s">
        <v>4925</v>
      </c>
      <c r="AF236" t="s">
        <v>74</v>
      </c>
      <c r="AG236">
        <v>106</v>
      </c>
      <c r="AH236">
        <v>7</v>
      </c>
      <c r="AI236">
        <v>7</v>
      </c>
      <c r="AJ236">
        <v>6</v>
      </c>
      <c r="AK236">
        <v>7</v>
      </c>
      <c r="AL236" t="s">
        <v>305</v>
      </c>
      <c r="AM236" t="s">
        <v>306</v>
      </c>
      <c r="AN236" t="s">
        <v>307</v>
      </c>
      <c r="AO236" t="s">
        <v>74</v>
      </c>
      <c r="AP236" t="s">
        <v>4926</v>
      </c>
      <c r="AQ236" t="s">
        <v>74</v>
      </c>
      <c r="AR236" t="s">
        <v>4927</v>
      </c>
      <c r="AS236" t="s">
        <v>4928</v>
      </c>
      <c r="AT236" t="s">
        <v>1437</v>
      </c>
      <c r="AU236">
        <v>2023</v>
      </c>
      <c r="AV236">
        <v>4</v>
      </c>
      <c r="AW236">
        <v>2</v>
      </c>
      <c r="AX236" t="s">
        <v>74</v>
      </c>
      <c r="AY236" t="s">
        <v>74</v>
      </c>
      <c r="AZ236" t="s">
        <v>74</v>
      </c>
      <c r="BA236" t="s">
        <v>74</v>
      </c>
      <c r="BB236" t="s">
        <v>74</v>
      </c>
      <c r="BC236" t="s">
        <v>74</v>
      </c>
      <c r="BD236" t="s">
        <v>4929</v>
      </c>
      <c r="BE236" t="s">
        <v>4930</v>
      </c>
      <c r="BF236" t="str">
        <f>HYPERLINK("http://dx.doi.org/10.1029/2022AV000846","http://dx.doi.org/10.1029/2022AV000846")</f>
        <v>http://dx.doi.org/10.1029/2022AV000846</v>
      </c>
      <c r="BG236" t="s">
        <v>74</v>
      </c>
      <c r="BH236" t="s">
        <v>74</v>
      </c>
      <c r="BI236">
        <v>15</v>
      </c>
      <c r="BJ236" t="s">
        <v>261</v>
      </c>
      <c r="BK236" t="s">
        <v>103</v>
      </c>
      <c r="BL236" t="s">
        <v>262</v>
      </c>
      <c r="BM236" t="s">
        <v>4931</v>
      </c>
      <c r="BN236" t="s">
        <v>74</v>
      </c>
      <c r="BO236" t="s">
        <v>136</v>
      </c>
      <c r="BP236" t="s">
        <v>74</v>
      </c>
      <c r="BQ236" t="s">
        <v>74</v>
      </c>
      <c r="BR236" t="s">
        <v>106</v>
      </c>
      <c r="BS236" t="s">
        <v>4932</v>
      </c>
      <c r="BT236" t="str">
        <f>HYPERLINK("https%3A%2F%2Fwww.webofscience.com%2Fwos%2Fwoscc%2Ffull-record%2FWOS:000997420400001","View Full Record in Web of Science")</f>
        <v>View Full Record in Web of Science</v>
      </c>
    </row>
    <row r="237" spans="1:72" x14ac:dyDescent="0.15">
      <c r="A237" t="s">
        <v>72</v>
      </c>
      <c r="B237" t="s">
        <v>4933</v>
      </c>
      <c r="C237" t="s">
        <v>74</v>
      </c>
      <c r="D237" t="s">
        <v>74</v>
      </c>
      <c r="E237" t="s">
        <v>74</v>
      </c>
      <c r="F237" t="s">
        <v>4934</v>
      </c>
      <c r="G237" t="s">
        <v>74</v>
      </c>
      <c r="H237" t="s">
        <v>74</v>
      </c>
      <c r="I237" t="s">
        <v>4935</v>
      </c>
      <c r="J237" t="s">
        <v>4936</v>
      </c>
      <c r="K237" t="s">
        <v>74</v>
      </c>
      <c r="L237" t="s">
        <v>74</v>
      </c>
      <c r="M237" t="s">
        <v>78</v>
      </c>
      <c r="N237" t="s">
        <v>112</v>
      </c>
      <c r="O237" t="s">
        <v>74</v>
      </c>
      <c r="P237" t="s">
        <v>74</v>
      </c>
      <c r="Q237" t="s">
        <v>74</v>
      </c>
      <c r="R237" t="s">
        <v>74</v>
      </c>
      <c r="S237" t="s">
        <v>74</v>
      </c>
      <c r="T237" t="s">
        <v>4937</v>
      </c>
      <c r="U237" t="s">
        <v>4938</v>
      </c>
      <c r="V237" t="s">
        <v>4939</v>
      </c>
      <c r="W237" t="s">
        <v>4940</v>
      </c>
      <c r="X237" t="s">
        <v>4941</v>
      </c>
      <c r="Y237" t="s">
        <v>4942</v>
      </c>
      <c r="Z237" t="s">
        <v>4943</v>
      </c>
      <c r="AA237" t="s">
        <v>4944</v>
      </c>
      <c r="AB237" t="s">
        <v>4945</v>
      </c>
      <c r="AC237" t="s">
        <v>4946</v>
      </c>
      <c r="AD237" t="s">
        <v>4947</v>
      </c>
      <c r="AE237" t="s">
        <v>4948</v>
      </c>
      <c r="AF237" t="s">
        <v>74</v>
      </c>
      <c r="AG237">
        <v>64</v>
      </c>
      <c r="AH237">
        <v>0</v>
      </c>
      <c r="AI237">
        <v>0</v>
      </c>
      <c r="AJ237">
        <v>1</v>
      </c>
      <c r="AK237">
        <v>5</v>
      </c>
      <c r="AL237" t="s">
        <v>305</v>
      </c>
      <c r="AM237" t="s">
        <v>306</v>
      </c>
      <c r="AN237" t="s">
        <v>307</v>
      </c>
      <c r="AO237" t="s">
        <v>74</v>
      </c>
      <c r="AP237" t="s">
        <v>4949</v>
      </c>
      <c r="AQ237" t="s">
        <v>74</v>
      </c>
      <c r="AR237" t="s">
        <v>4936</v>
      </c>
      <c r="AS237" t="s">
        <v>4950</v>
      </c>
      <c r="AT237" t="s">
        <v>1437</v>
      </c>
      <c r="AU237">
        <v>2023</v>
      </c>
      <c r="AV237">
        <v>11</v>
      </c>
      <c r="AW237">
        <v>4</v>
      </c>
      <c r="AX237" t="s">
        <v>74</v>
      </c>
      <c r="AY237" t="s">
        <v>74</v>
      </c>
      <c r="AZ237" t="s">
        <v>74</v>
      </c>
      <c r="BA237" t="s">
        <v>74</v>
      </c>
      <c r="BB237" t="s">
        <v>74</v>
      </c>
      <c r="BC237" t="s">
        <v>74</v>
      </c>
      <c r="BD237" t="s">
        <v>4951</v>
      </c>
      <c r="BE237" t="s">
        <v>4952</v>
      </c>
      <c r="BF237" t="str">
        <f>HYPERLINK("http://dx.doi.org/10.1029/2022EF003337","http://dx.doi.org/10.1029/2022EF003337")</f>
        <v>http://dx.doi.org/10.1029/2022EF003337</v>
      </c>
      <c r="BG237" t="s">
        <v>74</v>
      </c>
      <c r="BH237" t="s">
        <v>74</v>
      </c>
      <c r="BI237">
        <v>17</v>
      </c>
      <c r="BJ237" t="s">
        <v>2474</v>
      </c>
      <c r="BK237" t="s">
        <v>103</v>
      </c>
      <c r="BL237" t="s">
        <v>2475</v>
      </c>
      <c r="BM237" t="s">
        <v>4953</v>
      </c>
      <c r="BN237" t="s">
        <v>74</v>
      </c>
      <c r="BO237" t="s">
        <v>2053</v>
      </c>
      <c r="BP237" t="s">
        <v>74</v>
      </c>
      <c r="BQ237" t="s">
        <v>74</v>
      </c>
      <c r="BR237" t="s">
        <v>106</v>
      </c>
      <c r="BS237" t="s">
        <v>4954</v>
      </c>
      <c r="BT237" t="str">
        <f>HYPERLINK("https%3A%2F%2Fwww.webofscience.com%2Fwos%2Fwoscc%2Ffull-record%2FWOS:000999789700001","View Full Record in Web of Science")</f>
        <v>View Full Record in Web of Science</v>
      </c>
    </row>
    <row r="238" spans="1:72" x14ac:dyDescent="0.15">
      <c r="A238" t="s">
        <v>72</v>
      </c>
      <c r="B238" t="s">
        <v>4955</v>
      </c>
      <c r="C238" t="s">
        <v>74</v>
      </c>
      <c r="D238" t="s">
        <v>74</v>
      </c>
      <c r="E238" t="s">
        <v>74</v>
      </c>
      <c r="F238" t="s">
        <v>4956</v>
      </c>
      <c r="G238" t="s">
        <v>74</v>
      </c>
      <c r="H238" t="s">
        <v>74</v>
      </c>
      <c r="I238" t="s">
        <v>4957</v>
      </c>
      <c r="J238" t="s">
        <v>4757</v>
      </c>
      <c r="K238" t="s">
        <v>74</v>
      </c>
      <c r="L238" t="s">
        <v>74</v>
      </c>
      <c r="M238" t="s">
        <v>78</v>
      </c>
      <c r="N238" t="s">
        <v>112</v>
      </c>
      <c r="O238" t="s">
        <v>74</v>
      </c>
      <c r="P238" t="s">
        <v>74</v>
      </c>
      <c r="Q238" t="s">
        <v>74</v>
      </c>
      <c r="R238" t="s">
        <v>74</v>
      </c>
      <c r="S238" t="s">
        <v>74</v>
      </c>
      <c r="T238" t="s">
        <v>74</v>
      </c>
      <c r="U238" t="s">
        <v>4958</v>
      </c>
      <c r="V238" t="s">
        <v>4959</v>
      </c>
      <c r="W238" t="s">
        <v>4960</v>
      </c>
      <c r="X238" t="s">
        <v>4961</v>
      </c>
      <c r="Y238" t="s">
        <v>4962</v>
      </c>
      <c r="Z238" t="s">
        <v>4963</v>
      </c>
      <c r="AA238" t="s">
        <v>4964</v>
      </c>
      <c r="AB238" t="s">
        <v>4965</v>
      </c>
      <c r="AC238" t="s">
        <v>4966</v>
      </c>
      <c r="AD238" t="s">
        <v>4967</v>
      </c>
      <c r="AE238" t="s">
        <v>4968</v>
      </c>
      <c r="AF238" t="s">
        <v>74</v>
      </c>
      <c r="AG238">
        <v>77</v>
      </c>
      <c r="AH238">
        <v>2</v>
      </c>
      <c r="AI238">
        <v>2</v>
      </c>
      <c r="AJ238">
        <v>6</v>
      </c>
      <c r="AK238">
        <v>13</v>
      </c>
      <c r="AL238" t="s">
        <v>305</v>
      </c>
      <c r="AM238" t="s">
        <v>306</v>
      </c>
      <c r="AN238" t="s">
        <v>307</v>
      </c>
      <c r="AO238" t="s">
        <v>4769</v>
      </c>
      <c r="AP238" t="s">
        <v>4770</v>
      </c>
      <c r="AQ238" t="s">
        <v>74</v>
      </c>
      <c r="AR238" t="s">
        <v>4771</v>
      </c>
      <c r="AS238" t="s">
        <v>4772</v>
      </c>
      <c r="AT238" t="s">
        <v>1437</v>
      </c>
      <c r="AU238">
        <v>2023</v>
      </c>
      <c r="AV238">
        <v>128</v>
      </c>
      <c r="AW238">
        <v>4</v>
      </c>
      <c r="AX238" t="s">
        <v>74</v>
      </c>
      <c r="AY238" t="s">
        <v>74</v>
      </c>
      <c r="AZ238" t="s">
        <v>74</v>
      </c>
      <c r="BA238" t="s">
        <v>74</v>
      </c>
      <c r="BB238" t="s">
        <v>74</v>
      </c>
      <c r="BC238" t="s">
        <v>74</v>
      </c>
      <c r="BD238" t="s">
        <v>4969</v>
      </c>
      <c r="BE238" t="s">
        <v>4970</v>
      </c>
      <c r="BF238" t="str">
        <f>HYPERLINK("http://dx.doi.org/10.1029/2022JC019363","http://dx.doi.org/10.1029/2022JC019363")</f>
        <v>http://dx.doi.org/10.1029/2022JC019363</v>
      </c>
      <c r="BG238" t="s">
        <v>74</v>
      </c>
      <c r="BH238" t="s">
        <v>74</v>
      </c>
      <c r="BI238">
        <v>15</v>
      </c>
      <c r="BJ238" t="s">
        <v>863</v>
      </c>
      <c r="BK238" t="s">
        <v>103</v>
      </c>
      <c r="BL238" t="s">
        <v>863</v>
      </c>
      <c r="BM238" t="s">
        <v>4971</v>
      </c>
      <c r="BN238" t="s">
        <v>74</v>
      </c>
      <c r="BO238" t="s">
        <v>387</v>
      </c>
      <c r="BP238" t="s">
        <v>74</v>
      </c>
      <c r="BQ238" t="s">
        <v>74</v>
      </c>
      <c r="BR238" t="s">
        <v>106</v>
      </c>
      <c r="BS238" t="s">
        <v>4972</v>
      </c>
      <c r="BT238" t="str">
        <f>HYPERLINK("https%3A%2F%2Fwww.webofscience.com%2Fwos%2Fwoscc%2Ffull-record%2FWOS:001000242700001","View Full Record in Web of Science")</f>
        <v>View Full Record in Web of Science</v>
      </c>
    </row>
    <row r="239" spans="1:72" x14ac:dyDescent="0.15">
      <c r="A239" t="s">
        <v>72</v>
      </c>
      <c r="B239" t="s">
        <v>4973</v>
      </c>
      <c r="C239" t="s">
        <v>74</v>
      </c>
      <c r="D239" t="s">
        <v>74</v>
      </c>
      <c r="E239" t="s">
        <v>74</v>
      </c>
      <c r="F239" t="s">
        <v>4974</v>
      </c>
      <c r="G239" t="s">
        <v>74</v>
      </c>
      <c r="H239" t="s">
        <v>74</v>
      </c>
      <c r="I239" t="s">
        <v>4975</v>
      </c>
      <c r="J239" t="s">
        <v>4976</v>
      </c>
      <c r="K239" t="s">
        <v>74</v>
      </c>
      <c r="L239" t="s">
        <v>74</v>
      </c>
      <c r="M239" t="s">
        <v>78</v>
      </c>
      <c r="N239" t="s">
        <v>112</v>
      </c>
      <c r="O239" t="s">
        <v>74</v>
      </c>
      <c r="P239" t="s">
        <v>74</v>
      </c>
      <c r="Q239" t="s">
        <v>74</v>
      </c>
      <c r="R239" t="s">
        <v>74</v>
      </c>
      <c r="S239" t="s">
        <v>74</v>
      </c>
      <c r="T239" t="s">
        <v>4977</v>
      </c>
      <c r="U239" t="s">
        <v>4978</v>
      </c>
      <c r="V239" t="s">
        <v>4979</v>
      </c>
      <c r="W239" t="s">
        <v>4980</v>
      </c>
      <c r="X239" t="s">
        <v>4981</v>
      </c>
      <c r="Y239" t="s">
        <v>4982</v>
      </c>
      <c r="Z239" t="s">
        <v>4983</v>
      </c>
      <c r="AA239" t="s">
        <v>74</v>
      </c>
      <c r="AB239" t="s">
        <v>4984</v>
      </c>
      <c r="AC239" t="s">
        <v>4985</v>
      </c>
      <c r="AD239" t="s">
        <v>4986</v>
      </c>
      <c r="AE239" t="s">
        <v>4987</v>
      </c>
      <c r="AF239" t="s">
        <v>74</v>
      </c>
      <c r="AG239">
        <v>44</v>
      </c>
      <c r="AH239">
        <v>0</v>
      </c>
      <c r="AI239">
        <v>0</v>
      </c>
      <c r="AJ239">
        <v>4</v>
      </c>
      <c r="AK239">
        <v>10</v>
      </c>
      <c r="AL239" t="s">
        <v>2092</v>
      </c>
      <c r="AM239" t="s">
        <v>2093</v>
      </c>
      <c r="AN239" t="s">
        <v>2094</v>
      </c>
      <c r="AO239" t="s">
        <v>4988</v>
      </c>
      <c r="AP239" t="s">
        <v>4989</v>
      </c>
      <c r="AQ239" t="s">
        <v>74</v>
      </c>
      <c r="AR239" t="s">
        <v>4990</v>
      </c>
      <c r="AS239" t="s">
        <v>4991</v>
      </c>
      <c r="AT239" t="s">
        <v>1437</v>
      </c>
      <c r="AU239">
        <v>2023</v>
      </c>
      <c r="AV239">
        <v>97</v>
      </c>
      <c r="AW239">
        <v>2</v>
      </c>
      <c r="AX239" t="s">
        <v>74</v>
      </c>
      <c r="AY239" t="s">
        <v>74</v>
      </c>
      <c r="AZ239" t="s">
        <v>74</v>
      </c>
      <c r="BA239" t="s">
        <v>74</v>
      </c>
      <c r="BB239">
        <v>623</v>
      </c>
      <c r="BC239">
        <v>635</v>
      </c>
      <c r="BD239" t="s">
        <v>74</v>
      </c>
      <c r="BE239" t="s">
        <v>4992</v>
      </c>
      <c r="BF239" t="str">
        <f>HYPERLINK("http://dx.doi.org/10.1111/1755-6724.15000","http://dx.doi.org/10.1111/1755-6724.15000")</f>
        <v>http://dx.doi.org/10.1111/1755-6724.15000</v>
      </c>
      <c r="BG239" t="s">
        <v>74</v>
      </c>
      <c r="BH239" t="s">
        <v>74</v>
      </c>
      <c r="BI239">
        <v>13</v>
      </c>
      <c r="BJ239" t="s">
        <v>261</v>
      </c>
      <c r="BK239" t="s">
        <v>103</v>
      </c>
      <c r="BL239" t="s">
        <v>262</v>
      </c>
      <c r="BM239" t="s">
        <v>4993</v>
      </c>
      <c r="BN239" t="s">
        <v>74</v>
      </c>
      <c r="BO239" t="s">
        <v>74</v>
      </c>
      <c r="BP239" t="s">
        <v>74</v>
      </c>
      <c r="BQ239" t="s">
        <v>74</v>
      </c>
      <c r="BR239" t="s">
        <v>106</v>
      </c>
      <c r="BS239" t="s">
        <v>4994</v>
      </c>
      <c r="BT239" t="str">
        <f>HYPERLINK("https%3A%2F%2Fwww.webofscience.com%2Fwos%2Fwoscc%2Ffull-record%2FWOS:000980227400017","View Full Record in Web of Science")</f>
        <v>View Full Record in Web of Science</v>
      </c>
    </row>
    <row r="240" spans="1:72" x14ac:dyDescent="0.15">
      <c r="A240" t="s">
        <v>72</v>
      </c>
      <c r="B240" t="s">
        <v>4995</v>
      </c>
      <c r="C240" t="s">
        <v>74</v>
      </c>
      <c r="D240" t="s">
        <v>74</v>
      </c>
      <c r="E240" t="s">
        <v>74</v>
      </c>
      <c r="F240" t="s">
        <v>4996</v>
      </c>
      <c r="G240" t="s">
        <v>74</v>
      </c>
      <c r="H240" t="s">
        <v>74</v>
      </c>
      <c r="I240" t="s">
        <v>4997</v>
      </c>
      <c r="J240" t="s">
        <v>4757</v>
      </c>
      <c r="K240" t="s">
        <v>74</v>
      </c>
      <c r="L240" t="s">
        <v>74</v>
      </c>
      <c r="M240" t="s">
        <v>78</v>
      </c>
      <c r="N240" t="s">
        <v>112</v>
      </c>
      <c r="O240" t="s">
        <v>74</v>
      </c>
      <c r="P240" t="s">
        <v>74</v>
      </c>
      <c r="Q240" t="s">
        <v>74</v>
      </c>
      <c r="R240" t="s">
        <v>74</v>
      </c>
      <c r="S240" t="s">
        <v>74</v>
      </c>
      <c r="T240" t="s">
        <v>4998</v>
      </c>
      <c r="U240" t="s">
        <v>4999</v>
      </c>
      <c r="V240" t="s">
        <v>5000</v>
      </c>
      <c r="W240" t="s">
        <v>5001</v>
      </c>
      <c r="X240" t="s">
        <v>5002</v>
      </c>
      <c r="Y240" t="s">
        <v>5003</v>
      </c>
      <c r="Z240" t="s">
        <v>5004</v>
      </c>
      <c r="AA240" t="s">
        <v>5005</v>
      </c>
      <c r="AB240" t="s">
        <v>5006</v>
      </c>
      <c r="AC240" t="s">
        <v>5007</v>
      </c>
      <c r="AD240" t="s">
        <v>5008</v>
      </c>
      <c r="AE240" t="s">
        <v>5009</v>
      </c>
      <c r="AF240" t="s">
        <v>74</v>
      </c>
      <c r="AG240">
        <v>88</v>
      </c>
      <c r="AH240">
        <v>0</v>
      </c>
      <c r="AI240">
        <v>0</v>
      </c>
      <c r="AJ240">
        <v>3</v>
      </c>
      <c r="AK240">
        <v>6</v>
      </c>
      <c r="AL240" t="s">
        <v>305</v>
      </c>
      <c r="AM240" t="s">
        <v>306</v>
      </c>
      <c r="AN240" t="s">
        <v>307</v>
      </c>
      <c r="AO240" t="s">
        <v>4769</v>
      </c>
      <c r="AP240" t="s">
        <v>4770</v>
      </c>
      <c r="AQ240" t="s">
        <v>74</v>
      </c>
      <c r="AR240" t="s">
        <v>4771</v>
      </c>
      <c r="AS240" t="s">
        <v>4772</v>
      </c>
      <c r="AT240" t="s">
        <v>1437</v>
      </c>
      <c r="AU240">
        <v>2023</v>
      </c>
      <c r="AV240">
        <v>128</v>
      </c>
      <c r="AW240">
        <v>4</v>
      </c>
      <c r="AX240" t="s">
        <v>74</v>
      </c>
      <c r="AY240" t="s">
        <v>74</v>
      </c>
      <c r="AZ240" t="s">
        <v>74</v>
      </c>
      <c r="BA240" t="s">
        <v>74</v>
      </c>
      <c r="BB240" t="s">
        <v>74</v>
      </c>
      <c r="BC240" t="s">
        <v>74</v>
      </c>
      <c r="BD240" t="s">
        <v>5010</v>
      </c>
      <c r="BE240" t="s">
        <v>5011</v>
      </c>
      <c r="BF240" t="str">
        <f>HYPERLINK("http://dx.doi.org/10.1029/2022JC018624","http://dx.doi.org/10.1029/2022JC018624")</f>
        <v>http://dx.doi.org/10.1029/2022JC018624</v>
      </c>
      <c r="BG240" t="s">
        <v>74</v>
      </c>
      <c r="BH240" t="s">
        <v>74</v>
      </c>
      <c r="BI240">
        <v>27</v>
      </c>
      <c r="BJ240" t="s">
        <v>863</v>
      </c>
      <c r="BK240" t="s">
        <v>103</v>
      </c>
      <c r="BL240" t="s">
        <v>863</v>
      </c>
      <c r="BM240" t="s">
        <v>5012</v>
      </c>
      <c r="BN240" t="s">
        <v>74</v>
      </c>
      <c r="BO240" t="s">
        <v>387</v>
      </c>
      <c r="BP240" t="s">
        <v>74</v>
      </c>
      <c r="BQ240" t="s">
        <v>74</v>
      </c>
      <c r="BR240" t="s">
        <v>106</v>
      </c>
      <c r="BS240" t="s">
        <v>5013</v>
      </c>
      <c r="BT240" t="str">
        <f>HYPERLINK("https%3A%2F%2Fwww.webofscience.com%2Fwos%2Fwoscc%2Ffull-record%2FWOS:001000242600001","View Full Record in Web of Science")</f>
        <v>View Full Record in Web of Science</v>
      </c>
    </row>
    <row r="241" spans="1:72" x14ac:dyDescent="0.15">
      <c r="A241" t="s">
        <v>72</v>
      </c>
      <c r="B241" t="s">
        <v>5014</v>
      </c>
      <c r="C241" t="s">
        <v>74</v>
      </c>
      <c r="D241" t="s">
        <v>74</v>
      </c>
      <c r="E241" t="s">
        <v>74</v>
      </c>
      <c r="F241" t="s">
        <v>5015</v>
      </c>
      <c r="G241" t="s">
        <v>74</v>
      </c>
      <c r="H241" t="s">
        <v>74</v>
      </c>
      <c r="I241" t="s">
        <v>5016</v>
      </c>
      <c r="J241" t="s">
        <v>5017</v>
      </c>
      <c r="K241" t="s">
        <v>74</v>
      </c>
      <c r="L241" t="s">
        <v>74</v>
      </c>
      <c r="M241" t="s">
        <v>78</v>
      </c>
      <c r="N241" t="s">
        <v>112</v>
      </c>
      <c r="O241" t="s">
        <v>74</v>
      </c>
      <c r="P241" t="s">
        <v>74</v>
      </c>
      <c r="Q241" t="s">
        <v>74</v>
      </c>
      <c r="R241" t="s">
        <v>74</v>
      </c>
      <c r="S241" t="s">
        <v>74</v>
      </c>
      <c r="T241" t="s">
        <v>5018</v>
      </c>
      <c r="U241" t="s">
        <v>5019</v>
      </c>
      <c r="V241" t="s">
        <v>5020</v>
      </c>
      <c r="W241" t="s">
        <v>5021</v>
      </c>
      <c r="X241" t="s">
        <v>5022</v>
      </c>
      <c r="Y241" t="s">
        <v>5023</v>
      </c>
      <c r="Z241" t="s">
        <v>5024</v>
      </c>
      <c r="AA241" t="s">
        <v>74</v>
      </c>
      <c r="AB241" t="s">
        <v>74</v>
      </c>
      <c r="AC241" t="s">
        <v>74</v>
      </c>
      <c r="AD241" t="s">
        <v>74</v>
      </c>
      <c r="AE241" t="s">
        <v>74</v>
      </c>
      <c r="AF241" t="s">
        <v>74</v>
      </c>
      <c r="AG241">
        <v>17</v>
      </c>
      <c r="AH241">
        <v>1</v>
      </c>
      <c r="AI241">
        <v>1</v>
      </c>
      <c r="AJ241">
        <v>3</v>
      </c>
      <c r="AK241">
        <v>3</v>
      </c>
      <c r="AL241" t="s">
        <v>178</v>
      </c>
      <c r="AM241" t="s">
        <v>179</v>
      </c>
      <c r="AN241" t="s">
        <v>180</v>
      </c>
      <c r="AO241" t="s">
        <v>5025</v>
      </c>
      <c r="AP241" t="s">
        <v>5026</v>
      </c>
      <c r="AQ241" t="s">
        <v>74</v>
      </c>
      <c r="AR241" t="s">
        <v>5027</v>
      </c>
      <c r="AS241" t="s">
        <v>5028</v>
      </c>
      <c r="AT241" t="s">
        <v>1437</v>
      </c>
      <c r="AU241">
        <v>2023</v>
      </c>
      <c r="AV241">
        <v>63</v>
      </c>
      <c r="AW241">
        <v>2</v>
      </c>
      <c r="AX241" t="s">
        <v>74</v>
      </c>
      <c r="AY241" t="s">
        <v>74</v>
      </c>
      <c r="AZ241" t="s">
        <v>74</v>
      </c>
      <c r="BA241" t="s">
        <v>74</v>
      </c>
      <c r="BB241">
        <v>157</v>
      </c>
      <c r="BC241">
        <v>173</v>
      </c>
      <c r="BD241" t="s">
        <v>74</v>
      </c>
      <c r="BE241" t="s">
        <v>5029</v>
      </c>
      <c r="BF241" t="str">
        <f>HYPERLINK("http://dx.doi.org/10.1134/S0001437023010150","http://dx.doi.org/10.1134/S0001437023010150")</f>
        <v>http://dx.doi.org/10.1134/S0001437023010150</v>
      </c>
      <c r="BG241" t="s">
        <v>74</v>
      </c>
      <c r="BH241" t="s">
        <v>74</v>
      </c>
      <c r="BI241">
        <v>17</v>
      </c>
      <c r="BJ241" t="s">
        <v>863</v>
      </c>
      <c r="BK241" t="s">
        <v>103</v>
      </c>
      <c r="BL241" t="s">
        <v>863</v>
      </c>
      <c r="BM241" t="s">
        <v>5030</v>
      </c>
      <c r="BN241" t="s">
        <v>74</v>
      </c>
      <c r="BO241" t="s">
        <v>74</v>
      </c>
      <c r="BP241" t="s">
        <v>74</v>
      </c>
      <c r="BQ241" t="s">
        <v>74</v>
      </c>
      <c r="BR241" t="s">
        <v>106</v>
      </c>
      <c r="BS241" t="s">
        <v>5031</v>
      </c>
      <c r="BT241" t="str">
        <f>HYPERLINK("https%3A%2F%2Fwww.webofscience.com%2Fwos%2Fwoscc%2Ffull-record%2FWOS:000995562400002","View Full Record in Web of Science")</f>
        <v>View Full Record in Web of Science</v>
      </c>
    </row>
    <row r="242" spans="1:72" x14ac:dyDescent="0.15">
      <c r="A242" t="s">
        <v>72</v>
      </c>
      <c r="B242" t="s">
        <v>5032</v>
      </c>
      <c r="C242" t="s">
        <v>74</v>
      </c>
      <c r="D242" t="s">
        <v>74</v>
      </c>
      <c r="E242" t="s">
        <v>74</v>
      </c>
      <c r="F242" t="s">
        <v>5033</v>
      </c>
      <c r="G242" t="s">
        <v>74</v>
      </c>
      <c r="H242" t="s">
        <v>74</v>
      </c>
      <c r="I242" t="s">
        <v>5034</v>
      </c>
      <c r="J242" t="s">
        <v>5017</v>
      </c>
      <c r="K242" t="s">
        <v>74</v>
      </c>
      <c r="L242" t="s">
        <v>74</v>
      </c>
      <c r="M242" t="s">
        <v>78</v>
      </c>
      <c r="N242" t="s">
        <v>112</v>
      </c>
      <c r="O242" t="s">
        <v>74</v>
      </c>
      <c r="P242" t="s">
        <v>74</v>
      </c>
      <c r="Q242" t="s">
        <v>74</v>
      </c>
      <c r="R242" t="s">
        <v>74</v>
      </c>
      <c r="S242" t="s">
        <v>74</v>
      </c>
      <c r="T242" t="s">
        <v>5035</v>
      </c>
      <c r="U242" t="s">
        <v>74</v>
      </c>
      <c r="V242" t="s">
        <v>5036</v>
      </c>
      <c r="W242" t="s">
        <v>5037</v>
      </c>
      <c r="X242" t="s">
        <v>5022</v>
      </c>
      <c r="Y242" t="s">
        <v>5038</v>
      </c>
      <c r="Z242" t="s">
        <v>5039</v>
      </c>
      <c r="AA242" t="s">
        <v>5040</v>
      </c>
      <c r="AB242" t="s">
        <v>74</v>
      </c>
      <c r="AC242" t="s">
        <v>5041</v>
      </c>
      <c r="AD242" t="s">
        <v>251</v>
      </c>
      <c r="AE242" t="s">
        <v>5042</v>
      </c>
      <c r="AF242" t="s">
        <v>74</v>
      </c>
      <c r="AG242">
        <v>7</v>
      </c>
      <c r="AH242">
        <v>0</v>
      </c>
      <c r="AI242">
        <v>0</v>
      </c>
      <c r="AJ242">
        <v>0</v>
      </c>
      <c r="AK242">
        <v>0</v>
      </c>
      <c r="AL242" t="s">
        <v>178</v>
      </c>
      <c r="AM242" t="s">
        <v>179</v>
      </c>
      <c r="AN242" t="s">
        <v>180</v>
      </c>
      <c r="AO242" t="s">
        <v>5025</v>
      </c>
      <c r="AP242" t="s">
        <v>5026</v>
      </c>
      <c r="AQ242" t="s">
        <v>74</v>
      </c>
      <c r="AR242" t="s">
        <v>5027</v>
      </c>
      <c r="AS242" t="s">
        <v>5028</v>
      </c>
      <c r="AT242" t="s">
        <v>1437</v>
      </c>
      <c r="AU242">
        <v>2023</v>
      </c>
      <c r="AV242">
        <v>63</v>
      </c>
      <c r="AW242">
        <v>2</v>
      </c>
      <c r="AX242" t="s">
        <v>74</v>
      </c>
      <c r="AY242" t="s">
        <v>74</v>
      </c>
      <c r="AZ242" t="s">
        <v>74</v>
      </c>
      <c r="BA242" t="s">
        <v>74</v>
      </c>
      <c r="BB242">
        <v>291</v>
      </c>
      <c r="BC242">
        <v>293</v>
      </c>
      <c r="BD242" t="s">
        <v>74</v>
      </c>
      <c r="BE242" t="s">
        <v>5043</v>
      </c>
      <c r="BF242" t="str">
        <f>HYPERLINK("http://dx.doi.org/10.1134/S0001437023020091","http://dx.doi.org/10.1134/S0001437023020091")</f>
        <v>http://dx.doi.org/10.1134/S0001437023020091</v>
      </c>
      <c r="BG242" t="s">
        <v>74</v>
      </c>
      <c r="BH242" t="s">
        <v>74</v>
      </c>
      <c r="BI242">
        <v>3</v>
      </c>
      <c r="BJ242" t="s">
        <v>863</v>
      </c>
      <c r="BK242" t="s">
        <v>103</v>
      </c>
      <c r="BL242" t="s">
        <v>863</v>
      </c>
      <c r="BM242" t="s">
        <v>5030</v>
      </c>
      <c r="BN242" t="s">
        <v>74</v>
      </c>
      <c r="BO242" t="s">
        <v>74</v>
      </c>
      <c r="BP242" t="s">
        <v>74</v>
      </c>
      <c r="BQ242" t="s">
        <v>74</v>
      </c>
      <c r="BR242" t="s">
        <v>106</v>
      </c>
      <c r="BS242" t="s">
        <v>5044</v>
      </c>
      <c r="BT242" t="str">
        <f>HYPERLINK("https%3A%2F%2Fwww.webofscience.com%2Fwos%2Fwoscc%2Ffull-record%2FWOS:000995562400013","View Full Record in Web of Science")</f>
        <v>View Full Record in Web of Science</v>
      </c>
    </row>
    <row r="243" spans="1:72" x14ac:dyDescent="0.15">
      <c r="A243" t="s">
        <v>72</v>
      </c>
      <c r="B243" t="s">
        <v>5045</v>
      </c>
      <c r="C243" t="s">
        <v>74</v>
      </c>
      <c r="D243" t="s">
        <v>74</v>
      </c>
      <c r="E243" t="s">
        <v>74</v>
      </c>
      <c r="F243" t="s">
        <v>5046</v>
      </c>
      <c r="G243" t="s">
        <v>74</v>
      </c>
      <c r="H243" t="s">
        <v>74</v>
      </c>
      <c r="I243" t="s">
        <v>5047</v>
      </c>
      <c r="J243" t="s">
        <v>5048</v>
      </c>
      <c r="K243" t="s">
        <v>74</v>
      </c>
      <c r="L243" t="s">
        <v>74</v>
      </c>
      <c r="M243" t="s">
        <v>78</v>
      </c>
      <c r="N243" t="s">
        <v>112</v>
      </c>
      <c r="O243" t="s">
        <v>74</v>
      </c>
      <c r="P243" t="s">
        <v>74</v>
      </c>
      <c r="Q243" t="s">
        <v>74</v>
      </c>
      <c r="R243" t="s">
        <v>74</v>
      </c>
      <c r="S243" t="s">
        <v>74</v>
      </c>
      <c r="T243" t="s">
        <v>5049</v>
      </c>
      <c r="U243" t="s">
        <v>5050</v>
      </c>
      <c r="V243" t="s">
        <v>5051</v>
      </c>
      <c r="W243" t="s">
        <v>5052</v>
      </c>
      <c r="X243" t="s">
        <v>5053</v>
      </c>
      <c r="Y243" t="s">
        <v>5054</v>
      </c>
      <c r="Z243" t="s">
        <v>5055</v>
      </c>
      <c r="AA243" t="s">
        <v>74</v>
      </c>
      <c r="AB243" t="s">
        <v>5056</v>
      </c>
      <c r="AC243" t="s">
        <v>5057</v>
      </c>
      <c r="AD243" t="s">
        <v>5058</v>
      </c>
      <c r="AE243" t="s">
        <v>5059</v>
      </c>
      <c r="AF243" t="s">
        <v>74</v>
      </c>
      <c r="AG243">
        <v>61</v>
      </c>
      <c r="AH243">
        <v>0</v>
      </c>
      <c r="AI243">
        <v>0</v>
      </c>
      <c r="AJ243">
        <v>6</v>
      </c>
      <c r="AK243">
        <v>8</v>
      </c>
      <c r="AL243" t="s">
        <v>2092</v>
      </c>
      <c r="AM243" t="s">
        <v>2093</v>
      </c>
      <c r="AN243" t="s">
        <v>2094</v>
      </c>
      <c r="AO243" t="s">
        <v>5060</v>
      </c>
      <c r="AP243" t="s">
        <v>74</v>
      </c>
      <c r="AQ243" t="s">
        <v>74</v>
      </c>
      <c r="AR243" t="s">
        <v>5061</v>
      </c>
      <c r="AS243" t="s">
        <v>5062</v>
      </c>
      <c r="AT243" t="s">
        <v>1437</v>
      </c>
      <c r="AU243">
        <v>2023</v>
      </c>
      <c r="AV243">
        <v>13</v>
      </c>
      <c r="AW243">
        <v>4</v>
      </c>
      <c r="AX243" t="s">
        <v>74</v>
      </c>
      <c r="AY243" t="s">
        <v>74</v>
      </c>
      <c r="AZ243" t="s">
        <v>74</v>
      </c>
      <c r="BA243" t="s">
        <v>74</v>
      </c>
      <c r="BB243" t="s">
        <v>74</v>
      </c>
      <c r="BC243" t="s">
        <v>74</v>
      </c>
      <c r="BD243" t="s">
        <v>5063</v>
      </c>
      <c r="BE243" t="s">
        <v>5064</v>
      </c>
      <c r="BF243" t="str">
        <f>HYPERLINK("http://dx.doi.org/10.1002/ece3.9903","http://dx.doi.org/10.1002/ece3.9903")</f>
        <v>http://dx.doi.org/10.1002/ece3.9903</v>
      </c>
      <c r="BG243" t="s">
        <v>74</v>
      </c>
      <c r="BH243" t="s">
        <v>74</v>
      </c>
      <c r="BI243">
        <v>11</v>
      </c>
      <c r="BJ243" t="s">
        <v>5065</v>
      </c>
      <c r="BK243" t="s">
        <v>103</v>
      </c>
      <c r="BL243" t="s">
        <v>5066</v>
      </c>
      <c r="BM243" t="s">
        <v>5067</v>
      </c>
      <c r="BN243">
        <v>37038528</v>
      </c>
      <c r="BO243" t="s">
        <v>5068</v>
      </c>
      <c r="BP243" t="s">
        <v>74</v>
      </c>
      <c r="BQ243" t="s">
        <v>74</v>
      </c>
      <c r="BR243" t="s">
        <v>106</v>
      </c>
      <c r="BS243" t="s">
        <v>5069</v>
      </c>
      <c r="BT243" t="str">
        <f>HYPERLINK("https%3A%2F%2Fwww.webofscience.com%2Fwos%2Fwoscc%2Ffull-record%2FWOS:000965034400001","View Full Record in Web of Science")</f>
        <v>View Full Record in Web of Science</v>
      </c>
    </row>
    <row r="244" spans="1:72" x14ac:dyDescent="0.15">
      <c r="A244" t="s">
        <v>72</v>
      </c>
      <c r="B244" t="s">
        <v>5070</v>
      </c>
      <c r="C244" t="s">
        <v>74</v>
      </c>
      <c r="D244" t="s">
        <v>74</v>
      </c>
      <c r="E244" t="s">
        <v>74</v>
      </c>
      <c r="F244" t="s">
        <v>5071</v>
      </c>
      <c r="G244" t="s">
        <v>74</v>
      </c>
      <c r="H244" t="s">
        <v>74</v>
      </c>
      <c r="I244" t="s">
        <v>5072</v>
      </c>
      <c r="J244" t="s">
        <v>5073</v>
      </c>
      <c r="K244" t="s">
        <v>74</v>
      </c>
      <c r="L244" t="s">
        <v>74</v>
      </c>
      <c r="M244" t="s">
        <v>78</v>
      </c>
      <c r="N244" t="s">
        <v>112</v>
      </c>
      <c r="O244" t="s">
        <v>74</v>
      </c>
      <c r="P244" t="s">
        <v>74</v>
      </c>
      <c r="Q244" t="s">
        <v>74</v>
      </c>
      <c r="R244" t="s">
        <v>74</v>
      </c>
      <c r="S244" t="s">
        <v>74</v>
      </c>
      <c r="T244" t="s">
        <v>74</v>
      </c>
      <c r="U244" t="s">
        <v>5074</v>
      </c>
      <c r="V244" t="s">
        <v>5075</v>
      </c>
      <c r="W244" t="s">
        <v>5076</v>
      </c>
      <c r="X244" t="s">
        <v>5077</v>
      </c>
      <c r="Y244" t="s">
        <v>5078</v>
      </c>
      <c r="Z244" t="s">
        <v>5079</v>
      </c>
      <c r="AA244" t="s">
        <v>74</v>
      </c>
      <c r="AB244" t="s">
        <v>74</v>
      </c>
      <c r="AC244" t="s">
        <v>5080</v>
      </c>
      <c r="AD244" t="s">
        <v>5080</v>
      </c>
      <c r="AE244" t="s">
        <v>5081</v>
      </c>
      <c r="AF244" t="s">
        <v>74</v>
      </c>
      <c r="AG244">
        <v>35</v>
      </c>
      <c r="AH244">
        <v>0</v>
      </c>
      <c r="AI244">
        <v>0</v>
      </c>
      <c r="AJ244">
        <v>0</v>
      </c>
      <c r="AK244">
        <v>2</v>
      </c>
      <c r="AL244" t="s">
        <v>5082</v>
      </c>
      <c r="AM244" t="s">
        <v>179</v>
      </c>
      <c r="AN244" t="s">
        <v>5083</v>
      </c>
      <c r="AO244" t="s">
        <v>5084</v>
      </c>
      <c r="AP244" t="s">
        <v>5085</v>
      </c>
      <c r="AQ244" t="s">
        <v>74</v>
      </c>
      <c r="AR244" t="s">
        <v>5086</v>
      </c>
      <c r="AS244" t="s">
        <v>5087</v>
      </c>
      <c r="AT244" t="s">
        <v>1437</v>
      </c>
      <c r="AU244">
        <v>2023</v>
      </c>
      <c r="AV244">
        <v>63</v>
      </c>
      <c r="AW244">
        <v>2</v>
      </c>
      <c r="AX244" t="s">
        <v>74</v>
      </c>
      <c r="AY244" t="s">
        <v>74</v>
      </c>
      <c r="AZ244" t="s">
        <v>74</v>
      </c>
      <c r="BA244" t="s">
        <v>74</v>
      </c>
      <c r="BB244">
        <v>136</v>
      </c>
      <c r="BC244">
        <v>145</v>
      </c>
      <c r="BD244" t="s">
        <v>74</v>
      </c>
      <c r="BE244" t="s">
        <v>5088</v>
      </c>
      <c r="BF244" t="str">
        <f>HYPERLINK("http://dx.doi.org/10.1134/S0016793222600849","http://dx.doi.org/10.1134/S0016793222600849")</f>
        <v>http://dx.doi.org/10.1134/S0016793222600849</v>
      </c>
      <c r="BG244" t="s">
        <v>74</v>
      </c>
      <c r="BH244" t="s">
        <v>74</v>
      </c>
      <c r="BI244">
        <v>10</v>
      </c>
      <c r="BJ244" t="s">
        <v>313</v>
      </c>
      <c r="BK244" t="s">
        <v>103</v>
      </c>
      <c r="BL244" t="s">
        <v>313</v>
      </c>
      <c r="BM244" t="s">
        <v>5089</v>
      </c>
      <c r="BN244" t="s">
        <v>74</v>
      </c>
      <c r="BO244" t="s">
        <v>74</v>
      </c>
      <c r="BP244" t="s">
        <v>74</v>
      </c>
      <c r="BQ244" t="s">
        <v>74</v>
      </c>
      <c r="BR244" t="s">
        <v>106</v>
      </c>
      <c r="BS244" t="s">
        <v>5090</v>
      </c>
      <c r="BT244" t="str">
        <f>HYPERLINK("https%3A%2F%2Fwww.webofscience.com%2Fwos%2Fwoscc%2Ffull-record%2FWOS:000992827600004","View Full Record in Web of Science")</f>
        <v>View Full Record in Web of Science</v>
      </c>
    </row>
    <row r="245" spans="1:72" x14ac:dyDescent="0.15">
      <c r="A245" t="s">
        <v>72</v>
      </c>
      <c r="B245" t="s">
        <v>5091</v>
      </c>
      <c r="C245" t="s">
        <v>74</v>
      </c>
      <c r="D245" t="s">
        <v>74</v>
      </c>
      <c r="E245" t="s">
        <v>74</v>
      </c>
      <c r="F245" t="s">
        <v>5092</v>
      </c>
      <c r="G245" t="s">
        <v>74</v>
      </c>
      <c r="H245" t="s">
        <v>74</v>
      </c>
      <c r="I245" t="s">
        <v>5093</v>
      </c>
      <c r="J245" t="s">
        <v>5094</v>
      </c>
      <c r="K245" t="s">
        <v>74</v>
      </c>
      <c r="L245" t="s">
        <v>74</v>
      </c>
      <c r="M245" t="s">
        <v>78</v>
      </c>
      <c r="N245" t="s">
        <v>112</v>
      </c>
      <c r="O245" t="s">
        <v>74</v>
      </c>
      <c r="P245" t="s">
        <v>74</v>
      </c>
      <c r="Q245" t="s">
        <v>74</v>
      </c>
      <c r="R245" t="s">
        <v>74</v>
      </c>
      <c r="S245" t="s">
        <v>74</v>
      </c>
      <c r="T245" t="s">
        <v>5095</v>
      </c>
      <c r="U245" t="s">
        <v>5096</v>
      </c>
      <c r="V245" t="s">
        <v>5097</v>
      </c>
      <c r="W245" t="s">
        <v>5098</v>
      </c>
      <c r="X245" t="s">
        <v>5099</v>
      </c>
      <c r="Y245" t="s">
        <v>5100</v>
      </c>
      <c r="Z245" t="s">
        <v>5101</v>
      </c>
      <c r="AA245" t="s">
        <v>74</v>
      </c>
      <c r="AB245" t="s">
        <v>74</v>
      </c>
      <c r="AC245" t="s">
        <v>5102</v>
      </c>
      <c r="AD245" t="s">
        <v>251</v>
      </c>
      <c r="AE245" t="s">
        <v>5103</v>
      </c>
      <c r="AF245" t="s">
        <v>74</v>
      </c>
      <c r="AG245">
        <v>26</v>
      </c>
      <c r="AH245">
        <v>0</v>
      </c>
      <c r="AI245">
        <v>0</v>
      </c>
      <c r="AJ245">
        <v>1</v>
      </c>
      <c r="AK245">
        <v>1</v>
      </c>
      <c r="AL245" t="s">
        <v>5082</v>
      </c>
      <c r="AM245" t="s">
        <v>179</v>
      </c>
      <c r="AN245" t="s">
        <v>5083</v>
      </c>
      <c r="AO245" t="s">
        <v>5104</v>
      </c>
      <c r="AP245" t="s">
        <v>5105</v>
      </c>
      <c r="AQ245" t="s">
        <v>74</v>
      </c>
      <c r="AR245" t="s">
        <v>5106</v>
      </c>
      <c r="AS245" t="s">
        <v>5107</v>
      </c>
      <c r="AT245" t="s">
        <v>1437</v>
      </c>
      <c r="AU245">
        <v>2023</v>
      </c>
      <c r="AV245">
        <v>59</v>
      </c>
      <c r="AW245">
        <v>2</v>
      </c>
      <c r="AX245" t="s">
        <v>74</v>
      </c>
      <c r="AY245" t="s">
        <v>74</v>
      </c>
      <c r="AZ245" t="s">
        <v>74</v>
      </c>
      <c r="BA245" t="s">
        <v>74</v>
      </c>
      <c r="BB245">
        <v>189</v>
      </c>
      <c r="BC245">
        <v>200</v>
      </c>
      <c r="BD245" t="s">
        <v>74</v>
      </c>
      <c r="BE245" t="s">
        <v>5108</v>
      </c>
      <c r="BF245" t="str">
        <f>HYPERLINK("http://dx.doi.org/10.1134/S000143382302010X","http://dx.doi.org/10.1134/S000143382302010X")</f>
        <v>http://dx.doi.org/10.1134/S000143382302010X</v>
      </c>
      <c r="BG245" t="s">
        <v>74</v>
      </c>
      <c r="BH245" t="s">
        <v>74</v>
      </c>
      <c r="BI245">
        <v>12</v>
      </c>
      <c r="BJ245" t="s">
        <v>4434</v>
      </c>
      <c r="BK245" t="s">
        <v>103</v>
      </c>
      <c r="BL245" t="s">
        <v>4434</v>
      </c>
      <c r="BM245" t="s">
        <v>5109</v>
      </c>
      <c r="BN245" t="s">
        <v>74</v>
      </c>
      <c r="BO245" t="s">
        <v>74</v>
      </c>
      <c r="BP245" t="s">
        <v>74</v>
      </c>
      <c r="BQ245" t="s">
        <v>74</v>
      </c>
      <c r="BR245" t="s">
        <v>106</v>
      </c>
      <c r="BS245" t="s">
        <v>5110</v>
      </c>
      <c r="BT245" t="str">
        <f>HYPERLINK("https%3A%2F%2Fwww.webofscience.com%2Fwos%2Fwoscc%2Ffull-record%2FWOS:000986202700007","View Full Record in Web of Science")</f>
        <v>View Full Record in Web of Science</v>
      </c>
    </row>
    <row r="246" spans="1:72" x14ac:dyDescent="0.15">
      <c r="A246" t="s">
        <v>72</v>
      </c>
      <c r="B246" t="s">
        <v>5111</v>
      </c>
      <c r="C246" t="s">
        <v>74</v>
      </c>
      <c r="D246" t="s">
        <v>74</v>
      </c>
      <c r="E246" t="s">
        <v>74</v>
      </c>
      <c r="F246" t="s">
        <v>5112</v>
      </c>
      <c r="G246" t="s">
        <v>74</v>
      </c>
      <c r="H246" t="s">
        <v>74</v>
      </c>
      <c r="I246" t="s">
        <v>5113</v>
      </c>
      <c r="J246" t="s">
        <v>5114</v>
      </c>
      <c r="K246" t="s">
        <v>74</v>
      </c>
      <c r="L246" t="s">
        <v>74</v>
      </c>
      <c r="M246" t="s">
        <v>78</v>
      </c>
      <c r="N246" t="s">
        <v>112</v>
      </c>
      <c r="O246" t="s">
        <v>74</v>
      </c>
      <c r="P246" t="s">
        <v>74</v>
      </c>
      <c r="Q246" t="s">
        <v>74</v>
      </c>
      <c r="R246" t="s">
        <v>74</v>
      </c>
      <c r="S246" t="s">
        <v>74</v>
      </c>
      <c r="T246" t="s">
        <v>74</v>
      </c>
      <c r="U246" t="s">
        <v>5115</v>
      </c>
      <c r="V246" t="s">
        <v>5116</v>
      </c>
      <c r="W246" t="s">
        <v>5117</v>
      </c>
      <c r="X246" t="s">
        <v>5118</v>
      </c>
      <c r="Y246" t="s">
        <v>5119</v>
      </c>
      <c r="Z246" t="s">
        <v>5120</v>
      </c>
      <c r="AA246" t="s">
        <v>74</v>
      </c>
      <c r="AB246" t="s">
        <v>74</v>
      </c>
      <c r="AC246" t="s">
        <v>5121</v>
      </c>
      <c r="AD246" t="s">
        <v>5122</v>
      </c>
      <c r="AE246" t="s">
        <v>5123</v>
      </c>
      <c r="AF246" t="s">
        <v>74</v>
      </c>
      <c r="AG246">
        <v>63</v>
      </c>
      <c r="AH246">
        <v>0</v>
      </c>
      <c r="AI246">
        <v>0</v>
      </c>
      <c r="AJ246">
        <v>0</v>
      </c>
      <c r="AK246">
        <v>3</v>
      </c>
      <c r="AL246" t="s">
        <v>5124</v>
      </c>
      <c r="AM246" t="s">
        <v>5125</v>
      </c>
      <c r="AN246" t="s">
        <v>5126</v>
      </c>
      <c r="AO246" t="s">
        <v>5127</v>
      </c>
      <c r="AP246" t="s">
        <v>74</v>
      </c>
      <c r="AQ246" t="s">
        <v>74</v>
      </c>
      <c r="AR246" t="s">
        <v>5128</v>
      </c>
      <c r="AS246" t="s">
        <v>5129</v>
      </c>
      <c r="AT246" t="s">
        <v>1437</v>
      </c>
      <c r="AU246">
        <v>2023</v>
      </c>
      <c r="AV246">
        <v>53</v>
      </c>
      <c r="AW246">
        <v>2</v>
      </c>
      <c r="AX246" t="s">
        <v>74</v>
      </c>
      <c r="AY246" t="s">
        <v>74</v>
      </c>
      <c r="AZ246" t="s">
        <v>74</v>
      </c>
      <c r="BA246" t="s">
        <v>74</v>
      </c>
      <c r="BB246">
        <v>143</v>
      </c>
      <c r="BC246">
        <v>156</v>
      </c>
      <c r="BD246" t="s">
        <v>74</v>
      </c>
      <c r="BE246" t="s">
        <v>74</v>
      </c>
      <c r="BF246" t="s">
        <v>74</v>
      </c>
      <c r="BG246" t="s">
        <v>74</v>
      </c>
      <c r="BH246" t="s">
        <v>74</v>
      </c>
      <c r="BI246">
        <v>14</v>
      </c>
      <c r="BJ246" t="s">
        <v>2970</v>
      </c>
      <c r="BK246" t="s">
        <v>103</v>
      </c>
      <c r="BL246" t="s">
        <v>2970</v>
      </c>
      <c r="BM246" t="s">
        <v>5130</v>
      </c>
      <c r="BN246" t="s">
        <v>74</v>
      </c>
      <c r="BO246" t="s">
        <v>74</v>
      </c>
      <c r="BP246" t="s">
        <v>74</v>
      </c>
      <c r="BQ246" t="s">
        <v>74</v>
      </c>
      <c r="BR246" t="s">
        <v>106</v>
      </c>
      <c r="BS246" t="s">
        <v>5131</v>
      </c>
      <c r="BT246" t="str">
        <f>HYPERLINK("https%3A%2F%2Fwww.webofscience.com%2Fwos%2Fwoscc%2Ffull-record%2FWOS:000986864200006","View Full Record in Web of Science")</f>
        <v>View Full Record in Web of Science</v>
      </c>
    </row>
    <row r="247" spans="1:72" x14ac:dyDescent="0.15">
      <c r="A247" t="s">
        <v>72</v>
      </c>
      <c r="B247" t="s">
        <v>5132</v>
      </c>
      <c r="C247" t="s">
        <v>74</v>
      </c>
      <c r="D247" t="s">
        <v>74</v>
      </c>
      <c r="E247" t="s">
        <v>74</v>
      </c>
      <c r="F247" t="s">
        <v>5133</v>
      </c>
      <c r="G247" t="s">
        <v>74</v>
      </c>
      <c r="H247" t="s">
        <v>74</v>
      </c>
      <c r="I247" t="s">
        <v>5134</v>
      </c>
      <c r="J247" t="s">
        <v>1534</v>
      </c>
      <c r="K247" t="s">
        <v>74</v>
      </c>
      <c r="L247" t="s">
        <v>74</v>
      </c>
      <c r="M247" t="s">
        <v>78</v>
      </c>
      <c r="N247" t="s">
        <v>79</v>
      </c>
      <c r="O247" t="s">
        <v>74</v>
      </c>
      <c r="P247" t="s">
        <v>74</v>
      </c>
      <c r="Q247" t="s">
        <v>74</v>
      </c>
      <c r="R247" t="s">
        <v>74</v>
      </c>
      <c r="S247" t="s">
        <v>74</v>
      </c>
      <c r="T247" t="s">
        <v>5135</v>
      </c>
      <c r="U247" t="s">
        <v>74</v>
      </c>
      <c r="V247" t="s">
        <v>74</v>
      </c>
      <c r="W247" t="s">
        <v>5136</v>
      </c>
      <c r="X247" t="s">
        <v>5137</v>
      </c>
      <c r="Y247" t="s">
        <v>5138</v>
      </c>
      <c r="Z247" t="s">
        <v>5139</v>
      </c>
      <c r="AA247" t="s">
        <v>5140</v>
      </c>
      <c r="AB247" t="s">
        <v>5141</v>
      </c>
      <c r="AC247" t="s">
        <v>5142</v>
      </c>
      <c r="AD247" t="s">
        <v>5143</v>
      </c>
      <c r="AE247" t="s">
        <v>5144</v>
      </c>
      <c r="AF247" t="s">
        <v>74</v>
      </c>
      <c r="AG247">
        <v>12</v>
      </c>
      <c r="AH247">
        <v>0</v>
      </c>
      <c r="AI247">
        <v>0</v>
      </c>
      <c r="AJ247">
        <v>1</v>
      </c>
      <c r="AK247">
        <v>4</v>
      </c>
      <c r="AL247" t="s">
        <v>1101</v>
      </c>
      <c r="AM247" t="s">
        <v>179</v>
      </c>
      <c r="AN247" t="s">
        <v>1543</v>
      </c>
      <c r="AO247" t="s">
        <v>1544</v>
      </c>
      <c r="AP247" t="s">
        <v>1545</v>
      </c>
      <c r="AQ247" t="s">
        <v>74</v>
      </c>
      <c r="AR247" t="s">
        <v>1546</v>
      </c>
      <c r="AS247" t="s">
        <v>1547</v>
      </c>
      <c r="AT247" t="s">
        <v>1437</v>
      </c>
      <c r="AU247">
        <v>2023</v>
      </c>
      <c r="AV247">
        <v>35</v>
      </c>
      <c r="AW247">
        <v>2</v>
      </c>
      <c r="AX247" t="s">
        <v>74</v>
      </c>
      <c r="AY247" t="s">
        <v>74</v>
      </c>
      <c r="AZ247" t="s">
        <v>74</v>
      </c>
      <c r="BA247" t="s">
        <v>74</v>
      </c>
      <c r="BB247">
        <v>61</v>
      </c>
      <c r="BC247">
        <v>63</v>
      </c>
      <c r="BD247" t="s">
        <v>74</v>
      </c>
      <c r="BE247" t="s">
        <v>5145</v>
      </c>
      <c r="BF247" t="str">
        <f>HYPERLINK("http://dx.doi.org/10.1017/S0954102023000081","http://dx.doi.org/10.1017/S0954102023000081")</f>
        <v>http://dx.doi.org/10.1017/S0954102023000081</v>
      </c>
      <c r="BG247" t="s">
        <v>74</v>
      </c>
      <c r="BH247" t="s">
        <v>74</v>
      </c>
      <c r="BI247">
        <v>3</v>
      </c>
      <c r="BJ247" t="s">
        <v>1550</v>
      </c>
      <c r="BK247" t="s">
        <v>103</v>
      </c>
      <c r="BL247" t="s">
        <v>1551</v>
      </c>
      <c r="BM247" t="s">
        <v>1581</v>
      </c>
      <c r="BN247" t="s">
        <v>74</v>
      </c>
      <c r="BO247" t="s">
        <v>334</v>
      </c>
      <c r="BP247" t="s">
        <v>74</v>
      </c>
      <c r="BQ247" t="s">
        <v>74</v>
      </c>
      <c r="BR247" t="s">
        <v>106</v>
      </c>
      <c r="BS247" t="s">
        <v>5146</v>
      </c>
      <c r="BT247" t="str">
        <f>HYPERLINK("https%3A%2F%2Fwww.webofscience.com%2Fwos%2Fwoscc%2Ffull-record%2FWOS:000986799300001","View Full Record in Web of Science")</f>
        <v>View Full Record in Web of Science</v>
      </c>
    </row>
    <row r="248" spans="1:72" x14ac:dyDescent="0.15">
      <c r="A248" t="s">
        <v>72</v>
      </c>
      <c r="B248" t="s">
        <v>5147</v>
      </c>
      <c r="C248" t="s">
        <v>74</v>
      </c>
      <c r="D248" t="s">
        <v>74</v>
      </c>
      <c r="E248" t="s">
        <v>74</v>
      </c>
      <c r="F248" t="s">
        <v>5148</v>
      </c>
      <c r="G248" t="s">
        <v>74</v>
      </c>
      <c r="H248" t="s">
        <v>74</v>
      </c>
      <c r="I248" t="s">
        <v>5149</v>
      </c>
      <c r="J248" t="s">
        <v>1685</v>
      </c>
      <c r="K248" t="s">
        <v>74</v>
      </c>
      <c r="L248" t="s">
        <v>74</v>
      </c>
      <c r="M248" t="s">
        <v>78</v>
      </c>
      <c r="N248" t="s">
        <v>112</v>
      </c>
      <c r="O248" t="s">
        <v>74</v>
      </c>
      <c r="P248" t="s">
        <v>74</v>
      </c>
      <c r="Q248" t="s">
        <v>74</v>
      </c>
      <c r="R248" t="s">
        <v>74</v>
      </c>
      <c r="S248" t="s">
        <v>74</v>
      </c>
      <c r="T248" t="s">
        <v>74</v>
      </c>
      <c r="U248" t="s">
        <v>5150</v>
      </c>
      <c r="V248" t="s">
        <v>5151</v>
      </c>
      <c r="W248" t="s">
        <v>5152</v>
      </c>
      <c r="X248" t="s">
        <v>5153</v>
      </c>
      <c r="Y248" t="s">
        <v>5154</v>
      </c>
      <c r="Z248" t="s">
        <v>5155</v>
      </c>
      <c r="AA248" t="s">
        <v>5156</v>
      </c>
      <c r="AB248" t="s">
        <v>5157</v>
      </c>
      <c r="AC248" t="s">
        <v>5158</v>
      </c>
      <c r="AD248" t="s">
        <v>5159</v>
      </c>
      <c r="AE248" t="s">
        <v>5160</v>
      </c>
      <c r="AF248" t="s">
        <v>74</v>
      </c>
      <c r="AG248">
        <v>54</v>
      </c>
      <c r="AH248">
        <v>3</v>
      </c>
      <c r="AI248">
        <v>3</v>
      </c>
      <c r="AJ248">
        <v>3</v>
      </c>
      <c r="AK248">
        <v>8</v>
      </c>
      <c r="AL248" t="s">
        <v>203</v>
      </c>
      <c r="AM248" t="s">
        <v>204</v>
      </c>
      <c r="AN248" t="s">
        <v>205</v>
      </c>
      <c r="AO248" t="s">
        <v>74</v>
      </c>
      <c r="AP248" t="s">
        <v>1696</v>
      </c>
      <c r="AQ248" t="s">
        <v>74</v>
      </c>
      <c r="AR248" t="s">
        <v>1697</v>
      </c>
      <c r="AS248" t="s">
        <v>1698</v>
      </c>
      <c r="AT248" t="s">
        <v>4546</v>
      </c>
      <c r="AU248">
        <v>2023</v>
      </c>
      <c r="AV248">
        <v>14</v>
      </c>
      <c r="AW248">
        <v>1</v>
      </c>
      <c r="AX248" t="s">
        <v>74</v>
      </c>
      <c r="AY248" t="s">
        <v>74</v>
      </c>
      <c r="AZ248" t="s">
        <v>74</v>
      </c>
      <c r="BA248" t="s">
        <v>74</v>
      </c>
      <c r="BB248" t="s">
        <v>74</v>
      </c>
      <c r="BC248" t="s">
        <v>74</v>
      </c>
      <c r="BD248">
        <v>1825</v>
      </c>
      <c r="BE248" t="s">
        <v>5161</v>
      </c>
      <c r="BF248" t="str">
        <f>HYPERLINK("http://dx.doi.org/10.1038/s41467-023-37553-2","http://dx.doi.org/10.1038/s41467-023-37553-2")</f>
        <v>http://dx.doi.org/10.1038/s41467-023-37553-2</v>
      </c>
      <c r="BG248" t="s">
        <v>74</v>
      </c>
      <c r="BH248" t="s">
        <v>74</v>
      </c>
      <c r="BI248">
        <v>11</v>
      </c>
      <c r="BJ248" t="s">
        <v>210</v>
      </c>
      <c r="BK248" t="s">
        <v>103</v>
      </c>
      <c r="BL248" t="s">
        <v>211</v>
      </c>
      <c r="BM248" t="s">
        <v>5162</v>
      </c>
      <c r="BN248">
        <v>37005432</v>
      </c>
      <c r="BO248" t="s">
        <v>5068</v>
      </c>
      <c r="BP248" t="s">
        <v>74</v>
      </c>
      <c r="BQ248" t="s">
        <v>74</v>
      </c>
      <c r="BR248" t="s">
        <v>106</v>
      </c>
      <c r="BS248" t="s">
        <v>5163</v>
      </c>
      <c r="BT248" t="str">
        <f>HYPERLINK("https%3A%2F%2Fwww.webofscience.com%2Fwos%2Fwoscc%2Ffull-record%2FWOS:000962482700004","View Full Record in Web of Science")</f>
        <v>View Full Record in Web of Science</v>
      </c>
    </row>
    <row r="249" spans="1:72" x14ac:dyDescent="0.15">
      <c r="A249" t="s">
        <v>72</v>
      </c>
      <c r="B249" t="s">
        <v>5164</v>
      </c>
      <c r="C249" t="s">
        <v>74</v>
      </c>
      <c r="D249" t="s">
        <v>74</v>
      </c>
      <c r="E249" t="s">
        <v>74</v>
      </c>
      <c r="F249" t="s">
        <v>5165</v>
      </c>
      <c r="G249" t="s">
        <v>74</v>
      </c>
      <c r="H249" t="s">
        <v>74</v>
      </c>
      <c r="I249" t="s">
        <v>5166</v>
      </c>
      <c r="J249" t="s">
        <v>577</v>
      </c>
      <c r="K249" t="s">
        <v>74</v>
      </c>
      <c r="L249" t="s">
        <v>74</v>
      </c>
      <c r="M249" t="s">
        <v>78</v>
      </c>
      <c r="N249" t="s">
        <v>112</v>
      </c>
      <c r="O249" t="s">
        <v>74</v>
      </c>
      <c r="P249" t="s">
        <v>74</v>
      </c>
      <c r="Q249" t="s">
        <v>74</v>
      </c>
      <c r="R249" t="s">
        <v>74</v>
      </c>
      <c r="S249" t="s">
        <v>74</v>
      </c>
      <c r="T249" t="s">
        <v>5167</v>
      </c>
      <c r="U249" t="s">
        <v>5168</v>
      </c>
      <c r="V249" t="s">
        <v>5169</v>
      </c>
      <c r="W249" t="s">
        <v>5170</v>
      </c>
      <c r="X249" t="s">
        <v>5171</v>
      </c>
      <c r="Y249" t="s">
        <v>5172</v>
      </c>
      <c r="Z249" t="s">
        <v>5173</v>
      </c>
      <c r="AA249" t="s">
        <v>5174</v>
      </c>
      <c r="AB249" t="s">
        <v>5175</v>
      </c>
      <c r="AC249" t="s">
        <v>5176</v>
      </c>
      <c r="AD249" t="s">
        <v>5177</v>
      </c>
      <c r="AE249" t="s">
        <v>5178</v>
      </c>
      <c r="AF249" t="s">
        <v>74</v>
      </c>
      <c r="AG249">
        <v>42</v>
      </c>
      <c r="AH249">
        <v>1</v>
      </c>
      <c r="AI249">
        <v>1</v>
      </c>
      <c r="AJ249">
        <v>8</v>
      </c>
      <c r="AK249">
        <v>15</v>
      </c>
      <c r="AL249" t="s">
        <v>125</v>
      </c>
      <c r="AM249" t="s">
        <v>126</v>
      </c>
      <c r="AN249" t="s">
        <v>127</v>
      </c>
      <c r="AO249" t="s">
        <v>74</v>
      </c>
      <c r="AP249" t="s">
        <v>589</v>
      </c>
      <c r="AQ249" t="s">
        <v>74</v>
      </c>
      <c r="AR249" t="s">
        <v>590</v>
      </c>
      <c r="AS249" t="s">
        <v>591</v>
      </c>
      <c r="AT249" t="s">
        <v>1437</v>
      </c>
      <c r="AU249">
        <v>2023</v>
      </c>
      <c r="AV249">
        <v>15</v>
      </c>
      <c r="AW249">
        <v>8</v>
      </c>
      <c r="AX249" t="s">
        <v>74</v>
      </c>
      <c r="AY249" t="s">
        <v>74</v>
      </c>
      <c r="AZ249" t="s">
        <v>74</v>
      </c>
      <c r="BA249" t="s">
        <v>74</v>
      </c>
      <c r="BB249" t="s">
        <v>74</v>
      </c>
      <c r="BC249" t="s">
        <v>74</v>
      </c>
      <c r="BD249">
        <v>6919</v>
      </c>
      <c r="BE249" t="s">
        <v>5179</v>
      </c>
      <c r="BF249" t="str">
        <f>HYPERLINK("http://dx.doi.org/10.3390/su15086919","http://dx.doi.org/10.3390/su15086919")</f>
        <v>http://dx.doi.org/10.3390/su15086919</v>
      </c>
      <c r="BG249" t="s">
        <v>74</v>
      </c>
      <c r="BH249" t="s">
        <v>74</v>
      </c>
      <c r="BI249">
        <v>19</v>
      </c>
      <c r="BJ249" t="s">
        <v>594</v>
      </c>
      <c r="BK249" t="s">
        <v>595</v>
      </c>
      <c r="BL249" t="s">
        <v>596</v>
      </c>
      <c r="BM249" t="s">
        <v>5180</v>
      </c>
      <c r="BN249" t="s">
        <v>74</v>
      </c>
      <c r="BO249" t="s">
        <v>359</v>
      </c>
      <c r="BP249" t="s">
        <v>74</v>
      </c>
      <c r="BQ249" t="s">
        <v>74</v>
      </c>
      <c r="BR249" t="s">
        <v>106</v>
      </c>
      <c r="BS249" t="s">
        <v>5181</v>
      </c>
      <c r="BT249" t="str">
        <f>HYPERLINK("https%3A%2F%2Fwww.webofscience.com%2Fwos%2Fwoscc%2Ffull-record%2FWOS:000979633200001","View Full Record in Web of Science")</f>
        <v>View Full Record in Web of Science</v>
      </c>
    </row>
    <row r="250" spans="1:72" x14ac:dyDescent="0.15">
      <c r="A250" t="s">
        <v>72</v>
      </c>
      <c r="B250" t="s">
        <v>5182</v>
      </c>
      <c r="C250" t="s">
        <v>74</v>
      </c>
      <c r="D250" t="s">
        <v>74</v>
      </c>
      <c r="E250" t="s">
        <v>74</v>
      </c>
      <c r="F250" t="s">
        <v>5183</v>
      </c>
      <c r="G250" t="s">
        <v>74</v>
      </c>
      <c r="H250" t="s">
        <v>74</v>
      </c>
      <c r="I250" t="s">
        <v>5184</v>
      </c>
      <c r="J250" t="s">
        <v>5185</v>
      </c>
      <c r="K250" t="s">
        <v>74</v>
      </c>
      <c r="L250" t="s">
        <v>74</v>
      </c>
      <c r="M250" t="s">
        <v>78</v>
      </c>
      <c r="N250" t="s">
        <v>112</v>
      </c>
      <c r="O250" t="s">
        <v>74</v>
      </c>
      <c r="P250" t="s">
        <v>74</v>
      </c>
      <c r="Q250" t="s">
        <v>74</v>
      </c>
      <c r="R250" t="s">
        <v>74</v>
      </c>
      <c r="S250" t="s">
        <v>74</v>
      </c>
      <c r="T250" t="s">
        <v>5186</v>
      </c>
      <c r="U250" t="s">
        <v>5187</v>
      </c>
      <c r="V250" t="s">
        <v>5188</v>
      </c>
      <c r="W250" t="s">
        <v>5189</v>
      </c>
      <c r="X250" t="s">
        <v>5190</v>
      </c>
      <c r="Y250" t="s">
        <v>5191</v>
      </c>
      <c r="Z250" t="s">
        <v>5192</v>
      </c>
      <c r="AA250" t="s">
        <v>5193</v>
      </c>
      <c r="AB250" t="s">
        <v>5194</v>
      </c>
      <c r="AC250" t="s">
        <v>5195</v>
      </c>
      <c r="AD250" t="s">
        <v>5196</v>
      </c>
      <c r="AE250" t="s">
        <v>5197</v>
      </c>
      <c r="AF250" t="s">
        <v>74</v>
      </c>
      <c r="AG250">
        <v>55</v>
      </c>
      <c r="AH250">
        <v>3</v>
      </c>
      <c r="AI250">
        <v>3</v>
      </c>
      <c r="AJ250">
        <v>3</v>
      </c>
      <c r="AK250">
        <v>9</v>
      </c>
      <c r="AL250" t="s">
        <v>125</v>
      </c>
      <c r="AM250" t="s">
        <v>126</v>
      </c>
      <c r="AN250" t="s">
        <v>127</v>
      </c>
      <c r="AO250" t="s">
        <v>5198</v>
      </c>
      <c r="AP250" t="s">
        <v>74</v>
      </c>
      <c r="AQ250" t="s">
        <v>74</v>
      </c>
      <c r="AR250" t="s">
        <v>5199</v>
      </c>
      <c r="AS250" t="s">
        <v>5200</v>
      </c>
      <c r="AT250" t="s">
        <v>1437</v>
      </c>
      <c r="AU250">
        <v>2023</v>
      </c>
      <c r="AV250">
        <v>6</v>
      </c>
      <c r="AW250">
        <v>4</v>
      </c>
      <c r="AX250" t="s">
        <v>74</v>
      </c>
      <c r="AY250" t="s">
        <v>74</v>
      </c>
      <c r="AZ250" t="s">
        <v>74</v>
      </c>
      <c r="BA250" t="s">
        <v>74</v>
      </c>
      <c r="BB250" t="s">
        <v>74</v>
      </c>
      <c r="BC250" t="s">
        <v>74</v>
      </c>
      <c r="BD250">
        <v>152</v>
      </c>
      <c r="BE250" t="s">
        <v>5201</v>
      </c>
      <c r="BF250" t="str">
        <f>HYPERLINK("http://dx.doi.org/10.3390/fire6040152","http://dx.doi.org/10.3390/fire6040152")</f>
        <v>http://dx.doi.org/10.3390/fire6040152</v>
      </c>
      <c r="BG250" t="s">
        <v>74</v>
      </c>
      <c r="BH250" t="s">
        <v>74</v>
      </c>
      <c r="BI250">
        <v>10</v>
      </c>
      <c r="BJ250" t="s">
        <v>5202</v>
      </c>
      <c r="BK250" t="s">
        <v>103</v>
      </c>
      <c r="BL250" t="s">
        <v>5203</v>
      </c>
      <c r="BM250" t="s">
        <v>5204</v>
      </c>
      <c r="BN250" t="s">
        <v>74</v>
      </c>
      <c r="BO250" t="s">
        <v>359</v>
      </c>
      <c r="BP250" t="s">
        <v>74</v>
      </c>
      <c r="BQ250" t="s">
        <v>74</v>
      </c>
      <c r="BR250" t="s">
        <v>106</v>
      </c>
      <c r="BS250" t="s">
        <v>5205</v>
      </c>
      <c r="BT250" t="str">
        <f>HYPERLINK("https%3A%2F%2Fwww.webofscience.com%2Fwos%2Fwoscc%2Ffull-record%2FWOS:000979398900001","View Full Record in Web of Science")</f>
        <v>View Full Record in Web of Science</v>
      </c>
    </row>
    <row r="251" spans="1:72" x14ac:dyDescent="0.15">
      <c r="A251" t="s">
        <v>72</v>
      </c>
      <c r="B251" t="s">
        <v>5206</v>
      </c>
      <c r="C251" t="s">
        <v>74</v>
      </c>
      <c r="D251" t="s">
        <v>74</v>
      </c>
      <c r="E251" t="s">
        <v>74</v>
      </c>
      <c r="F251" t="s">
        <v>5207</v>
      </c>
      <c r="G251" t="s">
        <v>74</v>
      </c>
      <c r="H251" t="s">
        <v>74</v>
      </c>
      <c r="I251" t="s">
        <v>5208</v>
      </c>
      <c r="J251" t="s">
        <v>981</v>
      </c>
      <c r="K251" t="s">
        <v>74</v>
      </c>
      <c r="L251" t="s">
        <v>74</v>
      </c>
      <c r="M251" t="s">
        <v>78</v>
      </c>
      <c r="N251" t="s">
        <v>112</v>
      </c>
      <c r="O251" t="s">
        <v>74</v>
      </c>
      <c r="P251" t="s">
        <v>74</v>
      </c>
      <c r="Q251" t="s">
        <v>74</v>
      </c>
      <c r="R251" t="s">
        <v>74</v>
      </c>
      <c r="S251" t="s">
        <v>74</v>
      </c>
      <c r="T251" t="s">
        <v>5209</v>
      </c>
      <c r="U251" t="s">
        <v>5210</v>
      </c>
      <c r="V251" t="s">
        <v>5211</v>
      </c>
      <c r="W251" t="s">
        <v>5212</v>
      </c>
      <c r="X251" t="s">
        <v>5213</v>
      </c>
      <c r="Y251" t="s">
        <v>5214</v>
      </c>
      <c r="Z251" t="s">
        <v>5215</v>
      </c>
      <c r="AA251" t="s">
        <v>5216</v>
      </c>
      <c r="AB251" t="s">
        <v>5217</v>
      </c>
      <c r="AC251" t="s">
        <v>5218</v>
      </c>
      <c r="AD251" t="s">
        <v>5219</v>
      </c>
      <c r="AE251" t="s">
        <v>5220</v>
      </c>
      <c r="AF251" t="s">
        <v>74</v>
      </c>
      <c r="AG251">
        <v>53</v>
      </c>
      <c r="AH251">
        <v>2</v>
      </c>
      <c r="AI251">
        <v>2</v>
      </c>
      <c r="AJ251">
        <v>1</v>
      </c>
      <c r="AK251">
        <v>2</v>
      </c>
      <c r="AL251" t="s">
        <v>125</v>
      </c>
      <c r="AM251" t="s">
        <v>126</v>
      </c>
      <c r="AN251" t="s">
        <v>127</v>
      </c>
      <c r="AO251" t="s">
        <v>74</v>
      </c>
      <c r="AP251" t="s">
        <v>992</v>
      </c>
      <c r="AQ251" t="s">
        <v>74</v>
      </c>
      <c r="AR251" t="s">
        <v>993</v>
      </c>
      <c r="AS251" t="s">
        <v>994</v>
      </c>
      <c r="AT251" t="s">
        <v>1437</v>
      </c>
      <c r="AU251">
        <v>2023</v>
      </c>
      <c r="AV251">
        <v>15</v>
      </c>
      <c r="AW251">
        <v>8</v>
      </c>
      <c r="AX251" t="s">
        <v>74</v>
      </c>
      <c r="AY251" t="s">
        <v>74</v>
      </c>
      <c r="AZ251" t="s">
        <v>74</v>
      </c>
      <c r="BA251" t="s">
        <v>74</v>
      </c>
      <c r="BB251" t="s">
        <v>74</v>
      </c>
      <c r="BC251" t="s">
        <v>74</v>
      </c>
      <c r="BD251">
        <v>2052</v>
      </c>
      <c r="BE251" t="s">
        <v>5221</v>
      </c>
      <c r="BF251" t="str">
        <f>HYPERLINK("http://dx.doi.org/10.3390/rs15082052","http://dx.doi.org/10.3390/rs15082052")</f>
        <v>http://dx.doi.org/10.3390/rs15082052</v>
      </c>
      <c r="BG251" t="s">
        <v>74</v>
      </c>
      <c r="BH251" t="s">
        <v>74</v>
      </c>
      <c r="BI251">
        <v>20</v>
      </c>
      <c r="BJ251" t="s">
        <v>996</v>
      </c>
      <c r="BK251" t="s">
        <v>103</v>
      </c>
      <c r="BL251" t="s">
        <v>997</v>
      </c>
      <c r="BM251" t="s">
        <v>5222</v>
      </c>
      <c r="BN251" t="s">
        <v>74</v>
      </c>
      <c r="BO251" t="s">
        <v>614</v>
      </c>
      <c r="BP251" t="s">
        <v>74</v>
      </c>
      <c r="BQ251" t="s">
        <v>74</v>
      </c>
      <c r="BR251" t="s">
        <v>106</v>
      </c>
      <c r="BS251" t="s">
        <v>5223</v>
      </c>
      <c r="BT251" t="str">
        <f>HYPERLINK("https%3A%2F%2Fwww.webofscience.com%2Fwos%2Fwoscc%2Ffull-record%2FWOS:000979074400001","View Full Record in Web of Science")</f>
        <v>View Full Record in Web of Science</v>
      </c>
    </row>
    <row r="252" spans="1:72" x14ac:dyDescent="0.15">
      <c r="A252" t="s">
        <v>72</v>
      </c>
      <c r="B252" t="s">
        <v>5224</v>
      </c>
      <c r="C252" t="s">
        <v>74</v>
      </c>
      <c r="D252" t="s">
        <v>74</v>
      </c>
      <c r="E252" t="s">
        <v>74</v>
      </c>
      <c r="F252" t="s">
        <v>5225</v>
      </c>
      <c r="G252" t="s">
        <v>74</v>
      </c>
      <c r="H252" t="s">
        <v>74</v>
      </c>
      <c r="I252" t="s">
        <v>5226</v>
      </c>
      <c r="J252" t="s">
        <v>463</v>
      </c>
      <c r="K252" t="s">
        <v>74</v>
      </c>
      <c r="L252" t="s">
        <v>74</v>
      </c>
      <c r="M252" t="s">
        <v>78</v>
      </c>
      <c r="N252" t="s">
        <v>112</v>
      </c>
      <c r="O252" t="s">
        <v>74</v>
      </c>
      <c r="P252" t="s">
        <v>74</v>
      </c>
      <c r="Q252" t="s">
        <v>74</v>
      </c>
      <c r="R252" t="s">
        <v>74</v>
      </c>
      <c r="S252" t="s">
        <v>74</v>
      </c>
      <c r="T252" t="s">
        <v>5227</v>
      </c>
      <c r="U252" t="s">
        <v>5228</v>
      </c>
      <c r="V252" t="s">
        <v>5229</v>
      </c>
      <c r="W252" t="s">
        <v>5230</v>
      </c>
      <c r="X252" t="s">
        <v>5231</v>
      </c>
      <c r="Y252" t="s">
        <v>5232</v>
      </c>
      <c r="Z252" t="s">
        <v>5233</v>
      </c>
      <c r="AA252" t="s">
        <v>74</v>
      </c>
      <c r="AB252" t="s">
        <v>5234</v>
      </c>
      <c r="AC252" t="s">
        <v>5235</v>
      </c>
      <c r="AD252" t="s">
        <v>5236</v>
      </c>
      <c r="AE252" t="s">
        <v>5237</v>
      </c>
      <c r="AF252" t="s">
        <v>74</v>
      </c>
      <c r="AG252">
        <v>56</v>
      </c>
      <c r="AH252">
        <v>2</v>
      </c>
      <c r="AI252">
        <v>2</v>
      </c>
      <c r="AJ252">
        <v>0</v>
      </c>
      <c r="AK252">
        <v>0</v>
      </c>
      <c r="AL252" t="s">
        <v>125</v>
      </c>
      <c r="AM252" t="s">
        <v>126</v>
      </c>
      <c r="AN252" t="s">
        <v>127</v>
      </c>
      <c r="AO252" t="s">
        <v>74</v>
      </c>
      <c r="AP252" t="s">
        <v>476</v>
      </c>
      <c r="AQ252" t="s">
        <v>74</v>
      </c>
      <c r="AR252" t="s">
        <v>477</v>
      </c>
      <c r="AS252" t="s">
        <v>478</v>
      </c>
      <c r="AT252" t="s">
        <v>1437</v>
      </c>
      <c r="AU252">
        <v>2023</v>
      </c>
      <c r="AV252">
        <v>14</v>
      </c>
      <c r="AW252">
        <v>4</v>
      </c>
      <c r="AX252" t="s">
        <v>74</v>
      </c>
      <c r="AY252" t="s">
        <v>74</v>
      </c>
      <c r="AZ252" t="s">
        <v>74</v>
      </c>
      <c r="BA252" t="s">
        <v>74</v>
      </c>
      <c r="BB252" t="s">
        <v>74</v>
      </c>
      <c r="BC252" t="s">
        <v>74</v>
      </c>
      <c r="BD252">
        <v>935</v>
      </c>
      <c r="BE252" t="s">
        <v>5238</v>
      </c>
      <c r="BF252" t="str">
        <f>HYPERLINK("http://dx.doi.org/10.3390/genes14040935","http://dx.doi.org/10.3390/genes14040935")</f>
        <v>http://dx.doi.org/10.3390/genes14040935</v>
      </c>
      <c r="BG252" t="s">
        <v>74</v>
      </c>
      <c r="BH252" t="s">
        <v>74</v>
      </c>
      <c r="BI252">
        <v>15</v>
      </c>
      <c r="BJ252" t="s">
        <v>481</v>
      </c>
      <c r="BK252" t="s">
        <v>103</v>
      </c>
      <c r="BL252" t="s">
        <v>481</v>
      </c>
      <c r="BM252" t="s">
        <v>5239</v>
      </c>
      <c r="BN252">
        <v>37107693</v>
      </c>
      <c r="BO252" t="s">
        <v>359</v>
      </c>
      <c r="BP252" t="s">
        <v>74</v>
      </c>
      <c r="BQ252" t="s">
        <v>74</v>
      </c>
      <c r="BR252" t="s">
        <v>106</v>
      </c>
      <c r="BS252" t="s">
        <v>5240</v>
      </c>
      <c r="BT252" t="str">
        <f>HYPERLINK("https%3A%2F%2Fwww.webofscience.com%2Fwos%2Fwoscc%2Ffull-record%2FWOS:000979359000001","View Full Record in Web of Science")</f>
        <v>View Full Record in Web of Science</v>
      </c>
    </row>
    <row r="253" spans="1:72" x14ac:dyDescent="0.15">
      <c r="A253" t="s">
        <v>72</v>
      </c>
      <c r="B253" t="s">
        <v>5241</v>
      </c>
      <c r="C253" t="s">
        <v>74</v>
      </c>
      <c r="D253" t="s">
        <v>74</v>
      </c>
      <c r="E253" t="s">
        <v>74</v>
      </c>
      <c r="F253" t="s">
        <v>5242</v>
      </c>
      <c r="G253" t="s">
        <v>74</v>
      </c>
      <c r="H253" t="s">
        <v>74</v>
      </c>
      <c r="I253" t="s">
        <v>5243</v>
      </c>
      <c r="J253" t="s">
        <v>111</v>
      </c>
      <c r="K253" t="s">
        <v>74</v>
      </c>
      <c r="L253" t="s">
        <v>74</v>
      </c>
      <c r="M253" t="s">
        <v>78</v>
      </c>
      <c r="N253" t="s">
        <v>112</v>
      </c>
      <c r="O253" t="s">
        <v>74</v>
      </c>
      <c r="P253" t="s">
        <v>74</v>
      </c>
      <c r="Q253" t="s">
        <v>74</v>
      </c>
      <c r="R253" t="s">
        <v>74</v>
      </c>
      <c r="S253" t="s">
        <v>74</v>
      </c>
      <c r="T253" t="s">
        <v>5244</v>
      </c>
      <c r="U253" t="s">
        <v>5245</v>
      </c>
      <c r="V253" t="s">
        <v>5246</v>
      </c>
      <c r="W253" t="s">
        <v>5247</v>
      </c>
      <c r="X253" t="s">
        <v>5248</v>
      </c>
      <c r="Y253" t="s">
        <v>5249</v>
      </c>
      <c r="Z253" t="s">
        <v>5250</v>
      </c>
      <c r="AA253" t="s">
        <v>74</v>
      </c>
      <c r="AB253" t="s">
        <v>74</v>
      </c>
      <c r="AC253" t="s">
        <v>5251</v>
      </c>
      <c r="AD253" t="s">
        <v>5252</v>
      </c>
      <c r="AE253" t="s">
        <v>5253</v>
      </c>
      <c r="AF253" t="s">
        <v>74</v>
      </c>
      <c r="AG253">
        <v>51</v>
      </c>
      <c r="AH253">
        <v>0</v>
      </c>
      <c r="AI253">
        <v>0</v>
      </c>
      <c r="AJ253">
        <v>3</v>
      </c>
      <c r="AK253">
        <v>3</v>
      </c>
      <c r="AL253" t="s">
        <v>125</v>
      </c>
      <c r="AM253" t="s">
        <v>126</v>
      </c>
      <c r="AN253" t="s">
        <v>127</v>
      </c>
      <c r="AO253" t="s">
        <v>74</v>
      </c>
      <c r="AP253" t="s">
        <v>128</v>
      </c>
      <c r="AQ253" t="s">
        <v>74</v>
      </c>
      <c r="AR253" t="s">
        <v>129</v>
      </c>
      <c r="AS253" t="s">
        <v>130</v>
      </c>
      <c r="AT253" t="s">
        <v>1437</v>
      </c>
      <c r="AU253">
        <v>2023</v>
      </c>
      <c r="AV253">
        <v>11</v>
      </c>
      <c r="AW253">
        <v>4</v>
      </c>
      <c r="AX253" t="s">
        <v>74</v>
      </c>
      <c r="AY253" t="s">
        <v>74</v>
      </c>
      <c r="AZ253" t="s">
        <v>74</v>
      </c>
      <c r="BA253" t="s">
        <v>74</v>
      </c>
      <c r="BB253" t="s">
        <v>74</v>
      </c>
      <c r="BC253" t="s">
        <v>74</v>
      </c>
      <c r="BD253">
        <v>747</v>
      </c>
      <c r="BE253" t="s">
        <v>5254</v>
      </c>
      <c r="BF253" t="str">
        <f>HYPERLINK("http://dx.doi.org/10.3390/jmse11040747","http://dx.doi.org/10.3390/jmse11040747")</f>
        <v>http://dx.doi.org/10.3390/jmse11040747</v>
      </c>
      <c r="BG253" t="s">
        <v>74</v>
      </c>
      <c r="BH253" t="s">
        <v>74</v>
      </c>
      <c r="BI253">
        <v>19</v>
      </c>
      <c r="BJ253" t="s">
        <v>133</v>
      </c>
      <c r="BK253" t="s">
        <v>103</v>
      </c>
      <c r="BL253" t="s">
        <v>134</v>
      </c>
      <c r="BM253" t="s">
        <v>5255</v>
      </c>
      <c r="BN253" t="s">
        <v>74</v>
      </c>
      <c r="BO253" t="s">
        <v>359</v>
      </c>
      <c r="BP253" t="s">
        <v>74</v>
      </c>
      <c r="BQ253" t="s">
        <v>74</v>
      </c>
      <c r="BR253" t="s">
        <v>106</v>
      </c>
      <c r="BS253" t="s">
        <v>5256</v>
      </c>
      <c r="BT253" t="str">
        <f>HYPERLINK("https%3A%2F%2Fwww.webofscience.com%2Fwos%2Fwoscc%2Ffull-record%2FWOS:000976970800001","View Full Record in Web of Science")</f>
        <v>View Full Record in Web of Science</v>
      </c>
    </row>
    <row r="254" spans="1:72" x14ac:dyDescent="0.15">
      <c r="A254" t="s">
        <v>72</v>
      </c>
      <c r="B254" t="s">
        <v>5257</v>
      </c>
      <c r="C254" t="s">
        <v>74</v>
      </c>
      <c r="D254" t="s">
        <v>74</v>
      </c>
      <c r="E254" t="s">
        <v>74</v>
      </c>
      <c r="F254" t="s">
        <v>5258</v>
      </c>
      <c r="G254" t="s">
        <v>74</v>
      </c>
      <c r="H254" t="s">
        <v>74</v>
      </c>
      <c r="I254" t="s">
        <v>5259</v>
      </c>
      <c r="J254" t="s">
        <v>981</v>
      </c>
      <c r="K254" t="s">
        <v>74</v>
      </c>
      <c r="L254" t="s">
        <v>74</v>
      </c>
      <c r="M254" t="s">
        <v>78</v>
      </c>
      <c r="N254" t="s">
        <v>112</v>
      </c>
      <c r="O254" t="s">
        <v>74</v>
      </c>
      <c r="P254" t="s">
        <v>74</v>
      </c>
      <c r="Q254" t="s">
        <v>74</v>
      </c>
      <c r="R254" t="s">
        <v>74</v>
      </c>
      <c r="S254" t="s">
        <v>74</v>
      </c>
      <c r="T254" t="s">
        <v>5260</v>
      </c>
      <c r="U254" t="s">
        <v>5261</v>
      </c>
      <c r="V254" t="s">
        <v>5262</v>
      </c>
      <c r="W254" t="s">
        <v>5263</v>
      </c>
      <c r="X254" t="s">
        <v>4698</v>
      </c>
      <c r="Y254" t="s">
        <v>5264</v>
      </c>
      <c r="Z254" t="s">
        <v>5265</v>
      </c>
      <c r="AA254" t="s">
        <v>74</v>
      </c>
      <c r="AB254" t="s">
        <v>5266</v>
      </c>
      <c r="AC254" t="s">
        <v>5267</v>
      </c>
      <c r="AD254" t="s">
        <v>5268</v>
      </c>
      <c r="AE254" t="s">
        <v>5269</v>
      </c>
      <c r="AF254" t="s">
        <v>74</v>
      </c>
      <c r="AG254">
        <v>34</v>
      </c>
      <c r="AH254">
        <v>0</v>
      </c>
      <c r="AI254">
        <v>0</v>
      </c>
      <c r="AJ254">
        <v>5</v>
      </c>
      <c r="AK254">
        <v>6</v>
      </c>
      <c r="AL254" t="s">
        <v>125</v>
      </c>
      <c r="AM254" t="s">
        <v>126</v>
      </c>
      <c r="AN254" t="s">
        <v>127</v>
      </c>
      <c r="AO254" t="s">
        <v>74</v>
      </c>
      <c r="AP254" t="s">
        <v>992</v>
      </c>
      <c r="AQ254" t="s">
        <v>74</v>
      </c>
      <c r="AR254" t="s">
        <v>993</v>
      </c>
      <c r="AS254" t="s">
        <v>994</v>
      </c>
      <c r="AT254" t="s">
        <v>1437</v>
      </c>
      <c r="AU254">
        <v>2023</v>
      </c>
      <c r="AV254">
        <v>15</v>
      </c>
      <c r="AW254">
        <v>8</v>
      </c>
      <c r="AX254" t="s">
        <v>74</v>
      </c>
      <c r="AY254" t="s">
        <v>74</v>
      </c>
      <c r="AZ254" t="s">
        <v>74</v>
      </c>
      <c r="BA254" t="s">
        <v>74</v>
      </c>
      <c r="BB254" t="s">
        <v>74</v>
      </c>
      <c r="BC254" t="s">
        <v>74</v>
      </c>
      <c r="BD254">
        <v>1956</v>
      </c>
      <c r="BE254" t="s">
        <v>5270</v>
      </c>
      <c r="BF254" t="str">
        <f>HYPERLINK("http://dx.doi.org/10.3390/rs15081956","http://dx.doi.org/10.3390/rs15081956")</f>
        <v>http://dx.doi.org/10.3390/rs15081956</v>
      </c>
      <c r="BG254" t="s">
        <v>74</v>
      </c>
      <c r="BH254" t="s">
        <v>74</v>
      </c>
      <c r="BI254">
        <v>23</v>
      </c>
      <c r="BJ254" t="s">
        <v>996</v>
      </c>
      <c r="BK254" t="s">
        <v>103</v>
      </c>
      <c r="BL254" t="s">
        <v>997</v>
      </c>
      <c r="BM254" t="s">
        <v>5271</v>
      </c>
      <c r="BN254" t="s">
        <v>74</v>
      </c>
      <c r="BO254" t="s">
        <v>359</v>
      </c>
      <c r="BP254" t="s">
        <v>74</v>
      </c>
      <c r="BQ254" t="s">
        <v>74</v>
      </c>
      <c r="BR254" t="s">
        <v>106</v>
      </c>
      <c r="BS254" t="s">
        <v>5272</v>
      </c>
      <c r="BT254" t="str">
        <f>HYPERLINK("https%3A%2F%2Fwww.webofscience.com%2Fwos%2Fwoscc%2Ffull-record%2FWOS:000977303800001","View Full Record in Web of Science")</f>
        <v>View Full Record in Web of Science</v>
      </c>
    </row>
    <row r="255" spans="1:72" x14ac:dyDescent="0.15">
      <c r="A255" t="s">
        <v>72</v>
      </c>
      <c r="B255" t="s">
        <v>5273</v>
      </c>
      <c r="C255" t="s">
        <v>74</v>
      </c>
      <c r="D255" t="s">
        <v>74</v>
      </c>
      <c r="E255" t="s">
        <v>74</v>
      </c>
      <c r="F255" t="s">
        <v>5274</v>
      </c>
      <c r="G255" t="s">
        <v>74</v>
      </c>
      <c r="H255" t="s">
        <v>74</v>
      </c>
      <c r="I255" t="s">
        <v>5275</v>
      </c>
      <c r="J255" t="s">
        <v>5276</v>
      </c>
      <c r="K255" t="s">
        <v>74</v>
      </c>
      <c r="L255" t="s">
        <v>74</v>
      </c>
      <c r="M255" t="s">
        <v>78</v>
      </c>
      <c r="N255" t="s">
        <v>112</v>
      </c>
      <c r="O255" t="s">
        <v>74</v>
      </c>
      <c r="P255" t="s">
        <v>74</v>
      </c>
      <c r="Q255" t="s">
        <v>74</v>
      </c>
      <c r="R255" t="s">
        <v>74</v>
      </c>
      <c r="S255" t="s">
        <v>74</v>
      </c>
      <c r="T255" t="s">
        <v>5277</v>
      </c>
      <c r="U255" t="s">
        <v>5278</v>
      </c>
      <c r="V255" t="s">
        <v>5279</v>
      </c>
      <c r="W255" t="s">
        <v>5280</v>
      </c>
      <c r="X255" t="s">
        <v>5281</v>
      </c>
      <c r="Y255" t="s">
        <v>5282</v>
      </c>
      <c r="Z255" t="s">
        <v>5283</v>
      </c>
      <c r="AA255" t="s">
        <v>5284</v>
      </c>
      <c r="AB255" t="s">
        <v>5285</v>
      </c>
      <c r="AC255" t="s">
        <v>5286</v>
      </c>
      <c r="AD255" t="s">
        <v>74</v>
      </c>
      <c r="AE255" t="s">
        <v>5287</v>
      </c>
      <c r="AF255" t="s">
        <v>74</v>
      </c>
      <c r="AG255">
        <v>108</v>
      </c>
      <c r="AH255">
        <v>2</v>
      </c>
      <c r="AI255">
        <v>2</v>
      </c>
      <c r="AJ255">
        <v>1</v>
      </c>
      <c r="AK255">
        <v>5</v>
      </c>
      <c r="AL255" t="s">
        <v>768</v>
      </c>
      <c r="AM255" t="s">
        <v>2866</v>
      </c>
      <c r="AN255" t="s">
        <v>2867</v>
      </c>
      <c r="AO255" t="s">
        <v>5288</v>
      </c>
      <c r="AP255" t="s">
        <v>5289</v>
      </c>
      <c r="AQ255" t="s">
        <v>74</v>
      </c>
      <c r="AR255" t="s">
        <v>5290</v>
      </c>
      <c r="AS255" t="s">
        <v>5291</v>
      </c>
      <c r="AT255" t="s">
        <v>1437</v>
      </c>
      <c r="AU255">
        <v>2023</v>
      </c>
      <c r="AV255">
        <v>195</v>
      </c>
      <c r="AW255">
        <v>4</v>
      </c>
      <c r="AX255" t="s">
        <v>74</v>
      </c>
      <c r="AY255" t="s">
        <v>74</v>
      </c>
      <c r="AZ255" t="s">
        <v>74</v>
      </c>
      <c r="BA255" t="s">
        <v>74</v>
      </c>
      <c r="BB255" t="s">
        <v>74</v>
      </c>
      <c r="BC255" t="s">
        <v>74</v>
      </c>
      <c r="BD255">
        <v>514</v>
      </c>
      <c r="BE255" t="s">
        <v>5292</v>
      </c>
      <c r="BF255" t="str">
        <f>HYPERLINK("http://dx.doi.org/10.1007/s10661-023-11066-3","http://dx.doi.org/10.1007/s10661-023-11066-3")</f>
        <v>http://dx.doi.org/10.1007/s10661-023-11066-3</v>
      </c>
      <c r="BG255" t="s">
        <v>74</v>
      </c>
      <c r="BH255" t="s">
        <v>74</v>
      </c>
      <c r="BI255">
        <v>19</v>
      </c>
      <c r="BJ255" t="s">
        <v>1163</v>
      </c>
      <c r="BK255" t="s">
        <v>103</v>
      </c>
      <c r="BL255" t="s">
        <v>1164</v>
      </c>
      <c r="BM255" t="s">
        <v>5293</v>
      </c>
      <c r="BN255">
        <v>36973586</v>
      </c>
      <c r="BO255" t="s">
        <v>5294</v>
      </c>
      <c r="BP255" t="s">
        <v>74</v>
      </c>
      <c r="BQ255" t="s">
        <v>74</v>
      </c>
      <c r="BR255" t="s">
        <v>106</v>
      </c>
      <c r="BS255" t="s">
        <v>5295</v>
      </c>
      <c r="BT255" t="str">
        <f>HYPERLINK("https%3A%2F%2Fwww.webofscience.com%2Fwos%2Fwoscc%2Ffull-record%2FWOS:000958045100002","View Full Record in Web of Science")</f>
        <v>View Full Record in Web of Science</v>
      </c>
    </row>
    <row r="256" spans="1:72" x14ac:dyDescent="0.15">
      <c r="A256" t="s">
        <v>72</v>
      </c>
      <c r="B256" t="s">
        <v>5296</v>
      </c>
      <c r="C256" t="s">
        <v>74</v>
      </c>
      <c r="D256" t="s">
        <v>74</v>
      </c>
      <c r="E256" t="s">
        <v>74</v>
      </c>
      <c r="F256" t="s">
        <v>5297</v>
      </c>
      <c r="G256" t="s">
        <v>74</v>
      </c>
      <c r="H256" t="s">
        <v>74</v>
      </c>
      <c r="I256" t="s">
        <v>5298</v>
      </c>
      <c r="J256" t="s">
        <v>5299</v>
      </c>
      <c r="K256" t="s">
        <v>74</v>
      </c>
      <c r="L256" t="s">
        <v>74</v>
      </c>
      <c r="M256" t="s">
        <v>78</v>
      </c>
      <c r="N256" t="s">
        <v>112</v>
      </c>
      <c r="O256" t="s">
        <v>74</v>
      </c>
      <c r="P256" t="s">
        <v>74</v>
      </c>
      <c r="Q256" t="s">
        <v>74</v>
      </c>
      <c r="R256" t="s">
        <v>74</v>
      </c>
      <c r="S256" t="s">
        <v>74</v>
      </c>
      <c r="T256" t="s">
        <v>5300</v>
      </c>
      <c r="U256" t="s">
        <v>5301</v>
      </c>
      <c r="V256" t="s">
        <v>5302</v>
      </c>
      <c r="W256" t="s">
        <v>5303</v>
      </c>
      <c r="X256" t="s">
        <v>5304</v>
      </c>
      <c r="Y256" t="s">
        <v>5305</v>
      </c>
      <c r="Z256" t="s">
        <v>5306</v>
      </c>
      <c r="AA256" t="s">
        <v>74</v>
      </c>
      <c r="AB256" t="s">
        <v>5307</v>
      </c>
      <c r="AC256" t="s">
        <v>5308</v>
      </c>
      <c r="AD256" t="s">
        <v>5309</v>
      </c>
      <c r="AE256" t="s">
        <v>5310</v>
      </c>
      <c r="AF256" t="s">
        <v>74</v>
      </c>
      <c r="AG256">
        <v>82</v>
      </c>
      <c r="AH256">
        <v>1</v>
      </c>
      <c r="AI256">
        <v>1</v>
      </c>
      <c r="AJ256">
        <v>3</v>
      </c>
      <c r="AK256">
        <v>5</v>
      </c>
      <c r="AL256" t="s">
        <v>125</v>
      </c>
      <c r="AM256" t="s">
        <v>126</v>
      </c>
      <c r="AN256" t="s">
        <v>127</v>
      </c>
      <c r="AO256" t="s">
        <v>74</v>
      </c>
      <c r="AP256" t="s">
        <v>5311</v>
      </c>
      <c r="AQ256" t="s">
        <v>74</v>
      </c>
      <c r="AR256" t="s">
        <v>5312</v>
      </c>
      <c r="AS256" t="s">
        <v>5313</v>
      </c>
      <c r="AT256" t="s">
        <v>1437</v>
      </c>
      <c r="AU256">
        <v>2023</v>
      </c>
      <c r="AV256">
        <v>8</v>
      </c>
      <c r="AW256">
        <v>4</v>
      </c>
      <c r="AX256" t="s">
        <v>74</v>
      </c>
      <c r="AY256" t="s">
        <v>74</v>
      </c>
      <c r="AZ256" t="s">
        <v>74</v>
      </c>
      <c r="BA256" t="s">
        <v>74</v>
      </c>
      <c r="BB256" t="s">
        <v>74</v>
      </c>
      <c r="BC256" t="s">
        <v>74</v>
      </c>
      <c r="BD256">
        <v>174</v>
      </c>
      <c r="BE256" t="s">
        <v>5314</v>
      </c>
      <c r="BF256" t="str">
        <f>HYPERLINK("http://dx.doi.org/10.3390/fishes8040174","http://dx.doi.org/10.3390/fishes8040174")</f>
        <v>http://dx.doi.org/10.3390/fishes8040174</v>
      </c>
      <c r="BG256" t="s">
        <v>74</v>
      </c>
      <c r="BH256" t="s">
        <v>74</v>
      </c>
      <c r="BI256">
        <v>18</v>
      </c>
      <c r="BJ256" t="s">
        <v>1065</v>
      </c>
      <c r="BK256" t="s">
        <v>103</v>
      </c>
      <c r="BL256" t="s">
        <v>1065</v>
      </c>
      <c r="BM256" t="s">
        <v>5315</v>
      </c>
      <c r="BN256" t="s">
        <v>74</v>
      </c>
      <c r="BO256" t="s">
        <v>136</v>
      </c>
      <c r="BP256" t="s">
        <v>74</v>
      </c>
      <c r="BQ256" t="s">
        <v>74</v>
      </c>
      <c r="BR256" t="s">
        <v>106</v>
      </c>
      <c r="BS256" t="s">
        <v>5316</v>
      </c>
      <c r="BT256" t="str">
        <f>HYPERLINK("https%3A%2F%2Fwww.webofscience.com%2Fwos%2Fwoscc%2Ffull-record%2FWOS:000979395400001","View Full Record in Web of Science")</f>
        <v>View Full Record in Web of Science</v>
      </c>
    </row>
    <row r="257" spans="1:72" x14ac:dyDescent="0.15">
      <c r="A257" t="s">
        <v>72</v>
      </c>
      <c r="B257" t="s">
        <v>5317</v>
      </c>
      <c r="C257" t="s">
        <v>74</v>
      </c>
      <c r="D257" t="s">
        <v>74</v>
      </c>
      <c r="E257" t="s">
        <v>74</v>
      </c>
      <c r="F257" t="s">
        <v>5318</v>
      </c>
      <c r="G257" t="s">
        <v>74</v>
      </c>
      <c r="H257" t="s">
        <v>74</v>
      </c>
      <c r="I257" t="s">
        <v>5319</v>
      </c>
      <c r="J257" t="s">
        <v>5320</v>
      </c>
      <c r="K257" t="s">
        <v>74</v>
      </c>
      <c r="L257" t="s">
        <v>74</v>
      </c>
      <c r="M257" t="s">
        <v>78</v>
      </c>
      <c r="N257" t="s">
        <v>112</v>
      </c>
      <c r="O257" t="s">
        <v>74</v>
      </c>
      <c r="P257" t="s">
        <v>74</v>
      </c>
      <c r="Q257" t="s">
        <v>74</v>
      </c>
      <c r="R257" t="s">
        <v>74</v>
      </c>
      <c r="S257" t="s">
        <v>74</v>
      </c>
      <c r="T257" t="s">
        <v>5321</v>
      </c>
      <c r="U257" t="s">
        <v>5322</v>
      </c>
      <c r="V257" t="s">
        <v>5323</v>
      </c>
      <c r="W257" t="s">
        <v>5324</v>
      </c>
      <c r="X257" t="s">
        <v>5325</v>
      </c>
      <c r="Y257" t="s">
        <v>5326</v>
      </c>
      <c r="Z257" t="s">
        <v>5327</v>
      </c>
      <c r="AA257" t="s">
        <v>74</v>
      </c>
      <c r="AB257" t="s">
        <v>5328</v>
      </c>
      <c r="AC257" t="s">
        <v>5329</v>
      </c>
      <c r="AD257" t="s">
        <v>5330</v>
      </c>
      <c r="AE257" t="s">
        <v>5331</v>
      </c>
      <c r="AF257" t="s">
        <v>74</v>
      </c>
      <c r="AG257">
        <v>122</v>
      </c>
      <c r="AH257">
        <v>0</v>
      </c>
      <c r="AI257">
        <v>0</v>
      </c>
      <c r="AJ257">
        <v>2</v>
      </c>
      <c r="AK257">
        <v>2</v>
      </c>
      <c r="AL257" t="s">
        <v>125</v>
      </c>
      <c r="AM257" t="s">
        <v>126</v>
      </c>
      <c r="AN257" t="s">
        <v>127</v>
      </c>
      <c r="AO257" t="s">
        <v>74</v>
      </c>
      <c r="AP257" t="s">
        <v>5332</v>
      </c>
      <c r="AQ257" t="s">
        <v>74</v>
      </c>
      <c r="AR257" t="s">
        <v>5320</v>
      </c>
      <c r="AS257" t="s">
        <v>5333</v>
      </c>
      <c r="AT257" t="s">
        <v>1437</v>
      </c>
      <c r="AU257">
        <v>2023</v>
      </c>
      <c r="AV257">
        <v>13</v>
      </c>
      <c r="AW257">
        <v>4</v>
      </c>
      <c r="AX257" t="s">
        <v>74</v>
      </c>
      <c r="AY257" t="s">
        <v>74</v>
      </c>
      <c r="AZ257" t="s">
        <v>74</v>
      </c>
      <c r="BA257" t="s">
        <v>74</v>
      </c>
      <c r="BB257" t="s">
        <v>74</v>
      </c>
      <c r="BC257" t="s">
        <v>74</v>
      </c>
      <c r="BD257">
        <v>126</v>
      </c>
      <c r="BE257" t="s">
        <v>5334</v>
      </c>
      <c r="BF257" t="str">
        <f>HYPERLINK("http://dx.doi.org/10.3390/geosciences13040126","http://dx.doi.org/10.3390/geosciences13040126")</f>
        <v>http://dx.doi.org/10.3390/geosciences13040126</v>
      </c>
      <c r="BG257" t="s">
        <v>74</v>
      </c>
      <c r="BH257" t="s">
        <v>74</v>
      </c>
      <c r="BI257">
        <v>25</v>
      </c>
      <c r="BJ257" t="s">
        <v>261</v>
      </c>
      <c r="BK257" t="s">
        <v>160</v>
      </c>
      <c r="BL257" t="s">
        <v>262</v>
      </c>
      <c r="BM257" t="s">
        <v>5335</v>
      </c>
      <c r="BN257" t="s">
        <v>74</v>
      </c>
      <c r="BO257" t="s">
        <v>136</v>
      </c>
      <c r="BP257" t="s">
        <v>74</v>
      </c>
      <c r="BQ257" t="s">
        <v>74</v>
      </c>
      <c r="BR257" t="s">
        <v>106</v>
      </c>
      <c r="BS257" t="s">
        <v>5336</v>
      </c>
      <c r="BT257" t="str">
        <f>HYPERLINK("https%3A%2F%2Fwww.webofscience.com%2Fwos%2Fwoscc%2Ffull-record%2FWOS:000979298500001","View Full Record in Web of Science")</f>
        <v>View Full Record in Web of Science</v>
      </c>
    </row>
    <row r="258" spans="1:72" x14ac:dyDescent="0.15">
      <c r="A258" t="s">
        <v>72</v>
      </c>
      <c r="B258" t="s">
        <v>5337</v>
      </c>
      <c r="C258" t="s">
        <v>74</v>
      </c>
      <c r="D258" t="s">
        <v>74</v>
      </c>
      <c r="E258" t="s">
        <v>74</v>
      </c>
      <c r="F258" t="s">
        <v>5338</v>
      </c>
      <c r="G258" t="s">
        <v>74</v>
      </c>
      <c r="H258" t="s">
        <v>74</v>
      </c>
      <c r="I258" t="s">
        <v>5339</v>
      </c>
      <c r="J258" t="s">
        <v>5340</v>
      </c>
      <c r="K258" t="s">
        <v>74</v>
      </c>
      <c r="L258" t="s">
        <v>74</v>
      </c>
      <c r="M258" t="s">
        <v>78</v>
      </c>
      <c r="N258" t="s">
        <v>112</v>
      </c>
      <c r="O258" t="s">
        <v>74</v>
      </c>
      <c r="P258" t="s">
        <v>74</v>
      </c>
      <c r="Q258" t="s">
        <v>74</v>
      </c>
      <c r="R258" t="s">
        <v>74</v>
      </c>
      <c r="S258" t="s">
        <v>74</v>
      </c>
      <c r="T258" t="s">
        <v>74</v>
      </c>
      <c r="U258" t="s">
        <v>5341</v>
      </c>
      <c r="V258" t="s">
        <v>5342</v>
      </c>
      <c r="W258" t="s">
        <v>5343</v>
      </c>
      <c r="X258" t="s">
        <v>74</v>
      </c>
      <c r="Y258" t="s">
        <v>5344</v>
      </c>
      <c r="Z258" t="s">
        <v>5345</v>
      </c>
      <c r="AA258" t="s">
        <v>74</v>
      </c>
      <c r="AB258" t="s">
        <v>5346</v>
      </c>
      <c r="AC258" t="s">
        <v>74</v>
      </c>
      <c r="AD258" t="s">
        <v>74</v>
      </c>
      <c r="AE258" t="s">
        <v>74</v>
      </c>
      <c r="AF258" t="s">
        <v>74</v>
      </c>
      <c r="AG258">
        <v>49</v>
      </c>
      <c r="AH258">
        <v>0</v>
      </c>
      <c r="AI258">
        <v>0</v>
      </c>
      <c r="AJ258">
        <v>1</v>
      </c>
      <c r="AK258">
        <v>3</v>
      </c>
      <c r="AL258" t="s">
        <v>5347</v>
      </c>
      <c r="AM258" t="s">
        <v>5348</v>
      </c>
      <c r="AN258" t="s">
        <v>5349</v>
      </c>
      <c r="AO258" t="s">
        <v>5350</v>
      </c>
      <c r="AP258" t="s">
        <v>5351</v>
      </c>
      <c r="AQ258" t="s">
        <v>74</v>
      </c>
      <c r="AR258" t="s">
        <v>5352</v>
      </c>
      <c r="AS258" t="s">
        <v>5353</v>
      </c>
      <c r="AT258" t="s">
        <v>1437</v>
      </c>
      <c r="AU258">
        <v>2023</v>
      </c>
      <c r="AV258">
        <v>153</v>
      </c>
      <c r="AW258">
        <v>4</v>
      </c>
      <c r="AX258" t="s">
        <v>74</v>
      </c>
      <c r="AY258" t="s">
        <v>74</v>
      </c>
      <c r="AZ258" t="s">
        <v>74</v>
      </c>
      <c r="BA258" t="s">
        <v>74</v>
      </c>
      <c r="BB258">
        <v>2312</v>
      </c>
      <c r="BC258">
        <v>2323</v>
      </c>
      <c r="BD258" t="s">
        <v>74</v>
      </c>
      <c r="BE258" t="s">
        <v>5354</v>
      </c>
      <c r="BF258" t="str">
        <f>HYPERLINK("http://dx.doi.org/10.1121/10.0017840","http://dx.doi.org/10.1121/10.0017840")</f>
        <v>http://dx.doi.org/10.1121/10.0017840</v>
      </c>
      <c r="BG258" t="s">
        <v>74</v>
      </c>
      <c r="BH258" t="s">
        <v>74</v>
      </c>
      <c r="BI258">
        <v>12</v>
      </c>
      <c r="BJ258" t="s">
        <v>5355</v>
      </c>
      <c r="BK258" t="s">
        <v>103</v>
      </c>
      <c r="BL258" t="s">
        <v>5355</v>
      </c>
      <c r="BM258" t="s">
        <v>5356</v>
      </c>
      <c r="BN258">
        <v>37092933</v>
      </c>
      <c r="BO258" t="s">
        <v>387</v>
      </c>
      <c r="BP258" t="s">
        <v>74</v>
      </c>
      <c r="BQ258" t="s">
        <v>74</v>
      </c>
      <c r="BR258" t="s">
        <v>106</v>
      </c>
      <c r="BS258" t="s">
        <v>5357</v>
      </c>
      <c r="BT258" t="str">
        <f>HYPERLINK("https%3A%2F%2Fwww.webofscience.com%2Fwos%2Fwoscc%2Ffull-record%2FWOS:000973451000003","View Full Record in Web of Science")</f>
        <v>View Full Record in Web of Science</v>
      </c>
    </row>
    <row r="259" spans="1:72" x14ac:dyDescent="0.15">
      <c r="A259" t="s">
        <v>72</v>
      </c>
      <c r="B259" t="s">
        <v>5358</v>
      </c>
      <c r="C259" t="s">
        <v>74</v>
      </c>
      <c r="D259" t="s">
        <v>74</v>
      </c>
      <c r="E259" t="s">
        <v>74</v>
      </c>
      <c r="F259" t="s">
        <v>5359</v>
      </c>
      <c r="G259" t="s">
        <v>74</v>
      </c>
      <c r="H259" t="s">
        <v>74</v>
      </c>
      <c r="I259" t="s">
        <v>5360</v>
      </c>
      <c r="J259" t="s">
        <v>981</v>
      </c>
      <c r="K259" t="s">
        <v>74</v>
      </c>
      <c r="L259" t="s">
        <v>74</v>
      </c>
      <c r="M259" t="s">
        <v>78</v>
      </c>
      <c r="N259" t="s">
        <v>112</v>
      </c>
      <c r="O259" t="s">
        <v>74</v>
      </c>
      <c r="P259" t="s">
        <v>74</v>
      </c>
      <c r="Q259" t="s">
        <v>74</v>
      </c>
      <c r="R259" t="s">
        <v>74</v>
      </c>
      <c r="S259" t="s">
        <v>74</v>
      </c>
      <c r="T259" t="s">
        <v>5361</v>
      </c>
      <c r="U259" t="s">
        <v>5362</v>
      </c>
      <c r="V259" t="s">
        <v>5363</v>
      </c>
      <c r="W259" t="s">
        <v>5364</v>
      </c>
      <c r="X259" t="s">
        <v>5365</v>
      </c>
      <c r="Y259" t="s">
        <v>5366</v>
      </c>
      <c r="Z259" t="s">
        <v>5367</v>
      </c>
      <c r="AA259" t="s">
        <v>5368</v>
      </c>
      <c r="AB259" t="s">
        <v>5369</v>
      </c>
      <c r="AC259" t="s">
        <v>74</v>
      </c>
      <c r="AD259" t="s">
        <v>74</v>
      </c>
      <c r="AE259" t="s">
        <v>74</v>
      </c>
      <c r="AF259" t="s">
        <v>74</v>
      </c>
      <c r="AG259">
        <v>86</v>
      </c>
      <c r="AH259">
        <v>0</v>
      </c>
      <c r="AI259">
        <v>0</v>
      </c>
      <c r="AJ259">
        <v>4</v>
      </c>
      <c r="AK259">
        <v>10</v>
      </c>
      <c r="AL259" t="s">
        <v>125</v>
      </c>
      <c r="AM259" t="s">
        <v>126</v>
      </c>
      <c r="AN259" t="s">
        <v>127</v>
      </c>
      <c r="AO259" t="s">
        <v>74</v>
      </c>
      <c r="AP259" t="s">
        <v>992</v>
      </c>
      <c r="AQ259" t="s">
        <v>74</v>
      </c>
      <c r="AR259" t="s">
        <v>993</v>
      </c>
      <c r="AS259" t="s">
        <v>994</v>
      </c>
      <c r="AT259" t="s">
        <v>1437</v>
      </c>
      <c r="AU259">
        <v>2023</v>
      </c>
      <c r="AV259">
        <v>15</v>
      </c>
      <c r="AW259">
        <v>8</v>
      </c>
      <c r="AX259" t="s">
        <v>74</v>
      </c>
      <c r="AY259" t="s">
        <v>74</v>
      </c>
      <c r="AZ259" t="s">
        <v>74</v>
      </c>
      <c r="BA259" t="s">
        <v>74</v>
      </c>
      <c r="BB259" t="s">
        <v>74</v>
      </c>
      <c r="BC259" t="s">
        <v>74</v>
      </c>
      <c r="BD259">
        <v>2045</v>
      </c>
      <c r="BE259" t="s">
        <v>5370</v>
      </c>
      <c r="BF259" t="str">
        <f>HYPERLINK("http://dx.doi.org/10.3390/rs15082045","http://dx.doi.org/10.3390/rs15082045")</f>
        <v>http://dx.doi.org/10.3390/rs15082045</v>
      </c>
      <c r="BG259" t="s">
        <v>74</v>
      </c>
      <c r="BH259" t="s">
        <v>74</v>
      </c>
      <c r="BI259">
        <v>32</v>
      </c>
      <c r="BJ259" t="s">
        <v>996</v>
      </c>
      <c r="BK259" t="s">
        <v>103</v>
      </c>
      <c r="BL259" t="s">
        <v>997</v>
      </c>
      <c r="BM259" t="s">
        <v>5371</v>
      </c>
      <c r="BN259" t="s">
        <v>74</v>
      </c>
      <c r="BO259" t="s">
        <v>136</v>
      </c>
      <c r="BP259" t="s">
        <v>74</v>
      </c>
      <c r="BQ259" t="s">
        <v>74</v>
      </c>
      <c r="BR259" t="s">
        <v>106</v>
      </c>
      <c r="BS259" t="s">
        <v>5372</v>
      </c>
      <c r="BT259" t="str">
        <f>HYPERLINK("https%3A%2F%2Fwww.webofscience.com%2Fwos%2Fwoscc%2Ffull-record%2FWOS:000977229500001","View Full Record in Web of Science")</f>
        <v>View Full Record in Web of Science</v>
      </c>
    </row>
    <row r="260" spans="1:72" x14ac:dyDescent="0.15">
      <c r="A260" t="s">
        <v>72</v>
      </c>
      <c r="B260" t="s">
        <v>5373</v>
      </c>
      <c r="C260" t="s">
        <v>74</v>
      </c>
      <c r="D260" t="s">
        <v>74</v>
      </c>
      <c r="E260" t="s">
        <v>74</v>
      </c>
      <c r="F260" t="s">
        <v>5374</v>
      </c>
      <c r="G260" t="s">
        <v>74</v>
      </c>
      <c r="H260" t="s">
        <v>74</v>
      </c>
      <c r="I260" t="s">
        <v>5375</v>
      </c>
      <c r="J260" t="s">
        <v>981</v>
      </c>
      <c r="K260" t="s">
        <v>74</v>
      </c>
      <c r="L260" t="s">
        <v>74</v>
      </c>
      <c r="M260" t="s">
        <v>78</v>
      </c>
      <c r="N260" t="s">
        <v>112</v>
      </c>
      <c r="O260" t="s">
        <v>74</v>
      </c>
      <c r="P260" t="s">
        <v>74</v>
      </c>
      <c r="Q260" t="s">
        <v>74</v>
      </c>
      <c r="R260" t="s">
        <v>74</v>
      </c>
      <c r="S260" t="s">
        <v>74</v>
      </c>
      <c r="T260" t="s">
        <v>5376</v>
      </c>
      <c r="U260" t="s">
        <v>5377</v>
      </c>
      <c r="V260" t="s">
        <v>5378</v>
      </c>
      <c r="W260" t="s">
        <v>5379</v>
      </c>
      <c r="X260" t="s">
        <v>5380</v>
      </c>
      <c r="Y260" t="s">
        <v>5381</v>
      </c>
      <c r="Z260" t="s">
        <v>5382</v>
      </c>
      <c r="AA260" t="s">
        <v>5383</v>
      </c>
      <c r="AB260" t="s">
        <v>5384</v>
      </c>
      <c r="AC260" t="s">
        <v>74</v>
      </c>
      <c r="AD260" t="s">
        <v>74</v>
      </c>
      <c r="AE260" t="s">
        <v>74</v>
      </c>
      <c r="AF260" t="s">
        <v>74</v>
      </c>
      <c r="AG260">
        <v>29</v>
      </c>
      <c r="AH260">
        <v>0</v>
      </c>
      <c r="AI260">
        <v>0</v>
      </c>
      <c r="AJ260">
        <v>1</v>
      </c>
      <c r="AK260">
        <v>10</v>
      </c>
      <c r="AL260" t="s">
        <v>125</v>
      </c>
      <c r="AM260" t="s">
        <v>126</v>
      </c>
      <c r="AN260" t="s">
        <v>127</v>
      </c>
      <c r="AO260" t="s">
        <v>74</v>
      </c>
      <c r="AP260" t="s">
        <v>992</v>
      </c>
      <c r="AQ260" t="s">
        <v>74</v>
      </c>
      <c r="AR260" t="s">
        <v>993</v>
      </c>
      <c r="AS260" t="s">
        <v>994</v>
      </c>
      <c r="AT260" t="s">
        <v>1437</v>
      </c>
      <c r="AU260">
        <v>2023</v>
      </c>
      <c r="AV260">
        <v>15</v>
      </c>
      <c r="AW260">
        <v>8</v>
      </c>
      <c r="AX260" t="s">
        <v>74</v>
      </c>
      <c r="AY260" t="s">
        <v>74</v>
      </c>
      <c r="AZ260" t="s">
        <v>74</v>
      </c>
      <c r="BA260" t="s">
        <v>74</v>
      </c>
      <c r="BB260" t="s">
        <v>74</v>
      </c>
      <c r="BC260" t="s">
        <v>74</v>
      </c>
      <c r="BD260">
        <v>2048</v>
      </c>
      <c r="BE260" t="s">
        <v>5385</v>
      </c>
      <c r="BF260" t="str">
        <f>HYPERLINK("http://dx.doi.org/10.3390/rs15082048","http://dx.doi.org/10.3390/rs15082048")</f>
        <v>http://dx.doi.org/10.3390/rs15082048</v>
      </c>
      <c r="BG260" t="s">
        <v>74</v>
      </c>
      <c r="BH260" t="s">
        <v>74</v>
      </c>
      <c r="BI260">
        <v>20</v>
      </c>
      <c r="BJ260" t="s">
        <v>996</v>
      </c>
      <c r="BK260" t="s">
        <v>103</v>
      </c>
      <c r="BL260" t="s">
        <v>997</v>
      </c>
      <c r="BM260" t="s">
        <v>5386</v>
      </c>
      <c r="BN260" t="s">
        <v>74</v>
      </c>
      <c r="BO260" t="s">
        <v>359</v>
      </c>
      <c r="BP260" t="s">
        <v>74</v>
      </c>
      <c r="BQ260" t="s">
        <v>74</v>
      </c>
      <c r="BR260" t="s">
        <v>106</v>
      </c>
      <c r="BS260" t="s">
        <v>5387</v>
      </c>
      <c r="BT260" t="str">
        <f>HYPERLINK("https%3A%2F%2Fwww.webofscience.com%2Fwos%2Fwoscc%2Ffull-record%2FWOS:000977011100001","View Full Record in Web of Science")</f>
        <v>View Full Record in Web of Science</v>
      </c>
    </row>
    <row r="261" spans="1:72" x14ac:dyDescent="0.15">
      <c r="A261" t="s">
        <v>72</v>
      </c>
      <c r="B261" t="s">
        <v>5388</v>
      </c>
      <c r="C261" t="s">
        <v>74</v>
      </c>
      <c r="D261" t="s">
        <v>74</v>
      </c>
      <c r="E261" t="s">
        <v>74</v>
      </c>
      <c r="F261" t="s">
        <v>5389</v>
      </c>
      <c r="G261" t="s">
        <v>74</v>
      </c>
      <c r="H261" t="s">
        <v>74</v>
      </c>
      <c r="I261" t="s">
        <v>5390</v>
      </c>
      <c r="J261" t="s">
        <v>1467</v>
      </c>
      <c r="K261" t="s">
        <v>74</v>
      </c>
      <c r="L261" t="s">
        <v>74</v>
      </c>
      <c r="M261" t="s">
        <v>78</v>
      </c>
      <c r="N261" t="s">
        <v>112</v>
      </c>
      <c r="O261" t="s">
        <v>74</v>
      </c>
      <c r="P261" t="s">
        <v>74</v>
      </c>
      <c r="Q261" t="s">
        <v>74</v>
      </c>
      <c r="R261" t="s">
        <v>74</v>
      </c>
      <c r="S261" t="s">
        <v>74</v>
      </c>
      <c r="T261" t="s">
        <v>5391</v>
      </c>
      <c r="U261" t="s">
        <v>5392</v>
      </c>
      <c r="V261" t="s">
        <v>5393</v>
      </c>
      <c r="W261" t="s">
        <v>5394</v>
      </c>
      <c r="X261" t="s">
        <v>5395</v>
      </c>
      <c r="Y261" t="s">
        <v>5396</v>
      </c>
      <c r="Z261" t="s">
        <v>5397</v>
      </c>
      <c r="AA261" t="s">
        <v>5398</v>
      </c>
      <c r="AB261" t="s">
        <v>5399</v>
      </c>
      <c r="AC261" t="s">
        <v>74</v>
      </c>
      <c r="AD261" t="s">
        <v>74</v>
      </c>
      <c r="AE261" t="s">
        <v>74</v>
      </c>
      <c r="AF261" t="s">
        <v>74</v>
      </c>
      <c r="AG261">
        <v>84</v>
      </c>
      <c r="AH261">
        <v>7</v>
      </c>
      <c r="AI261">
        <v>7</v>
      </c>
      <c r="AJ261">
        <v>2</v>
      </c>
      <c r="AK261">
        <v>4</v>
      </c>
      <c r="AL261" t="s">
        <v>125</v>
      </c>
      <c r="AM261" t="s">
        <v>126</v>
      </c>
      <c r="AN261" t="s">
        <v>127</v>
      </c>
      <c r="AO261" t="s">
        <v>1479</v>
      </c>
      <c r="AP261" t="s">
        <v>74</v>
      </c>
      <c r="AQ261" t="s">
        <v>74</v>
      </c>
      <c r="AR261" t="s">
        <v>1480</v>
      </c>
      <c r="AS261" t="s">
        <v>1481</v>
      </c>
      <c r="AT261" t="s">
        <v>1437</v>
      </c>
      <c r="AU261">
        <v>2023</v>
      </c>
      <c r="AV261">
        <v>13</v>
      </c>
      <c r="AW261">
        <v>8</v>
      </c>
      <c r="AX261" t="s">
        <v>74</v>
      </c>
      <c r="AY261" t="s">
        <v>74</v>
      </c>
      <c r="AZ261" t="s">
        <v>74</v>
      </c>
      <c r="BA261" t="s">
        <v>74</v>
      </c>
      <c r="BB261" t="s">
        <v>74</v>
      </c>
      <c r="BC261" t="s">
        <v>74</v>
      </c>
      <c r="BD261">
        <v>1314</v>
      </c>
      <c r="BE261" t="s">
        <v>5400</v>
      </c>
      <c r="BF261" t="str">
        <f>HYPERLINK("http://dx.doi.org/10.3390/ani13081314","http://dx.doi.org/10.3390/ani13081314")</f>
        <v>http://dx.doi.org/10.3390/ani13081314</v>
      </c>
      <c r="BG261" t="s">
        <v>74</v>
      </c>
      <c r="BH261" t="s">
        <v>74</v>
      </c>
      <c r="BI261">
        <v>23</v>
      </c>
      <c r="BJ261" t="s">
        <v>1484</v>
      </c>
      <c r="BK261" t="s">
        <v>103</v>
      </c>
      <c r="BL261" t="s">
        <v>1485</v>
      </c>
      <c r="BM261" t="s">
        <v>5401</v>
      </c>
      <c r="BN261">
        <v>37106878</v>
      </c>
      <c r="BO261" t="s">
        <v>136</v>
      </c>
      <c r="BP261" t="s">
        <v>74</v>
      </c>
      <c r="BQ261" t="s">
        <v>74</v>
      </c>
      <c r="BR261" t="s">
        <v>106</v>
      </c>
      <c r="BS261" t="s">
        <v>5402</v>
      </c>
      <c r="BT261" t="str">
        <f>HYPERLINK("https%3A%2F%2Fwww.webofscience.com%2Fwos%2Fwoscc%2Ffull-record%2FWOS:000978438400001","View Full Record in Web of Science")</f>
        <v>View Full Record in Web of Science</v>
      </c>
    </row>
    <row r="262" spans="1:72" x14ac:dyDescent="0.15">
      <c r="A262" t="s">
        <v>72</v>
      </c>
      <c r="B262" t="s">
        <v>5403</v>
      </c>
      <c r="C262" t="s">
        <v>74</v>
      </c>
      <c r="D262" t="s">
        <v>74</v>
      </c>
      <c r="E262" t="s">
        <v>74</v>
      </c>
      <c r="F262" t="s">
        <v>5404</v>
      </c>
      <c r="G262" t="s">
        <v>74</v>
      </c>
      <c r="H262" t="s">
        <v>74</v>
      </c>
      <c r="I262" t="s">
        <v>5405</v>
      </c>
      <c r="J262" t="s">
        <v>5406</v>
      </c>
      <c r="K262" t="s">
        <v>74</v>
      </c>
      <c r="L262" t="s">
        <v>74</v>
      </c>
      <c r="M262" t="s">
        <v>78</v>
      </c>
      <c r="N262" t="s">
        <v>112</v>
      </c>
      <c r="O262" t="s">
        <v>74</v>
      </c>
      <c r="P262" t="s">
        <v>74</v>
      </c>
      <c r="Q262" t="s">
        <v>74</v>
      </c>
      <c r="R262" t="s">
        <v>74</v>
      </c>
      <c r="S262" t="s">
        <v>74</v>
      </c>
      <c r="T262" t="s">
        <v>5407</v>
      </c>
      <c r="U262" t="s">
        <v>5408</v>
      </c>
      <c r="V262" t="s">
        <v>5409</v>
      </c>
      <c r="W262" t="s">
        <v>5410</v>
      </c>
      <c r="X262" t="s">
        <v>5411</v>
      </c>
      <c r="Y262" t="s">
        <v>5412</v>
      </c>
      <c r="Z262" t="s">
        <v>5413</v>
      </c>
      <c r="AA262" t="s">
        <v>5414</v>
      </c>
      <c r="AB262" t="s">
        <v>5415</v>
      </c>
      <c r="AC262" t="s">
        <v>74</v>
      </c>
      <c r="AD262" t="s">
        <v>74</v>
      </c>
      <c r="AE262" t="s">
        <v>74</v>
      </c>
      <c r="AF262" t="s">
        <v>74</v>
      </c>
      <c r="AG262">
        <v>56</v>
      </c>
      <c r="AH262">
        <v>2</v>
      </c>
      <c r="AI262">
        <v>2</v>
      </c>
      <c r="AJ262">
        <v>1</v>
      </c>
      <c r="AK262">
        <v>4</v>
      </c>
      <c r="AL262" t="s">
        <v>125</v>
      </c>
      <c r="AM262" t="s">
        <v>126</v>
      </c>
      <c r="AN262" t="s">
        <v>127</v>
      </c>
      <c r="AO262" t="s">
        <v>74</v>
      </c>
      <c r="AP262" t="s">
        <v>5416</v>
      </c>
      <c r="AQ262" t="s">
        <v>74</v>
      </c>
      <c r="AR262" t="s">
        <v>5406</v>
      </c>
      <c r="AS262" t="s">
        <v>5417</v>
      </c>
      <c r="AT262" t="s">
        <v>1437</v>
      </c>
      <c r="AU262">
        <v>2023</v>
      </c>
      <c r="AV262">
        <v>15</v>
      </c>
      <c r="AW262">
        <v>4</v>
      </c>
      <c r="AX262" t="s">
        <v>74</v>
      </c>
      <c r="AY262" t="s">
        <v>74</v>
      </c>
      <c r="AZ262" t="s">
        <v>74</v>
      </c>
      <c r="BA262" t="s">
        <v>74</v>
      </c>
      <c r="BB262" t="s">
        <v>74</v>
      </c>
      <c r="BC262" t="s">
        <v>74</v>
      </c>
      <c r="BD262">
        <v>480</v>
      </c>
      <c r="BE262" t="s">
        <v>5418</v>
      </c>
      <c r="BF262" t="str">
        <f>HYPERLINK("http://dx.doi.org/10.3390/d15040480","http://dx.doi.org/10.3390/d15040480")</f>
        <v>http://dx.doi.org/10.3390/d15040480</v>
      </c>
      <c r="BG262" t="s">
        <v>74</v>
      </c>
      <c r="BH262" t="s">
        <v>74</v>
      </c>
      <c r="BI262">
        <v>15</v>
      </c>
      <c r="BJ262" t="s">
        <v>775</v>
      </c>
      <c r="BK262" t="s">
        <v>103</v>
      </c>
      <c r="BL262" t="s">
        <v>776</v>
      </c>
      <c r="BM262" t="s">
        <v>5419</v>
      </c>
      <c r="BN262" t="s">
        <v>74</v>
      </c>
      <c r="BO262" t="s">
        <v>359</v>
      </c>
      <c r="BP262" t="s">
        <v>74</v>
      </c>
      <c r="BQ262" t="s">
        <v>74</v>
      </c>
      <c r="BR262" t="s">
        <v>106</v>
      </c>
      <c r="BS262" t="s">
        <v>5420</v>
      </c>
      <c r="BT262" t="str">
        <f>HYPERLINK("https%3A%2F%2Fwww.webofscience.com%2Fwos%2Fwoscc%2Ffull-record%2FWOS:000977580900001","View Full Record in Web of Science")</f>
        <v>View Full Record in Web of Science</v>
      </c>
    </row>
    <row r="263" spans="1:72" x14ac:dyDescent="0.15">
      <c r="A263" t="s">
        <v>72</v>
      </c>
      <c r="B263" t="s">
        <v>5421</v>
      </c>
      <c r="C263" t="s">
        <v>74</v>
      </c>
      <c r="D263" t="s">
        <v>74</v>
      </c>
      <c r="E263" t="s">
        <v>74</v>
      </c>
      <c r="F263" t="s">
        <v>5422</v>
      </c>
      <c r="G263" t="s">
        <v>74</v>
      </c>
      <c r="H263" t="s">
        <v>74</v>
      </c>
      <c r="I263" t="s">
        <v>5423</v>
      </c>
      <c r="J263" t="s">
        <v>5424</v>
      </c>
      <c r="K263" t="s">
        <v>74</v>
      </c>
      <c r="L263" t="s">
        <v>74</v>
      </c>
      <c r="M263" t="s">
        <v>78</v>
      </c>
      <c r="N263" t="s">
        <v>112</v>
      </c>
      <c r="O263" t="s">
        <v>74</v>
      </c>
      <c r="P263" t="s">
        <v>74</v>
      </c>
      <c r="Q263" t="s">
        <v>74</v>
      </c>
      <c r="R263" t="s">
        <v>74</v>
      </c>
      <c r="S263" t="s">
        <v>74</v>
      </c>
      <c r="T263" t="s">
        <v>5425</v>
      </c>
      <c r="U263" t="s">
        <v>5426</v>
      </c>
      <c r="V263" t="s">
        <v>5427</v>
      </c>
      <c r="W263" t="s">
        <v>5428</v>
      </c>
      <c r="X263" t="s">
        <v>5429</v>
      </c>
      <c r="Y263" t="s">
        <v>5430</v>
      </c>
      <c r="Z263" t="s">
        <v>5431</v>
      </c>
      <c r="AA263" t="s">
        <v>5432</v>
      </c>
      <c r="AB263" t="s">
        <v>5433</v>
      </c>
      <c r="AC263" t="s">
        <v>5434</v>
      </c>
      <c r="AD263" t="s">
        <v>5435</v>
      </c>
      <c r="AE263" t="s">
        <v>5436</v>
      </c>
      <c r="AF263" t="s">
        <v>74</v>
      </c>
      <c r="AG263">
        <v>73</v>
      </c>
      <c r="AH263">
        <v>0</v>
      </c>
      <c r="AI263">
        <v>0</v>
      </c>
      <c r="AJ263">
        <v>4</v>
      </c>
      <c r="AK263">
        <v>8</v>
      </c>
      <c r="AL263" t="s">
        <v>125</v>
      </c>
      <c r="AM263" t="s">
        <v>126</v>
      </c>
      <c r="AN263" t="s">
        <v>127</v>
      </c>
      <c r="AO263" t="s">
        <v>74</v>
      </c>
      <c r="AP263" t="s">
        <v>5437</v>
      </c>
      <c r="AQ263" t="s">
        <v>74</v>
      </c>
      <c r="AR263" t="s">
        <v>5438</v>
      </c>
      <c r="AS263" t="s">
        <v>5439</v>
      </c>
      <c r="AT263" t="s">
        <v>1437</v>
      </c>
      <c r="AU263">
        <v>2023</v>
      </c>
      <c r="AV263">
        <v>9</v>
      </c>
      <c r="AW263">
        <v>4</v>
      </c>
      <c r="AX263" t="s">
        <v>74</v>
      </c>
      <c r="AY263" t="s">
        <v>74</v>
      </c>
      <c r="AZ263" t="s">
        <v>74</v>
      </c>
      <c r="BA263" t="s">
        <v>74</v>
      </c>
      <c r="BB263" t="s">
        <v>74</v>
      </c>
      <c r="BC263" t="s">
        <v>74</v>
      </c>
      <c r="BD263">
        <v>435</v>
      </c>
      <c r="BE263" t="s">
        <v>5440</v>
      </c>
      <c r="BF263" t="str">
        <f>HYPERLINK("http://dx.doi.org/10.3390/jof9040435","http://dx.doi.org/10.3390/jof9040435")</f>
        <v>http://dx.doi.org/10.3390/jof9040435</v>
      </c>
      <c r="BG263" t="s">
        <v>74</v>
      </c>
      <c r="BH263" t="s">
        <v>74</v>
      </c>
      <c r="BI263">
        <v>13</v>
      </c>
      <c r="BJ263" t="s">
        <v>5441</v>
      </c>
      <c r="BK263" t="s">
        <v>103</v>
      </c>
      <c r="BL263" t="s">
        <v>5441</v>
      </c>
      <c r="BM263" t="s">
        <v>5442</v>
      </c>
      <c r="BN263">
        <v>37108890</v>
      </c>
      <c r="BO263" t="s">
        <v>359</v>
      </c>
      <c r="BP263" t="s">
        <v>74</v>
      </c>
      <c r="BQ263" t="s">
        <v>74</v>
      </c>
      <c r="BR263" t="s">
        <v>106</v>
      </c>
      <c r="BS263" t="s">
        <v>5443</v>
      </c>
      <c r="BT263" t="str">
        <f>HYPERLINK("https%3A%2F%2Fwww.webofscience.com%2Fwos%2Fwoscc%2Ffull-record%2FWOS:000977469400001","View Full Record in Web of Science")</f>
        <v>View Full Record in Web of Science</v>
      </c>
    </row>
    <row r="264" spans="1:72" x14ac:dyDescent="0.15">
      <c r="A264" t="s">
        <v>72</v>
      </c>
      <c r="B264" t="s">
        <v>5444</v>
      </c>
      <c r="C264" t="s">
        <v>74</v>
      </c>
      <c r="D264" t="s">
        <v>74</v>
      </c>
      <c r="E264" t="s">
        <v>74</v>
      </c>
      <c r="F264" t="s">
        <v>5445</v>
      </c>
      <c r="G264" t="s">
        <v>74</v>
      </c>
      <c r="H264" t="s">
        <v>74</v>
      </c>
      <c r="I264" t="s">
        <v>5446</v>
      </c>
      <c r="J264" t="s">
        <v>5447</v>
      </c>
      <c r="K264" t="s">
        <v>74</v>
      </c>
      <c r="L264" t="s">
        <v>74</v>
      </c>
      <c r="M264" t="s">
        <v>78</v>
      </c>
      <c r="N264" t="s">
        <v>112</v>
      </c>
      <c r="O264" t="s">
        <v>74</v>
      </c>
      <c r="P264" t="s">
        <v>74</v>
      </c>
      <c r="Q264" t="s">
        <v>74</v>
      </c>
      <c r="R264" t="s">
        <v>74</v>
      </c>
      <c r="S264" t="s">
        <v>74</v>
      </c>
      <c r="T264" t="s">
        <v>5448</v>
      </c>
      <c r="U264" t="s">
        <v>5449</v>
      </c>
      <c r="V264" t="s">
        <v>5450</v>
      </c>
      <c r="W264" t="s">
        <v>5451</v>
      </c>
      <c r="X264" t="s">
        <v>5452</v>
      </c>
      <c r="Y264" t="s">
        <v>5453</v>
      </c>
      <c r="Z264" t="s">
        <v>5454</v>
      </c>
      <c r="AA264" t="s">
        <v>5455</v>
      </c>
      <c r="AB264" t="s">
        <v>5456</v>
      </c>
      <c r="AC264" t="s">
        <v>5457</v>
      </c>
      <c r="AD264" t="s">
        <v>5458</v>
      </c>
      <c r="AE264" t="s">
        <v>5459</v>
      </c>
      <c r="AF264" t="s">
        <v>74</v>
      </c>
      <c r="AG264">
        <v>50</v>
      </c>
      <c r="AH264">
        <v>1</v>
      </c>
      <c r="AI264">
        <v>1</v>
      </c>
      <c r="AJ264">
        <v>12</v>
      </c>
      <c r="AK264">
        <v>15</v>
      </c>
      <c r="AL264" t="s">
        <v>125</v>
      </c>
      <c r="AM264" t="s">
        <v>126</v>
      </c>
      <c r="AN264" t="s">
        <v>127</v>
      </c>
      <c r="AO264" t="s">
        <v>74</v>
      </c>
      <c r="AP264" t="s">
        <v>5460</v>
      </c>
      <c r="AQ264" t="s">
        <v>74</v>
      </c>
      <c r="AR264" t="s">
        <v>5461</v>
      </c>
      <c r="AS264" t="s">
        <v>5462</v>
      </c>
      <c r="AT264" t="s">
        <v>1437</v>
      </c>
      <c r="AU264">
        <v>2023</v>
      </c>
      <c r="AV264">
        <v>7</v>
      </c>
      <c r="AW264">
        <v>4</v>
      </c>
      <c r="AX264" t="s">
        <v>74</v>
      </c>
      <c r="AY264" t="s">
        <v>74</v>
      </c>
      <c r="AZ264" t="s">
        <v>74</v>
      </c>
      <c r="BA264" t="s">
        <v>74</v>
      </c>
      <c r="BB264" t="s">
        <v>74</v>
      </c>
      <c r="BC264" t="s">
        <v>74</v>
      </c>
      <c r="BD264">
        <v>230</v>
      </c>
      <c r="BE264" t="s">
        <v>5463</v>
      </c>
      <c r="BF264" t="str">
        <f>HYPERLINK("http://dx.doi.org/10.3390/drones7040230","http://dx.doi.org/10.3390/drones7040230")</f>
        <v>http://dx.doi.org/10.3390/drones7040230</v>
      </c>
      <c r="BG264" t="s">
        <v>74</v>
      </c>
      <c r="BH264" t="s">
        <v>74</v>
      </c>
      <c r="BI264">
        <v>28</v>
      </c>
      <c r="BJ264" t="s">
        <v>5464</v>
      </c>
      <c r="BK264" t="s">
        <v>103</v>
      </c>
      <c r="BL264" t="s">
        <v>5464</v>
      </c>
      <c r="BM264" t="s">
        <v>5465</v>
      </c>
      <c r="BN264" t="s">
        <v>74</v>
      </c>
      <c r="BO264" t="s">
        <v>359</v>
      </c>
      <c r="BP264" t="s">
        <v>74</v>
      </c>
      <c r="BQ264" t="s">
        <v>74</v>
      </c>
      <c r="BR264" t="s">
        <v>106</v>
      </c>
      <c r="BS264" t="s">
        <v>5466</v>
      </c>
      <c r="BT264" t="str">
        <f>HYPERLINK("https%3A%2F%2Fwww.webofscience.com%2Fwos%2Fwoscc%2Ffull-record%2FWOS:000977600000001","View Full Record in Web of Science")</f>
        <v>View Full Record in Web of Science</v>
      </c>
    </row>
    <row r="265" spans="1:72" x14ac:dyDescent="0.15">
      <c r="A265" t="s">
        <v>72</v>
      </c>
      <c r="B265" t="s">
        <v>5467</v>
      </c>
      <c r="C265" t="s">
        <v>74</v>
      </c>
      <c r="D265" t="s">
        <v>74</v>
      </c>
      <c r="E265" t="s">
        <v>74</v>
      </c>
      <c r="F265" t="s">
        <v>5468</v>
      </c>
      <c r="G265" t="s">
        <v>74</v>
      </c>
      <c r="H265" t="s">
        <v>74</v>
      </c>
      <c r="I265" t="s">
        <v>5469</v>
      </c>
      <c r="J265" t="s">
        <v>5470</v>
      </c>
      <c r="K265" t="s">
        <v>74</v>
      </c>
      <c r="L265" t="s">
        <v>74</v>
      </c>
      <c r="M265" t="s">
        <v>78</v>
      </c>
      <c r="N265" t="s">
        <v>112</v>
      </c>
      <c r="O265" t="s">
        <v>74</v>
      </c>
      <c r="P265" t="s">
        <v>74</v>
      </c>
      <c r="Q265" t="s">
        <v>74</v>
      </c>
      <c r="R265" t="s">
        <v>74</v>
      </c>
      <c r="S265" t="s">
        <v>74</v>
      </c>
      <c r="T265" t="s">
        <v>5471</v>
      </c>
      <c r="U265" t="s">
        <v>5472</v>
      </c>
      <c r="V265" t="s">
        <v>5473</v>
      </c>
      <c r="W265" t="s">
        <v>5474</v>
      </c>
      <c r="X265" t="s">
        <v>5475</v>
      </c>
      <c r="Y265" t="s">
        <v>5476</v>
      </c>
      <c r="Z265" t="s">
        <v>5477</v>
      </c>
      <c r="AA265" t="s">
        <v>74</v>
      </c>
      <c r="AB265" t="s">
        <v>5478</v>
      </c>
      <c r="AC265" t="s">
        <v>5479</v>
      </c>
      <c r="AD265" t="s">
        <v>5480</v>
      </c>
      <c r="AE265" t="s">
        <v>5481</v>
      </c>
      <c r="AF265" t="s">
        <v>74</v>
      </c>
      <c r="AG265">
        <v>66</v>
      </c>
      <c r="AH265">
        <v>2</v>
      </c>
      <c r="AI265">
        <v>2</v>
      </c>
      <c r="AJ265">
        <v>1</v>
      </c>
      <c r="AK265">
        <v>4</v>
      </c>
      <c r="AL265" t="s">
        <v>91</v>
      </c>
      <c r="AM265" t="s">
        <v>92</v>
      </c>
      <c r="AN265" t="s">
        <v>93</v>
      </c>
      <c r="AO265" t="s">
        <v>5482</v>
      </c>
      <c r="AP265" t="s">
        <v>5483</v>
      </c>
      <c r="AQ265" t="s">
        <v>74</v>
      </c>
      <c r="AR265" t="s">
        <v>5484</v>
      </c>
      <c r="AS265" t="s">
        <v>5485</v>
      </c>
      <c r="AT265" t="s">
        <v>1437</v>
      </c>
      <c r="AU265">
        <v>2023</v>
      </c>
      <c r="AV265">
        <v>53</v>
      </c>
      <c r="AW265">
        <v>4</v>
      </c>
      <c r="AX265" t="s">
        <v>74</v>
      </c>
      <c r="AY265" t="s">
        <v>74</v>
      </c>
      <c r="AZ265" t="s">
        <v>74</v>
      </c>
      <c r="BA265" t="s">
        <v>74</v>
      </c>
      <c r="BB265">
        <v>1161</v>
      </c>
      <c r="BC265">
        <v>1181</v>
      </c>
      <c r="BD265" t="s">
        <v>74</v>
      </c>
      <c r="BE265" t="s">
        <v>5486</v>
      </c>
      <c r="BF265" t="str">
        <f>HYPERLINK("http://dx.doi.org/10.1175/JPO-D-22-0154.1","http://dx.doi.org/10.1175/JPO-D-22-0154.1")</f>
        <v>http://dx.doi.org/10.1175/JPO-D-22-0154.1</v>
      </c>
      <c r="BG265" t="s">
        <v>74</v>
      </c>
      <c r="BH265" t="s">
        <v>74</v>
      </c>
      <c r="BI265">
        <v>21</v>
      </c>
      <c r="BJ265" t="s">
        <v>863</v>
      </c>
      <c r="BK265" t="s">
        <v>103</v>
      </c>
      <c r="BL265" t="s">
        <v>863</v>
      </c>
      <c r="BM265" t="s">
        <v>5487</v>
      </c>
      <c r="BN265" t="s">
        <v>74</v>
      </c>
      <c r="BO265" t="s">
        <v>74</v>
      </c>
      <c r="BP265" t="s">
        <v>74</v>
      </c>
      <c r="BQ265" t="s">
        <v>74</v>
      </c>
      <c r="BR265" t="s">
        <v>106</v>
      </c>
      <c r="BS265" t="s">
        <v>5488</v>
      </c>
      <c r="BT265" t="str">
        <f>HYPERLINK("https%3A%2F%2Fwww.webofscience.com%2Fwos%2Fwoscc%2Ffull-record%2FWOS:000976484700001","View Full Record in Web of Science")</f>
        <v>View Full Record in Web of Science</v>
      </c>
    </row>
    <row r="266" spans="1:72" x14ac:dyDescent="0.15">
      <c r="A266" t="s">
        <v>72</v>
      </c>
      <c r="B266" t="s">
        <v>5489</v>
      </c>
      <c r="C266" t="s">
        <v>74</v>
      </c>
      <c r="D266" t="s">
        <v>74</v>
      </c>
      <c r="E266" t="s">
        <v>74</v>
      </c>
      <c r="F266" t="s">
        <v>5490</v>
      </c>
      <c r="G266" t="s">
        <v>74</v>
      </c>
      <c r="H266" t="s">
        <v>74</v>
      </c>
      <c r="I266" t="s">
        <v>5491</v>
      </c>
      <c r="J266" t="s">
        <v>933</v>
      </c>
      <c r="K266" t="s">
        <v>74</v>
      </c>
      <c r="L266" t="s">
        <v>74</v>
      </c>
      <c r="M266" t="s">
        <v>78</v>
      </c>
      <c r="N266" t="s">
        <v>112</v>
      </c>
      <c r="O266" t="s">
        <v>74</v>
      </c>
      <c r="P266" t="s">
        <v>74</v>
      </c>
      <c r="Q266" t="s">
        <v>74</v>
      </c>
      <c r="R266" t="s">
        <v>74</v>
      </c>
      <c r="S266" t="s">
        <v>74</v>
      </c>
      <c r="T266" t="s">
        <v>5492</v>
      </c>
      <c r="U266" t="s">
        <v>5493</v>
      </c>
      <c r="V266" t="s">
        <v>5494</v>
      </c>
      <c r="W266" t="s">
        <v>5495</v>
      </c>
      <c r="X266" t="s">
        <v>5496</v>
      </c>
      <c r="Y266" t="s">
        <v>5497</v>
      </c>
      <c r="Z266" t="s">
        <v>5498</v>
      </c>
      <c r="AA266" t="s">
        <v>5499</v>
      </c>
      <c r="AB266" t="s">
        <v>5500</v>
      </c>
      <c r="AC266" t="s">
        <v>5501</v>
      </c>
      <c r="AD266" t="s">
        <v>5502</v>
      </c>
      <c r="AE266" t="s">
        <v>5503</v>
      </c>
      <c r="AF266" t="s">
        <v>74</v>
      </c>
      <c r="AG266">
        <v>32</v>
      </c>
      <c r="AH266">
        <v>0</v>
      </c>
      <c r="AI266">
        <v>0</v>
      </c>
      <c r="AJ266">
        <v>8</v>
      </c>
      <c r="AK266">
        <v>17</v>
      </c>
      <c r="AL266" t="s">
        <v>125</v>
      </c>
      <c r="AM266" t="s">
        <v>126</v>
      </c>
      <c r="AN266" t="s">
        <v>127</v>
      </c>
      <c r="AO266" t="s">
        <v>74</v>
      </c>
      <c r="AP266" t="s">
        <v>946</v>
      </c>
      <c r="AQ266" t="s">
        <v>74</v>
      </c>
      <c r="AR266" t="s">
        <v>947</v>
      </c>
      <c r="AS266" t="s">
        <v>948</v>
      </c>
      <c r="AT266" t="s">
        <v>1437</v>
      </c>
      <c r="AU266">
        <v>2023</v>
      </c>
      <c r="AV266">
        <v>14</v>
      </c>
      <c r="AW266">
        <v>4</v>
      </c>
      <c r="AX266" t="s">
        <v>74</v>
      </c>
      <c r="AY266" t="s">
        <v>74</v>
      </c>
      <c r="AZ266" t="s">
        <v>74</v>
      </c>
      <c r="BA266" t="s">
        <v>74</v>
      </c>
      <c r="BB266" t="s">
        <v>74</v>
      </c>
      <c r="BC266" t="s">
        <v>74</v>
      </c>
      <c r="BD266">
        <v>658</v>
      </c>
      <c r="BE266" t="s">
        <v>5504</v>
      </c>
      <c r="BF266" t="str">
        <f>HYPERLINK("http://dx.doi.org/10.3390/atmos14040658","http://dx.doi.org/10.3390/atmos14040658")</f>
        <v>http://dx.doi.org/10.3390/atmos14040658</v>
      </c>
      <c r="BG266" t="s">
        <v>74</v>
      </c>
      <c r="BH266" t="s">
        <v>74</v>
      </c>
      <c r="BI266">
        <v>16</v>
      </c>
      <c r="BJ266" t="s">
        <v>356</v>
      </c>
      <c r="BK266" t="s">
        <v>103</v>
      </c>
      <c r="BL266" t="s">
        <v>357</v>
      </c>
      <c r="BM266" t="s">
        <v>5505</v>
      </c>
      <c r="BN266" t="s">
        <v>74</v>
      </c>
      <c r="BO266" t="s">
        <v>359</v>
      </c>
      <c r="BP266" t="s">
        <v>74</v>
      </c>
      <c r="BQ266" t="s">
        <v>74</v>
      </c>
      <c r="BR266" t="s">
        <v>106</v>
      </c>
      <c r="BS266" t="s">
        <v>5506</v>
      </c>
      <c r="BT266" t="str">
        <f>HYPERLINK("https%3A%2F%2Fwww.webofscience.com%2Fwos%2Fwoscc%2Ffull-record%2FWOS:000979575600001","View Full Record in Web of Science")</f>
        <v>View Full Record in Web of Science</v>
      </c>
    </row>
    <row r="267" spans="1:72" x14ac:dyDescent="0.15">
      <c r="A267" t="s">
        <v>72</v>
      </c>
      <c r="B267" t="s">
        <v>5507</v>
      </c>
      <c r="C267" t="s">
        <v>74</v>
      </c>
      <c r="D267" t="s">
        <v>74</v>
      </c>
      <c r="E267" t="s">
        <v>74</v>
      </c>
      <c r="F267" t="s">
        <v>5508</v>
      </c>
      <c r="G267" t="s">
        <v>74</v>
      </c>
      <c r="H267" t="s">
        <v>74</v>
      </c>
      <c r="I267" t="s">
        <v>5509</v>
      </c>
      <c r="J267" t="s">
        <v>463</v>
      </c>
      <c r="K267" t="s">
        <v>74</v>
      </c>
      <c r="L267" t="s">
        <v>74</v>
      </c>
      <c r="M267" t="s">
        <v>78</v>
      </c>
      <c r="N267" t="s">
        <v>112</v>
      </c>
      <c r="O267" t="s">
        <v>74</v>
      </c>
      <c r="P267" t="s">
        <v>74</v>
      </c>
      <c r="Q267" t="s">
        <v>74</v>
      </c>
      <c r="R267" t="s">
        <v>74</v>
      </c>
      <c r="S267" t="s">
        <v>74</v>
      </c>
      <c r="T267" t="s">
        <v>5510</v>
      </c>
      <c r="U267" t="s">
        <v>74</v>
      </c>
      <c r="V267" t="s">
        <v>5511</v>
      </c>
      <c r="W267" t="s">
        <v>5512</v>
      </c>
      <c r="X267" t="s">
        <v>5513</v>
      </c>
      <c r="Y267" t="s">
        <v>5514</v>
      </c>
      <c r="Z267" t="s">
        <v>5515</v>
      </c>
      <c r="AA267" t="s">
        <v>5516</v>
      </c>
      <c r="AB267" t="s">
        <v>5517</v>
      </c>
      <c r="AC267" t="s">
        <v>5518</v>
      </c>
      <c r="AD267" t="s">
        <v>5519</v>
      </c>
      <c r="AE267" t="s">
        <v>5520</v>
      </c>
      <c r="AF267" t="s">
        <v>74</v>
      </c>
      <c r="AG267">
        <v>26</v>
      </c>
      <c r="AH267">
        <v>3</v>
      </c>
      <c r="AI267">
        <v>3</v>
      </c>
      <c r="AJ267">
        <v>5</v>
      </c>
      <c r="AK267">
        <v>22</v>
      </c>
      <c r="AL267" t="s">
        <v>125</v>
      </c>
      <c r="AM267" t="s">
        <v>126</v>
      </c>
      <c r="AN267" t="s">
        <v>127</v>
      </c>
      <c r="AO267" t="s">
        <v>74</v>
      </c>
      <c r="AP267" t="s">
        <v>476</v>
      </c>
      <c r="AQ267" t="s">
        <v>74</v>
      </c>
      <c r="AR267" t="s">
        <v>477</v>
      </c>
      <c r="AS267" t="s">
        <v>478</v>
      </c>
      <c r="AT267" t="s">
        <v>1437</v>
      </c>
      <c r="AU267">
        <v>2023</v>
      </c>
      <c r="AV267">
        <v>14</v>
      </c>
      <c r="AW267">
        <v>4</v>
      </c>
      <c r="AX267" t="s">
        <v>74</v>
      </c>
      <c r="AY267" t="s">
        <v>74</v>
      </c>
      <c r="AZ267" t="s">
        <v>74</v>
      </c>
      <c r="BA267" t="s">
        <v>74</v>
      </c>
      <c r="BB267" t="s">
        <v>74</v>
      </c>
      <c r="BC267" t="s">
        <v>74</v>
      </c>
      <c r="BD267">
        <v>812</v>
      </c>
      <c r="BE267" t="s">
        <v>5521</v>
      </c>
      <c r="BF267" t="str">
        <f>HYPERLINK("http://dx.doi.org/10.3390/genes14040812","http://dx.doi.org/10.3390/genes14040812")</f>
        <v>http://dx.doi.org/10.3390/genes14040812</v>
      </c>
      <c r="BG267" t="s">
        <v>74</v>
      </c>
      <c r="BH267" t="s">
        <v>74</v>
      </c>
      <c r="BI267">
        <v>9</v>
      </c>
      <c r="BJ267" t="s">
        <v>481</v>
      </c>
      <c r="BK267" t="s">
        <v>103</v>
      </c>
      <c r="BL267" t="s">
        <v>481</v>
      </c>
      <c r="BM267" t="s">
        <v>5522</v>
      </c>
      <c r="BN267">
        <v>37107570</v>
      </c>
      <c r="BO267" t="s">
        <v>614</v>
      </c>
      <c r="BP267" t="s">
        <v>74</v>
      </c>
      <c r="BQ267" t="s">
        <v>74</v>
      </c>
      <c r="BR267" t="s">
        <v>106</v>
      </c>
      <c r="BS267" t="s">
        <v>5523</v>
      </c>
      <c r="BT267" t="str">
        <f>HYPERLINK("https%3A%2F%2Fwww.webofscience.com%2Fwos%2Fwoscc%2Ffull-record%2FWOS:000979270200001","View Full Record in Web of Science")</f>
        <v>View Full Record in Web of Science</v>
      </c>
    </row>
    <row r="268" spans="1:72" x14ac:dyDescent="0.15">
      <c r="A268" t="s">
        <v>72</v>
      </c>
      <c r="B268" t="s">
        <v>5524</v>
      </c>
      <c r="C268" t="s">
        <v>74</v>
      </c>
      <c r="D268" t="s">
        <v>74</v>
      </c>
      <c r="E268" t="s">
        <v>74</v>
      </c>
      <c r="F268" t="s">
        <v>5525</v>
      </c>
      <c r="G268" t="s">
        <v>74</v>
      </c>
      <c r="H268" t="s">
        <v>74</v>
      </c>
      <c r="I268" t="s">
        <v>5526</v>
      </c>
      <c r="J268" t="s">
        <v>5527</v>
      </c>
      <c r="K268" t="s">
        <v>74</v>
      </c>
      <c r="L268" t="s">
        <v>74</v>
      </c>
      <c r="M268" t="s">
        <v>78</v>
      </c>
      <c r="N268" t="s">
        <v>112</v>
      </c>
      <c r="O268" t="s">
        <v>74</v>
      </c>
      <c r="P268" t="s">
        <v>74</v>
      </c>
      <c r="Q268" t="s">
        <v>74</v>
      </c>
      <c r="R268" t="s">
        <v>74</v>
      </c>
      <c r="S268" t="s">
        <v>74</v>
      </c>
      <c r="T268" t="s">
        <v>74</v>
      </c>
      <c r="U268" t="s">
        <v>5528</v>
      </c>
      <c r="V268" t="s">
        <v>5529</v>
      </c>
      <c r="W268" t="s">
        <v>5530</v>
      </c>
      <c r="X268" t="s">
        <v>5531</v>
      </c>
      <c r="Y268" t="s">
        <v>5532</v>
      </c>
      <c r="Z268" t="s">
        <v>74</v>
      </c>
      <c r="AA268" t="s">
        <v>5533</v>
      </c>
      <c r="AB268" t="s">
        <v>74</v>
      </c>
      <c r="AC268" t="s">
        <v>74</v>
      </c>
      <c r="AD268" t="s">
        <v>74</v>
      </c>
      <c r="AE268" t="s">
        <v>74</v>
      </c>
      <c r="AF268" t="s">
        <v>74</v>
      </c>
      <c r="AG268">
        <v>390</v>
      </c>
      <c r="AH268">
        <v>1</v>
      </c>
      <c r="AI268">
        <v>1</v>
      </c>
      <c r="AJ268">
        <v>4</v>
      </c>
      <c r="AK268">
        <v>13</v>
      </c>
      <c r="AL268" t="s">
        <v>5534</v>
      </c>
      <c r="AM268" t="s">
        <v>5535</v>
      </c>
      <c r="AN268" t="s">
        <v>5536</v>
      </c>
      <c r="AO268" t="s">
        <v>5537</v>
      </c>
      <c r="AP268" t="s">
        <v>5538</v>
      </c>
      <c r="AQ268" t="s">
        <v>74</v>
      </c>
      <c r="AR268" t="s">
        <v>5539</v>
      </c>
      <c r="AS268" t="s">
        <v>5540</v>
      </c>
      <c r="AT268" t="s">
        <v>1437</v>
      </c>
      <c r="AU268">
        <v>2023</v>
      </c>
      <c r="AV268">
        <v>12</v>
      </c>
      <c r="AW268">
        <v>1</v>
      </c>
      <c r="AX268" t="s">
        <v>74</v>
      </c>
      <c r="AY268" t="s">
        <v>74</v>
      </c>
      <c r="AZ268" t="s">
        <v>74</v>
      </c>
      <c r="BA268" t="s">
        <v>74</v>
      </c>
      <c r="BB268" t="s">
        <v>5541</v>
      </c>
      <c r="BC268" t="s">
        <v>1385</v>
      </c>
      <c r="BD268" t="s">
        <v>74</v>
      </c>
      <c r="BE268" t="s">
        <v>5542</v>
      </c>
      <c r="BF268" t="str">
        <f>HYPERLINK("http://dx.doi.org/10.7185/geochempersp.12.1","http://dx.doi.org/10.7185/geochempersp.12.1")</f>
        <v>http://dx.doi.org/10.7185/geochempersp.12.1</v>
      </c>
      <c r="BG268" t="s">
        <v>74</v>
      </c>
      <c r="BH268" t="s">
        <v>74</v>
      </c>
      <c r="BI268">
        <v>181</v>
      </c>
      <c r="BJ268" t="s">
        <v>313</v>
      </c>
      <c r="BK268" t="s">
        <v>103</v>
      </c>
      <c r="BL268" t="s">
        <v>313</v>
      </c>
      <c r="BM268" t="s">
        <v>5543</v>
      </c>
      <c r="BN268" t="s">
        <v>74</v>
      </c>
      <c r="BO268" t="s">
        <v>136</v>
      </c>
      <c r="BP268" t="s">
        <v>74</v>
      </c>
      <c r="BQ268" t="s">
        <v>74</v>
      </c>
      <c r="BR268" t="s">
        <v>106</v>
      </c>
      <c r="BS268" t="s">
        <v>5544</v>
      </c>
      <c r="BT268" t="str">
        <f>HYPERLINK("https%3A%2F%2Fwww.webofscience.com%2Fwos%2Fwoscc%2Ffull-record%2FWOS:000974129700001","View Full Record in Web of Science")</f>
        <v>View Full Record in Web of Science</v>
      </c>
    </row>
    <row r="269" spans="1:72" x14ac:dyDescent="0.15">
      <c r="A269" t="s">
        <v>72</v>
      </c>
      <c r="B269" t="s">
        <v>5545</v>
      </c>
      <c r="C269" t="s">
        <v>74</v>
      </c>
      <c r="D269" t="s">
        <v>74</v>
      </c>
      <c r="E269" t="s">
        <v>74</v>
      </c>
      <c r="F269" t="s">
        <v>5546</v>
      </c>
      <c r="G269" t="s">
        <v>74</v>
      </c>
      <c r="H269" t="s">
        <v>74</v>
      </c>
      <c r="I269" t="s">
        <v>5547</v>
      </c>
      <c r="J269" t="s">
        <v>217</v>
      </c>
      <c r="K269" t="s">
        <v>74</v>
      </c>
      <c r="L269" t="s">
        <v>74</v>
      </c>
      <c r="M269" t="s">
        <v>78</v>
      </c>
      <c r="N269" t="s">
        <v>112</v>
      </c>
      <c r="O269" t="s">
        <v>74</v>
      </c>
      <c r="P269" t="s">
        <v>74</v>
      </c>
      <c r="Q269" t="s">
        <v>74</v>
      </c>
      <c r="R269" t="s">
        <v>74</v>
      </c>
      <c r="S269" t="s">
        <v>74</v>
      </c>
      <c r="T269" t="s">
        <v>5548</v>
      </c>
      <c r="U269" t="s">
        <v>5549</v>
      </c>
      <c r="V269" t="s">
        <v>5550</v>
      </c>
      <c r="W269" t="s">
        <v>5551</v>
      </c>
      <c r="X269" t="s">
        <v>5552</v>
      </c>
      <c r="Y269" t="s">
        <v>5553</v>
      </c>
      <c r="Z269" t="s">
        <v>5554</v>
      </c>
      <c r="AA269" t="s">
        <v>5555</v>
      </c>
      <c r="AB269" t="s">
        <v>5556</v>
      </c>
      <c r="AC269" t="s">
        <v>5557</v>
      </c>
      <c r="AD269" t="s">
        <v>5558</v>
      </c>
      <c r="AE269" t="s">
        <v>5559</v>
      </c>
      <c r="AF269" t="s">
        <v>74</v>
      </c>
      <c r="AG269">
        <v>48</v>
      </c>
      <c r="AH269">
        <v>2</v>
      </c>
      <c r="AI269">
        <v>2</v>
      </c>
      <c r="AJ269">
        <v>0</v>
      </c>
      <c r="AK269">
        <v>2</v>
      </c>
      <c r="AL269" t="s">
        <v>225</v>
      </c>
      <c r="AM269" t="s">
        <v>226</v>
      </c>
      <c r="AN269" t="s">
        <v>227</v>
      </c>
      <c r="AO269" t="s">
        <v>228</v>
      </c>
      <c r="AP269" t="s">
        <v>229</v>
      </c>
      <c r="AQ269" t="s">
        <v>74</v>
      </c>
      <c r="AR269" t="s">
        <v>230</v>
      </c>
      <c r="AS269" t="s">
        <v>231</v>
      </c>
      <c r="AT269" t="s">
        <v>1437</v>
      </c>
      <c r="AU269">
        <v>2023</v>
      </c>
      <c r="AV269">
        <v>245</v>
      </c>
      <c r="AW269" t="s">
        <v>74</v>
      </c>
      <c r="AX269" t="s">
        <v>74</v>
      </c>
      <c r="AY269" t="s">
        <v>74</v>
      </c>
      <c r="AZ269" t="s">
        <v>74</v>
      </c>
      <c r="BA269" t="s">
        <v>74</v>
      </c>
      <c r="BB269" t="s">
        <v>74</v>
      </c>
      <c r="BC269" t="s">
        <v>74</v>
      </c>
      <c r="BD269">
        <v>106060</v>
      </c>
      <c r="BE269" t="s">
        <v>5560</v>
      </c>
      <c r="BF269" t="str">
        <f>HYPERLINK("http://dx.doi.org/10.1016/j.jastp.2023.106060","http://dx.doi.org/10.1016/j.jastp.2023.106060")</f>
        <v>http://dx.doi.org/10.1016/j.jastp.2023.106060</v>
      </c>
      <c r="BG269" t="s">
        <v>74</v>
      </c>
      <c r="BH269" t="s">
        <v>427</v>
      </c>
      <c r="BI269">
        <v>13</v>
      </c>
      <c r="BJ269" t="s">
        <v>235</v>
      </c>
      <c r="BK269" t="s">
        <v>103</v>
      </c>
      <c r="BL269" t="s">
        <v>235</v>
      </c>
      <c r="BM269" t="s">
        <v>5561</v>
      </c>
      <c r="BN269" t="s">
        <v>74</v>
      </c>
      <c r="BO269" t="s">
        <v>74</v>
      </c>
      <c r="BP269" t="s">
        <v>74</v>
      </c>
      <c r="BQ269" t="s">
        <v>74</v>
      </c>
      <c r="BR269" t="s">
        <v>106</v>
      </c>
      <c r="BS269" t="s">
        <v>5562</v>
      </c>
      <c r="BT269" t="str">
        <f>HYPERLINK("https%3A%2F%2Fwww.webofscience.com%2Fwos%2Fwoscc%2Ffull-record%2FWOS:000971062900001","View Full Record in Web of Science")</f>
        <v>View Full Record in Web of Science</v>
      </c>
    </row>
    <row r="270" spans="1:72" x14ac:dyDescent="0.15">
      <c r="A270" t="s">
        <v>72</v>
      </c>
      <c r="B270" t="s">
        <v>5563</v>
      </c>
      <c r="C270" t="s">
        <v>74</v>
      </c>
      <c r="D270" t="s">
        <v>74</v>
      </c>
      <c r="E270" t="s">
        <v>74</v>
      </c>
      <c r="F270" t="s">
        <v>5564</v>
      </c>
      <c r="G270" t="s">
        <v>74</v>
      </c>
      <c r="H270" t="s">
        <v>74</v>
      </c>
      <c r="I270" t="s">
        <v>5565</v>
      </c>
      <c r="J270" t="s">
        <v>5566</v>
      </c>
      <c r="K270" t="s">
        <v>74</v>
      </c>
      <c r="L270" t="s">
        <v>74</v>
      </c>
      <c r="M270" t="s">
        <v>78</v>
      </c>
      <c r="N270" t="s">
        <v>112</v>
      </c>
      <c r="O270" t="s">
        <v>74</v>
      </c>
      <c r="P270" t="s">
        <v>74</v>
      </c>
      <c r="Q270" t="s">
        <v>74</v>
      </c>
      <c r="R270" t="s">
        <v>74</v>
      </c>
      <c r="S270" t="s">
        <v>74</v>
      </c>
      <c r="T270" t="s">
        <v>5567</v>
      </c>
      <c r="U270" t="s">
        <v>5568</v>
      </c>
      <c r="V270" t="s">
        <v>5569</v>
      </c>
      <c r="W270" t="s">
        <v>5570</v>
      </c>
      <c r="X270" t="s">
        <v>5571</v>
      </c>
      <c r="Y270" t="s">
        <v>5572</v>
      </c>
      <c r="Z270" t="s">
        <v>5573</v>
      </c>
      <c r="AA270" t="s">
        <v>5574</v>
      </c>
      <c r="AB270" t="s">
        <v>5575</v>
      </c>
      <c r="AC270" t="s">
        <v>5576</v>
      </c>
      <c r="AD270" t="s">
        <v>251</v>
      </c>
      <c r="AE270" t="s">
        <v>5577</v>
      </c>
      <c r="AF270" t="s">
        <v>74</v>
      </c>
      <c r="AG270">
        <v>68</v>
      </c>
      <c r="AH270">
        <v>0</v>
      </c>
      <c r="AI270">
        <v>0</v>
      </c>
      <c r="AJ270">
        <v>0</v>
      </c>
      <c r="AK270">
        <v>2</v>
      </c>
      <c r="AL270" t="s">
        <v>125</v>
      </c>
      <c r="AM270" t="s">
        <v>126</v>
      </c>
      <c r="AN270" t="s">
        <v>127</v>
      </c>
      <c r="AO270" t="s">
        <v>74</v>
      </c>
      <c r="AP270" t="s">
        <v>5578</v>
      </c>
      <c r="AQ270" t="s">
        <v>74</v>
      </c>
      <c r="AR270" t="s">
        <v>5579</v>
      </c>
      <c r="AS270" t="s">
        <v>5580</v>
      </c>
      <c r="AT270" t="s">
        <v>1437</v>
      </c>
      <c r="AU270">
        <v>2023</v>
      </c>
      <c r="AV270">
        <v>24</v>
      </c>
      <c r="AW270">
        <v>8</v>
      </c>
      <c r="AX270" t="s">
        <v>74</v>
      </c>
      <c r="AY270" t="s">
        <v>74</v>
      </c>
      <c r="AZ270" t="s">
        <v>74</v>
      </c>
      <c r="BA270" t="s">
        <v>74</v>
      </c>
      <c r="BB270" t="s">
        <v>74</v>
      </c>
      <c r="BC270" t="s">
        <v>74</v>
      </c>
      <c r="BD270">
        <v>7376</v>
      </c>
      <c r="BE270" t="s">
        <v>5581</v>
      </c>
      <c r="BF270" t="str">
        <f>HYPERLINK("http://dx.doi.org/10.3390/ijms24087376","http://dx.doi.org/10.3390/ijms24087376")</f>
        <v>http://dx.doi.org/10.3390/ijms24087376</v>
      </c>
      <c r="BG270" t="s">
        <v>74</v>
      </c>
      <c r="BH270" t="s">
        <v>74</v>
      </c>
      <c r="BI270">
        <v>10</v>
      </c>
      <c r="BJ270" t="s">
        <v>5582</v>
      </c>
      <c r="BK270" t="s">
        <v>103</v>
      </c>
      <c r="BL270" t="s">
        <v>1875</v>
      </c>
      <c r="BM270" t="s">
        <v>5583</v>
      </c>
      <c r="BN270">
        <v>37108537</v>
      </c>
      <c r="BO270" t="s">
        <v>614</v>
      </c>
      <c r="BP270" t="s">
        <v>74</v>
      </c>
      <c r="BQ270" t="s">
        <v>74</v>
      </c>
      <c r="BR270" t="s">
        <v>106</v>
      </c>
      <c r="BS270" t="s">
        <v>5584</v>
      </c>
      <c r="BT270" t="str">
        <f>HYPERLINK("https%3A%2F%2Fwww.webofscience.com%2Fwos%2Fwoscc%2Ffull-record%2FWOS:000979294900001","View Full Record in Web of Science")</f>
        <v>View Full Record in Web of Science</v>
      </c>
    </row>
    <row r="271" spans="1:72" x14ac:dyDescent="0.15">
      <c r="A271" t="s">
        <v>72</v>
      </c>
      <c r="B271" t="s">
        <v>5585</v>
      </c>
      <c r="C271" t="s">
        <v>74</v>
      </c>
      <c r="D271" t="s">
        <v>74</v>
      </c>
      <c r="E271" t="s">
        <v>74</v>
      </c>
      <c r="F271" t="s">
        <v>5586</v>
      </c>
      <c r="G271" t="s">
        <v>74</v>
      </c>
      <c r="H271" t="s">
        <v>74</v>
      </c>
      <c r="I271" t="s">
        <v>5587</v>
      </c>
      <c r="J271" t="s">
        <v>5566</v>
      </c>
      <c r="K271" t="s">
        <v>74</v>
      </c>
      <c r="L271" t="s">
        <v>74</v>
      </c>
      <c r="M271" t="s">
        <v>78</v>
      </c>
      <c r="N271" t="s">
        <v>112</v>
      </c>
      <c r="O271" t="s">
        <v>74</v>
      </c>
      <c r="P271" t="s">
        <v>74</v>
      </c>
      <c r="Q271" t="s">
        <v>74</v>
      </c>
      <c r="R271" t="s">
        <v>74</v>
      </c>
      <c r="S271" t="s">
        <v>74</v>
      </c>
      <c r="T271" t="s">
        <v>5588</v>
      </c>
      <c r="U271" t="s">
        <v>5589</v>
      </c>
      <c r="V271" t="s">
        <v>5590</v>
      </c>
      <c r="W271" t="s">
        <v>5591</v>
      </c>
      <c r="X271" t="s">
        <v>5592</v>
      </c>
      <c r="Y271" t="s">
        <v>5593</v>
      </c>
      <c r="Z271" t="s">
        <v>5594</v>
      </c>
      <c r="AA271" t="s">
        <v>5595</v>
      </c>
      <c r="AB271" t="s">
        <v>5596</v>
      </c>
      <c r="AC271" t="s">
        <v>5597</v>
      </c>
      <c r="AD271" t="s">
        <v>5598</v>
      </c>
      <c r="AE271" t="s">
        <v>5599</v>
      </c>
      <c r="AF271" t="s">
        <v>74</v>
      </c>
      <c r="AG271">
        <v>92</v>
      </c>
      <c r="AH271">
        <v>1</v>
      </c>
      <c r="AI271">
        <v>2</v>
      </c>
      <c r="AJ271">
        <v>13</v>
      </c>
      <c r="AK271">
        <v>17</v>
      </c>
      <c r="AL271" t="s">
        <v>125</v>
      </c>
      <c r="AM271" t="s">
        <v>126</v>
      </c>
      <c r="AN271" t="s">
        <v>127</v>
      </c>
      <c r="AO271" t="s">
        <v>74</v>
      </c>
      <c r="AP271" t="s">
        <v>5578</v>
      </c>
      <c r="AQ271" t="s">
        <v>74</v>
      </c>
      <c r="AR271" t="s">
        <v>5579</v>
      </c>
      <c r="AS271" t="s">
        <v>5580</v>
      </c>
      <c r="AT271" t="s">
        <v>1437</v>
      </c>
      <c r="AU271">
        <v>2023</v>
      </c>
      <c r="AV271">
        <v>24</v>
      </c>
      <c r="AW271">
        <v>8</v>
      </c>
      <c r="AX271" t="s">
        <v>74</v>
      </c>
      <c r="AY271" t="s">
        <v>74</v>
      </c>
      <c r="AZ271" t="s">
        <v>74</v>
      </c>
      <c r="BA271" t="s">
        <v>74</v>
      </c>
      <c r="BB271" t="s">
        <v>74</v>
      </c>
      <c r="BC271" t="s">
        <v>74</v>
      </c>
      <c r="BD271">
        <v>7662</v>
      </c>
      <c r="BE271" t="s">
        <v>5600</v>
      </c>
      <c r="BF271" t="str">
        <f>HYPERLINK("http://dx.doi.org/10.3390/ijms24087662","http://dx.doi.org/10.3390/ijms24087662")</f>
        <v>http://dx.doi.org/10.3390/ijms24087662</v>
      </c>
      <c r="BG271" t="s">
        <v>74</v>
      </c>
      <c r="BH271" t="s">
        <v>74</v>
      </c>
      <c r="BI271">
        <v>20</v>
      </c>
      <c r="BJ271" t="s">
        <v>5582</v>
      </c>
      <c r="BK271" t="s">
        <v>103</v>
      </c>
      <c r="BL271" t="s">
        <v>1875</v>
      </c>
      <c r="BM271" t="s">
        <v>5601</v>
      </c>
      <c r="BN271">
        <v>37108829</v>
      </c>
      <c r="BO271" t="s">
        <v>614</v>
      </c>
      <c r="BP271" t="s">
        <v>74</v>
      </c>
      <c r="BQ271" t="s">
        <v>74</v>
      </c>
      <c r="BR271" t="s">
        <v>106</v>
      </c>
      <c r="BS271" t="s">
        <v>5602</v>
      </c>
      <c r="BT271" t="str">
        <f>HYPERLINK("https%3A%2F%2Fwww.webofscience.com%2Fwos%2Fwoscc%2Ffull-record%2FWOS:000979329700001","View Full Record in Web of Science")</f>
        <v>View Full Record in Web of Science</v>
      </c>
    </row>
    <row r="272" spans="1:72" x14ac:dyDescent="0.15">
      <c r="A272" t="s">
        <v>72</v>
      </c>
      <c r="B272" t="s">
        <v>5603</v>
      </c>
      <c r="C272" t="s">
        <v>74</v>
      </c>
      <c r="D272" t="s">
        <v>74</v>
      </c>
      <c r="E272" t="s">
        <v>74</v>
      </c>
      <c r="F272" t="s">
        <v>5604</v>
      </c>
      <c r="G272" t="s">
        <v>74</v>
      </c>
      <c r="H272" t="s">
        <v>74</v>
      </c>
      <c r="I272" t="s">
        <v>5605</v>
      </c>
      <c r="J272" t="s">
        <v>5424</v>
      </c>
      <c r="K272" t="s">
        <v>74</v>
      </c>
      <c r="L272" t="s">
        <v>74</v>
      </c>
      <c r="M272" t="s">
        <v>78</v>
      </c>
      <c r="N272" t="s">
        <v>112</v>
      </c>
      <c r="O272" t="s">
        <v>74</v>
      </c>
      <c r="P272" t="s">
        <v>74</v>
      </c>
      <c r="Q272" t="s">
        <v>74</v>
      </c>
      <c r="R272" t="s">
        <v>74</v>
      </c>
      <c r="S272" t="s">
        <v>74</v>
      </c>
      <c r="T272" t="s">
        <v>5606</v>
      </c>
      <c r="U272" t="s">
        <v>5607</v>
      </c>
      <c r="V272" t="s">
        <v>5608</v>
      </c>
      <c r="W272" t="s">
        <v>5609</v>
      </c>
      <c r="X272" t="s">
        <v>5610</v>
      </c>
      <c r="Y272" t="s">
        <v>5611</v>
      </c>
      <c r="Z272" t="s">
        <v>5612</v>
      </c>
      <c r="AA272" t="s">
        <v>5613</v>
      </c>
      <c r="AB272" t="s">
        <v>5614</v>
      </c>
      <c r="AC272" t="s">
        <v>5615</v>
      </c>
      <c r="AD272" t="s">
        <v>5616</v>
      </c>
      <c r="AE272" t="s">
        <v>5617</v>
      </c>
      <c r="AF272" t="s">
        <v>74</v>
      </c>
      <c r="AG272">
        <v>51</v>
      </c>
      <c r="AH272">
        <v>3</v>
      </c>
      <c r="AI272">
        <v>3</v>
      </c>
      <c r="AJ272">
        <v>2</v>
      </c>
      <c r="AK272">
        <v>7</v>
      </c>
      <c r="AL272" t="s">
        <v>125</v>
      </c>
      <c r="AM272" t="s">
        <v>126</v>
      </c>
      <c r="AN272" t="s">
        <v>127</v>
      </c>
      <c r="AO272" t="s">
        <v>74</v>
      </c>
      <c r="AP272" t="s">
        <v>5437</v>
      </c>
      <c r="AQ272" t="s">
        <v>74</v>
      </c>
      <c r="AR272" t="s">
        <v>5438</v>
      </c>
      <c r="AS272" t="s">
        <v>5439</v>
      </c>
      <c r="AT272" t="s">
        <v>1437</v>
      </c>
      <c r="AU272">
        <v>2023</v>
      </c>
      <c r="AV272">
        <v>9</v>
      </c>
      <c r="AW272">
        <v>4</v>
      </c>
      <c r="AX272" t="s">
        <v>74</v>
      </c>
      <c r="AY272" t="s">
        <v>74</v>
      </c>
      <c r="AZ272" t="s">
        <v>74</v>
      </c>
      <c r="BA272" t="s">
        <v>74</v>
      </c>
      <c r="BB272" t="s">
        <v>74</v>
      </c>
      <c r="BC272" t="s">
        <v>74</v>
      </c>
      <c r="BD272">
        <v>437</v>
      </c>
      <c r="BE272" t="s">
        <v>5618</v>
      </c>
      <c r="BF272" t="str">
        <f>HYPERLINK("http://dx.doi.org/10.3390/jof9040437","http://dx.doi.org/10.3390/jof9040437")</f>
        <v>http://dx.doi.org/10.3390/jof9040437</v>
      </c>
      <c r="BG272" t="s">
        <v>74</v>
      </c>
      <c r="BH272" t="s">
        <v>74</v>
      </c>
      <c r="BI272">
        <v>13</v>
      </c>
      <c r="BJ272" t="s">
        <v>5441</v>
      </c>
      <c r="BK272" t="s">
        <v>103</v>
      </c>
      <c r="BL272" t="s">
        <v>5441</v>
      </c>
      <c r="BM272" t="s">
        <v>5619</v>
      </c>
      <c r="BN272">
        <v>37108892</v>
      </c>
      <c r="BO272" t="s">
        <v>359</v>
      </c>
      <c r="BP272" t="s">
        <v>74</v>
      </c>
      <c r="BQ272" t="s">
        <v>74</v>
      </c>
      <c r="BR272" t="s">
        <v>106</v>
      </c>
      <c r="BS272" t="s">
        <v>5620</v>
      </c>
      <c r="BT272" t="str">
        <f>HYPERLINK("https%3A%2F%2Fwww.webofscience.com%2Fwos%2Fwoscc%2Ffull-record%2FWOS:000979229800001","View Full Record in Web of Science")</f>
        <v>View Full Record in Web of Science</v>
      </c>
    </row>
    <row r="273" spans="1:72" x14ac:dyDescent="0.15">
      <c r="A273" t="s">
        <v>72</v>
      </c>
      <c r="B273" t="s">
        <v>5621</v>
      </c>
      <c r="C273" t="s">
        <v>74</v>
      </c>
      <c r="D273" t="s">
        <v>74</v>
      </c>
      <c r="E273" t="s">
        <v>74</v>
      </c>
      <c r="F273" t="s">
        <v>5622</v>
      </c>
      <c r="G273" t="s">
        <v>74</v>
      </c>
      <c r="H273" t="s">
        <v>74</v>
      </c>
      <c r="I273" t="s">
        <v>5623</v>
      </c>
      <c r="J273" t="s">
        <v>5320</v>
      </c>
      <c r="K273" t="s">
        <v>74</v>
      </c>
      <c r="L273" t="s">
        <v>74</v>
      </c>
      <c r="M273" t="s">
        <v>78</v>
      </c>
      <c r="N273" t="s">
        <v>112</v>
      </c>
      <c r="O273" t="s">
        <v>74</v>
      </c>
      <c r="P273" t="s">
        <v>74</v>
      </c>
      <c r="Q273" t="s">
        <v>74</v>
      </c>
      <c r="R273" t="s">
        <v>74</v>
      </c>
      <c r="S273" t="s">
        <v>74</v>
      </c>
      <c r="T273" t="s">
        <v>5624</v>
      </c>
      <c r="U273" t="s">
        <v>5625</v>
      </c>
      <c r="V273" t="s">
        <v>5626</v>
      </c>
      <c r="W273" t="s">
        <v>5627</v>
      </c>
      <c r="X273" t="s">
        <v>5628</v>
      </c>
      <c r="Y273" t="s">
        <v>5629</v>
      </c>
      <c r="Z273" t="s">
        <v>5630</v>
      </c>
      <c r="AA273" t="s">
        <v>5631</v>
      </c>
      <c r="AB273" t="s">
        <v>5632</v>
      </c>
      <c r="AC273" t="s">
        <v>74</v>
      </c>
      <c r="AD273" t="s">
        <v>74</v>
      </c>
      <c r="AE273" t="s">
        <v>74</v>
      </c>
      <c r="AF273" t="s">
        <v>74</v>
      </c>
      <c r="AG273">
        <v>94</v>
      </c>
      <c r="AH273">
        <v>5</v>
      </c>
      <c r="AI273">
        <v>5</v>
      </c>
      <c r="AJ273">
        <v>1</v>
      </c>
      <c r="AK273">
        <v>4</v>
      </c>
      <c r="AL273" t="s">
        <v>125</v>
      </c>
      <c r="AM273" t="s">
        <v>126</v>
      </c>
      <c r="AN273" t="s">
        <v>127</v>
      </c>
      <c r="AO273" t="s">
        <v>74</v>
      </c>
      <c r="AP273" t="s">
        <v>5332</v>
      </c>
      <c r="AQ273" t="s">
        <v>74</v>
      </c>
      <c r="AR273" t="s">
        <v>5320</v>
      </c>
      <c r="AS273" t="s">
        <v>5333</v>
      </c>
      <c r="AT273" t="s">
        <v>1437</v>
      </c>
      <c r="AU273">
        <v>2023</v>
      </c>
      <c r="AV273">
        <v>13</v>
      </c>
      <c r="AW273">
        <v>4</v>
      </c>
      <c r="AX273" t="s">
        <v>74</v>
      </c>
      <c r="AY273" t="s">
        <v>74</v>
      </c>
      <c r="AZ273" t="s">
        <v>74</v>
      </c>
      <c r="BA273" t="s">
        <v>74</v>
      </c>
      <c r="BB273" t="s">
        <v>74</v>
      </c>
      <c r="BC273" t="s">
        <v>74</v>
      </c>
      <c r="BD273">
        <v>117</v>
      </c>
      <c r="BE273" t="s">
        <v>5633</v>
      </c>
      <c r="BF273" t="str">
        <f>HYPERLINK("http://dx.doi.org/10.3390/geosciences13040117","http://dx.doi.org/10.3390/geosciences13040117")</f>
        <v>http://dx.doi.org/10.3390/geosciences13040117</v>
      </c>
      <c r="BG273" t="s">
        <v>74</v>
      </c>
      <c r="BH273" t="s">
        <v>74</v>
      </c>
      <c r="BI273">
        <v>19</v>
      </c>
      <c r="BJ273" t="s">
        <v>261</v>
      </c>
      <c r="BK273" t="s">
        <v>160</v>
      </c>
      <c r="BL273" t="s">
        <v>262</v>
      </c>
      <c r="BM273" t="s">
        <v>5634</v>
      </c>
      <c r="BN273" t="s">
        <v>74</v>
      </c>
      <c r="BO273" t="s">
        <v>614</v>
      </c>
      <c r="BP273" t="s">
        <v>74</v>
      </c>
      <c r="BQ273" t="s">
        <v>74</v>
      </c>
      <c r="BR273" t="s">
        <v>106</v>
      </c>
      <c r="BS273" t="s">
        <v>5635</v>
      </c>
      <c r="BT273" t="str">
        <f>HYPERLINK("https%3A%2F%2Fwww.webofscience.com%2Fwos%2Fwoscc%2Ffull-record%2FWOS:000977635900001","View Full Record in Web of Science")</f>
        <v>View Full Record in Web of Science</v>
      </c>
    </row>
    <row r="274" spans="1:72" x14ac:dyDescent="0.15">
      <c r="A274" t="s">
        <v>72</v>
      </c>
      <c r="B274" t="s">
        <v>5636</v>
      </c>
      <c r="C274" t="s">
        <v>74</v>
      </c>
      <c r="D274" t="s">
        <v>74</v>
      </c>
      <c r="E274" t="s">
        <v>74</v>
      </c>
      <c r="F274" t="s">
        <v>5637</v>
      </c>
      <c r="G274" t="s">
        <v>74</v>
      </c>
      <c r="H274" t="s">
        <v>74</v>
      </c>
      <c r="I274" t="s">
        <v>5638</v>
      </c>
      <c r="J274" t="s">
        <v>5639</v>
      </c>
      <c r="K274" t="s">
        <v>74</v>
      </c>
      <c r="L274" t="s">
        <v>74</v>
      </c>
      <c r="M274" t="s">
        <v>78</v>
      </c>
      <c r="N274" t="s">
        <v>112</v>
      </c>
      <c r="O274" t="s">
        <v>74</v>
      </c>
      <c r="P274" t="s">
        <v>74</v>
      </c>
      <c r="Q274" t="s">
        <v>74</v>
      </c>
      <c r="R274" t="s">
        <v>74</v>
      </c>
      <c r="S274" t="s">
        <v>74</v>
      </c>
      <c r="T274" t="s">
        <v>5640</v>
      </c>
      <c r="U274" t="s">
        <v>5641</v>
      </c>
      <c r="V274" t="s">
        <v>5642</v>
      </c>
      <c r="W274" t="s">
        <v>5643</v>
      </c>
      <c r="X274" t="s">
        <v>5644</v>
      </c>
      <c r="Y274" t="s">
        <v>5645</v>
      </c>
      <c r="Z274" t="s">
        <v>5646</v>
      </c>
      <c r="AA274" t="s">
        <v>5647</v>
      </c>
      <c r="AB274" t="s">
        <v>5648</v>
      </c>
      <c r="AC274" t="s">
        <v>5649</v>
      </c>
      <c r="AD274" t="s">
        <v>5650</v>
      </c>
      <c r="AE274" t="s">
        <v>5651</v>
      </c>
      <c r="AF274" t="s">
        <v>74</v>
      </c>
      <c r="AG274">
        <v>56</v>
      </c>
      <c r="AH274">
        <v>0</v>
      </c>
      <c r="AI274">
        <v>0</v>
      </c>
      <c r="AJ274">
        <v>12</v>
      </c>
      <c r="AK274">
        <v>15</v>
      </c>
      <c r="AL274" t="s">
        <v>125</v>
      </c>
      <c r="AM274" t="s">
        <v>126</v>
      </c>
      <c r="AN274" t="s">
        <v>127</v>
      </c>
      <c r="AO274" t="s">
        <v>74</v>
      </c>
      <c r="AP274" t="s">
        <v>5652</v>
      </c>
      <c r="AQ274" t="s">
        <v>74</v>
      </c>
      <c r="AR274" t="s">
        <v>5653</v>
      </c>
      <c r="AS274" t="s">
        <v>5654</v>
      </c>
      <c r="AT274" t="s">
        <v>1437</v>
      </c>
      <c r="AU274">
        <v>2023</v>
      </c>
      <c r="AV274">
        <v>15</v>
      </c>
      <c r="AW274">
        <v>8</v>
      </c>
      <c r="AX274" t="s">
        <v>74</v>
      </c>
      <c r="AY274" t="s">
        <v>74</v>
      </c>
      <c r="AZ274" t="s">
        <v>74</v>
      </c>
      <c r="BA274" t="s">
        <v>74</v>
      </c>
      <c r="BB274" t="s">
        <v>74</v>
      </c>
      <c r="BC274" t="s">
        <v>74</v>
      </c>
      <c r="BD274">
        <v>1841</v>
      </c>
      <c r="BE274" t="s">
        <v>5655</v>
      </c>
      <c r="BF274" t="str">
        <f>HYPERLINK("http://dx.doi.org/10.3390/polym15081841","http://dx.doi.org/10.3390/polym15081841")</f>
        <v>http://dx.doi.org/10.3390/polym15081841</v>
      </c>
      <c r="BG274" t="s">
        <v>74</v>
      </c>
      <c r="BH274" t="s">
        <v>74</v>
      </c>
      <c r="BI274">
        <v>14</v>
      </c>
      <c r="BJ274" t="s">
        <v>5656</v>
      </c>
      <c r="BK274" t="s">
        <v>103</v>
      </c>
      <c r="BL274" t="s">
        <v>5656</v>
      </c>
      <c r="BM274" t="s">
        <v>5657</v>
      </c>
      <c r="BN274">
        <v>37111988</v>
      </c>
      <c r="BO274" t="s">
        <v>136</v>
      </c>
      <c r="BP274" t="s">
        <v>74</v>
      </c>
      <c r="BQ274" t="s">
        <v>74</v>
      </c>
      <c r="BR274" t="s">
        <v>106</v>
      </c>
      <c r="BS274" t="s">
        <v>5658</v>
      </c>
      <c r="BT274" t="str">
        <f>HYPERLINK("https%3A%2F%2Fwww.webofscience.com%2Fwos%2Fwoscc%2Ffull-record%2FWOS:000978844200001","View Full Record in Web of Science")</f>
        <v>View Full Record in Web of Science</v>
      </c>
    </row>
    <row r="275" spans="1:72" x14ac:dyDescent="0.15">
      <c r="A275" t="s">
        <v>72</v>
      </c>
      <c r="B275" t="s">
        <v>5659</v>
      </c>
      <c r="C275" t="s">
        <v>74</v>
      </c>
      <c r="D275" t="s">
        <v>74</v>
      </c>
      <c r="E275" t="s">
        <v>74</v>
      </c>
      <c r="F275" t="s">
        <v>5660</v>
      </c>
      <c r="G275" t="s">
        <v>74</v>
      </c>
      <c r="H275" t="s">
        <v>74</v>
      </c>
      <c r="I275" t="s">
        <v>5661</v>
      </c>
      <c r="J275" t="s">
        <v>981</v>
      </c>
      <c r="K275" t="s">
        <v>74</v>
      </c>
      <c r="L275" t="s">
        <v>74</v>
      </c>
      <c r="M275" t="s">
        <v>78</v>
      </c>
      <c r="N275" t="s">
        <v>112</v>
      </c>
      <c r="O275" t="s">
        <v>74</v>
      </c>
      <c r="P275" t="s">
        <v>74</v>
      </c>
      <c r="Q275" t="s">
        <v>74</v>
      </c>
      <c r="R275" t="s">
        <v>74</v>
      </c>
      <c r="S275" t="s">
        <v>74</v>
      </c>
      <c r="T275" t="s">
        <v>5662</v>
      </c>
      <c r="U275" t="s">
        <v>5663</v>
      </c>
      <c r="V275" t="s">
        <v>5664</v>
      </c>
      <c r="W275" t="s">
        <v>5665</v>
      </c>
      <c r="X275" t="s">
        <v>5666</v>
      </c>
      <c r="Y275" t="s">
        <v>5667</v>
      </c>
      <c r="Z275" t="s">
        <v>5668</v>
      </c>
      <c r="AA275" t="s">
        <v>5669</v>
      </c>
      <c r="AB275" t="s">
        <v>5670</v>
      </c>
      <c r="AC275" t="s">
        <v>74</v>
      </c>
      <c r="AD275" t="s">
        <v>74</v>
      </c>
      <c r="AE275" t="s">
        <v>74</v>
      </c>
      <c r="AF275" t="s">
        <v>74</v>
      </c>
      <c r="AG275">
        <v>47</v>
      </c>
      <c r="AH275">
        <v>0</v>
      </c>
      <c r="AI275">
        <v>0</v>
      </c>
      <c r="AJ275">
        <v>0</v>
      </c>
      <c r="AK275">
        <v>3</v>
      </c>
      <c r="AL275" t="s">
        <v>125</v>
      </c>
      <c r="AM275" t="s">
        <v>126</v>
      </c>
      <c r="AN275" t="s">
        <v>127</v>
      </c>
      <c r="AO275" t="s">
        <v>74</v>
      </c>
      <c r="AP275" t="s">
        <v>992</v>
      </c>
      <c r="AQ275" t="s">
        <v>74</v>
      </c>
      <c r="AR275" t="s">
        <v>993</v>
      </c>
      <c r="AS275" t="s">
        <v>994</v>
      </c>
      <c r="AT275" t="s">
        <v>1437</v>
      </c>
      <c r="AU275">
        <v>2023</v>
      </c>
      <c r="AV275">
        <v>15</v>
      </c>
      <c r="AW275">
        <v>8</v>
      </c>
      <c r="AX275" t="s">
        <v>74</v>
      </c>
      <c r="AY275" t="s">
        <v>74</v>
      </c>
      <c r="AZ275" t="s">
        <v>74</v>
      </c>
      <c r="BA275" t="s">
        <v>74</v>
      </c>
      <c r="BB275" t="s">
        <v>74</v>
      </c>
      <c r="BC275" t="s">
        <v>74</v>
      </c>
      <c r="BD275">
        <v>2037</v>
      </c>
      <c r="BE275" t="s">
        <v>5671</v>
      </c>
      <c r="BF275" t="str">
        <f>HYPERLINK("http://dx.doi.org/10.3390/rs15082037","http://dx.doi.org/10.3390/rs15082037")</f>
        <v>http://dx.doi.org/10.3390/rs15082037</v>
      </c>
      <c r="BG275" t="s">
        <v>74</v>
      </c>
      <c r="BH275" t="s">
        <v>74</v>
      </c>
      <c r="BI275">
        <v>20</v>
      </c>
      <c r="BJ275" t="s">
        <v>996</v>
      </c>
      <c r="BK275" t="s">
        <v>103</v>
      </c>
      <c r="BL275" t="s">
        <v>997</v>
      </c>
      <c r="BM275" t="s">
        <v>5672</v>
      </c>
      <c r="BN275" t="s">
        <v>74</v>
      </c>
      <c r="BO275" t="s">
        <v>359</v>
      </c>
      <c r="BP275" t="s">
        <v>74</v>
      </c>
      <c r="BQ275" t="s">
        <v>74</v>
      </c>
      <c r="BR275" t="s">
        <v>106</v>
      </c>
      <c r="BS275" t="s">
        <v>5673</v>
      </c>
      <c r="BT275" t="str">
        <f>HYPERLINK("https%3A%2F%2Fwww.webofscience.com%2Fwos%2Fwoscc%2Ffull-record%2FWOS:000977072200001","View Full Record in Web of Science")</f>
        <v>View Full Record in Web of Science</v>
      </c>
    </row>
    <row r="276" spans="1:72" x14ac:dyDescent="0.15">
      <c r="A276" t="s">
        <v>72</v>
      </c>
      <c r="B276" t="s">
        <v>5674</v>
      </c>
      <c r="C276" t="s">
        <v>74</v>
      </c>
      <c r="D276" t="s">
        <v>74</v>
      </c>
      <c r="E276" t="s">
        <v>74</v>
      </c>
      <c r="F276" t="s">
        <v>5675</v>
      </c>
      <c r="G276" t="s">
        <v>74</v>
      </c>
      <c r="H276" t="s">
        <v>74</v>
      </c>
      <c r="I276" t="s">
        <v>5676</v>
      </c>
      <c r="J276" t="s">
        <v>5677</v>
      </c>
      <c r="K276" t="s">
        <v>74</v>
      </c>
      <c r="L276" t="s">
        <v>74</v>
      </c>
      <c r="M276" t="s">
        <v>78</v>
      </c>
      <c r="N276" t="s">
        <v>112</v>
      </c>
      <c r="O276" t="s">
        <v>74</v>
      </c>
      <c r="P276" t="s">
        <v>74</v>
      </c>
      <c r="Q276" t="s">
        <v>74</v>
      </c>
      <c r="R276" t="s">
        <v>74</v>
      </c>
      <c r="S276" t="s">
        <v>74</v>
      </c>
      <c r="T276" t="s">
        <v>5678</v>
      </c>
      <c r="U276" t="s">
        <v>5679</v>
      </c>
      <c r="V276" t="s">
        <v>5680</v>
      </c>
      <c r="W276" t="s">
        <v>5681</v>
      </c>
      <c r="X276" t="s">
        <v>5682</v>
      </c>
      <c r="Y276" t="s">
        <v>5683</v>
      </c>
      <c r="Z276" t="s">
        <v>5684</v>
      </c>
      <c r="AA276" t="s">
        <v>5685</v>
      </c>
      <c r="AB276" t="s">
        <v>5686</v>
      </c>
      <c r="AC276" t="s">
        <v>5687</v>
      </c>
      <c r="AD276" t="s">
        <v>5688</v>
      </c>
      <c r="AE276" t="s">
        <v>5689</v>
      </c>
      <c r="AF276" t="s">
        <v>74</v>
      </c>
      <c r="AG276">
        <v>70</v>
      </c>
      <c r="AH276">
        <v>4</v>
      </c>
      <c r="AI276">
        <v>5</v>
      </c>
      <c r="AJ276">
        <v>6</v>
      </c>
      <c r="AK276">
        <v>18</v>
      </c>
      <c r="AL276" t="s">
        <v>305</v>
      </c>
      <c r="AM276" t="s">
        <v>306</v>
      </c>
      <c r="AN276" t="s">
        <v>307</v>
      </c>
      <c r="AO276" t="s">
        <v>74</v>
      </c>
      <c r="AP276" t="s">
        <v>5690</v>
      </c>
      <c r="AQ276" t="s">
        <v>74</v>
      </c>
      <c r="AR276" t="s">
        <v>5691</v>
      </c>
      <c r="AS276" t="s">
        <v>5692</v>
      </c>
      <c r="AT276" t="s">
        <v>1437</v>
      </c>
      <c r="AU276">
        <v>2023</v>
      </c>
      <c r="AV276">
        <v>10</v>
      </c>
      <c r="AW276">
        <v>4</v>
      </c>
      <c r="AX276" t="s">
        <v>74</v>
      </c>
      <c r="AY276" t="s">
        <v>74</v>
      </c>
      <c r="AZ276" t="s">
        <v>74</v>
      </c>
      <c r="BA276" t="s">
        <v>74</v>
      </c>
      <c r="BB276" t="s">
        <v>74</v>
      </c>
      <c r="BC276" t="s">
        <v>74</v>
      </c>
      <c r="BD276" t="s">
        <v>5693</v>
      </c>
      <c r="BE276" t="s">
        <v>5694</v>
      </c>
      <c r="BF276" t="str">
        <f>HYPERLINK("http://dx.doi.org/10.1029/2022EA002699","http://dx.doi.org/10.1029/2022EA002699")</f>
        <v>http://dx.doi.org/10.1029/2022EA002699</v>
      </c>
      <c r="BG276" t="s">
        <v>74</v>
      </c>
      <c r="BH276" t="s">
        <v>74</v>
      </c>
      <c r="BI276">
        <v>26</v>
      </c>
      <c r="BJ276" t="s">
        <v>5695</v>
      </c>
      <c r="BK276" t="s">
        <v>103</v>
      </c>
      <c r="BL276" t="s">
        <v>5696</v>
      </c>
      <c r="BM276" t="s">
        <v>5697</v>
      </c>
      <c r="BN276" t="s">
        <v>74</v>
      </c>
      <c r="BO276" t="s">
        <v>359</v>
      </c>
      <c r="BP276" t="s">
        <v>74</v>
      </c>
      <c r="BQ276" t="s">
        <v>74</v>
      </c>
      <c r="BR276" t="s">
        <v>106</v>
      </c>
      <c r="BS276" t="s">
        <v>5698</v>
      </c>
      <c r="BT276" t="str">
        <f>HYPERLINK("https%3A%2F%2Fwww.webofscience.com%2Fwos%2Fwoscc%2Ffull-record%2FWOS:000973417300001","View Full Record in Web of Science")</f>
        <v>View Full Record in Web of Science</v>
      </c>
    </row>
    <row r="277" spans="1:72" x14ac:dyDescent="0.15">
      <c r="A277" t="s">
        <v>72</v>
      </c>
      <c r="B277" t="s">
        <v>5699</v>
      </c>
      <c r="C277" t="s">
        <v>74</v>
      </c>
      <c r="D277" t="s">
        <v>74</v>
      </c>
      <c r="E277" t="s">
        <v>74</v>
      </c>
      <c r="F277" t="s">
        <v>5700</v>
      </c>
      <c r="G277" t="s">
        <v>74</v>
      </c>
      <c r="H277" t="s">
        <v>74</v>
      </c>
      <c r="I277" t="s">
        <v>5701</v>
      </c>
      <c r="J277" t="s">
        <v>4757</v>
      </c>
      <c r="K277" t="s">
        <v>74</v>
      </c>
      <c r="L277" t="s">
        <v>74</v>
      </c>
      <c r="M277" t="s">
        <v>78</v>
      </c>
      <c r="N277" t="s">
        <v>112</v>
      </c>
      <c r="O277" t="s">
        <v>74</v>
      </c>
      <c r="P277" t="s">
        <v>74</v>
      </c>
      <c r="Q277" t="s">
        <v>74</v>
      </c>
      <c r="R277" t="s">
        <v>74</v>
      </c>
      <c r="S277" t="s">
        <v>74</v>
      </c>
      <c r="T277" t="s">
        <v>5702</v>
      </c>
      <c r="U277" t="s">
        <v>5703</v>
      </c>
      <c r="V277" t="s">
        <v>5704</v>
      </c>
      <c r="W277" t="s">
        <v>5705</v>
      </c>
      <c r="X277" t="s">
        <v>5706</v>
      </c>
      <c r="Y277" t="s">
        <v>5707</v>
      </c>
      <c r="Z277" t="s">
        <v>5708</v>
      </c>
      <c r="AA277" t="s">
        <v>5709</v>
      </c>
      <c r="AB277" t="s">
        <v>5710</v>
      </c>
      <c r="AC277" t="s">
        <v>5711</v>
      </c>
      <c r="AD277" t="s">
        <v>5712</v>
      </c>
      <c r="AE277" t="s">
        <v>5713</v>
      </c>
      <c r="AF277" t="s">
        <v>74</v>
      </c>
      <c r="AG277">
        <v>45</v>
      </c>
      <c r="AH277">
        <v>1</v>
      </c>
      <c r="AI277">
        <v>1</v>
      </c>
      <c r="AJ277">
        <v>8</v>
      </c>
      <c r="AK277">
        <v>18</v>
      </c>
      <c r="AL277" t="s">
        <v>305</v>
      </c>
      <c r="AM277" t="s">
        <v>306</v>
      </c>
      <c r="AN277" t="s">
        <v>307</v>
      </c>
      <c r="AO277" t="s">
        <v>4769</v>
      </c>
      <c r="AP277" t="s">
        <v>4770</v>
      </c>
      <c r="AQ277" t="s">
        <v>74</v>
      </c>
      <c r="AR277" t="s">
        <v>4771</v>
      </c>
      <c r="AS277" t="s">
        <v>4772</v>
      </c>
      <c r="AT277" t="s">
        <v>1437</v>
      </c>
      <c r="AU277">
        <v>2023</v>
      </c>
      <c r="AV277">
        <v>128</v>
      </c>
      <c r="AW277">
        <v>4</v>
      </c>
      <c r="AX277" t="s">
        <v>74</v>
      </c>
      <c r="AY277" t="s">
        <v>74</v>
      </c>
      <c r="AZ277" t="s">
        <v>74</v>
      </c>
      <c r="BA277" t="s">
        <v>74</v>
      </c>
      <c r="BB277" t="s">
        <v>74</v>
      </c>
      <c r="BC277" t="s">
        <v>74</v>
      </c>
      <c r="BD277" t="s">
        <v>5714</v>
      </c>
      <c r="BE277" t="s">
        <v>5715</v>
      </c>
      <c r="BF277" t="str">
        <f>HYPERLINK("http://dx.doi.org/10.1029/2022JC018984","http://dx.doi.org/10.1029/2022JC018984")</f>
        <v>http://dx.doi.org/10.1029/2022JC018984</v>
      </c>
      <c r="BG277" t="s">
        <v>74</v>
      </c>
      <c r="BH277" t="s">
        <v>74</v>
      </c>
      <c r="BI277">
        <v>14</v>
      </c>
      <c r="BJ277" t="s">
        <v>863</v>
      </c>
      <c r="BK277" t="s">
        <v>103</v>
      </c>
      <c r="BL277" t="s">
        <v>863</v>
      </c>
      <c r="BM277" t="s">
        <v>5716</v>
      </c>
      <c r="BN277" t="s">
        <v>74</v>
      </c>
      <c r="BO277" t="s">
        <v>387</v>
      </c>
      <c r="BP277" t="s">
        <v>74</v>
      </c>
      <c r="BQ277" t="s">
        <v>74</v>
      </c>
      <c r="BR277" t="s">
        <v>106</v>
      </c>
      <c r="BS277" t="s">
        <v>5717</v>
      </c>
      <c r="BT277" t="str">
        <f>HYPERLINK("https%3A%2F%2Fwww.webofscience.com%2Fwos%2Fwoscc%2Ffull-record%2FWOS:000973460900001","View Full Record in Web of Science")</f>
        <v>View Full Record in Web of Science</v>
      </c>
    </row>
    <row r="278" spans="1:72" x14ac:dyDescent="0.15">
      <c r="A278" t="s">
        <v>72</v>
      </c>
      <c r="B278" t="s">
        <v>5718</v>
      </c>
      <c r="C278" t="s">
        <v>74</v>
      </c>
      <c r="D278" t="s">
        <v>74</v>
      </c>
      <c r="E278" t="s">
        <v>74</v>
      </c>
      <c r="F278" t="s">
        <v>5719</v>
      </c>
      <c r="G278" t="s">
        <v>74</v>
      </c>
      <c r="H278" t="s">
        <v>74</v>
      </c>
      <c r="I278" t="s">
        <v>5720</v>
      </c>
      <c r="J278" t="s">
        <v>5721</v>
      </c>
      <c r="K278" t="s">
        <v>74</v>
      </c>
      <c r="L278" t="s">
        <v>74</v>
      </c>
      <c r="M278" t="s">
        <v>78</v>
      </c>
      <c r="N278" t="s">
        <v>112</v>
      </c>
      <c r="O278" t="s">
        <v>74</v>
      </c>
      <c r="P278" t="s">
        <v>74</v>
      </c>
      <c r="Q278" t="s">
        <v>74</v>
      </c>
      <c r="R278" t="s">
        <v>74</v>
      </c>
      <c r="S278" t="s">
        <v>74</v>
      </c>
      <c r="T278" t="s">
        <v>5722</v>
      </c>
      <c r="U278" t="s">
        <v>5723</v>
      </c>
      <c r="V278" t="s">
        <v>5724</v>
      </c>
      <c r="W278" t="s">
        <v>5725</v>
      </c>
      <c r="X278" t="s">
        <v>5726</v>
      </c>
      <c r="Y278" t="s">
        <v>5727</v>
      </c>
      <c r="Z278" t="s">
        <v>5728</v>
      </c>
      <c r="AA278" t="s">
        <v>74</v>
      </c>
      <c r="AB278" t="s">
        <v>74</v>
      </c>
      <c r="AC278" t="s">
        <v>5729</v>
      </c>
      <c r="AD278" t="s">
        <v>5730</v>
      </c>
      <c r="AE278" t="s">
        <v>5731</v>
      </c>
      <c r="AF278" t="s">
        <v>74</v>
      </c>
      <c r="AG278">
        <v>66</v>
      </c>
      <c r="AH278">
        <v>2</v>
      </c>
      <c r="AI278">
        <v>2</v>
      </c>
      <c r="AJ278">
        <v>1</v>
      </c>
      <c r="AK278">
        <v>3</v>
      </c>
      <c r="AL278" t="s">
        <v>91</v>
      </c>
      <c r="AM278" t="s">
        <v>92</v>
      </c>
      <c r="AN278" t="s">
        <v>93</v>
      </c>
      <c r="AO278" t="s">
        <v>5732</v>
      </c>
      <c r="AP278" t="s">
        <v>5733</v>
      </c>
      <c r="AQ278" t="s">
        <v>74</v>
      </c>
      <c r="AR278" t="s">
        <v>5734</v>
      </c>
      <c r="AS278" t="s">
        <v>5735</v>
      </c>
      <c r="AT278" t="s">
        <v>1437</v>
      </c>
      <c r="AU278">
        <v>2023</v>
      </c>
      <c r="AV278">
        <v>62</v>
      </c>
      <c r="AW278">
        <v>4</v>
      </c>
      <c r="AX278" t="s">
        <v>74</v>
      </c>
      <c r="AY278" t="s">
        <v>74</v>
      </c>
      <c r="AZ278" t="s">
        <v>74</v>
      </c>
      <c r="BA278" t="s">
        <v>74</v>
      </c>
      <c r="BB278">
        <v>467</v>
      </c>
      <c r="BC278">
        <v>487</v>
      </c>
      <c r="BD278" t="s">
        <v>74</v>
      </c>
      <c r="BE278" t="s">
        <v>5736</v>
      </c>
      <c r="BF278" t="str">
        <f>HYPERLINK("http://dx.doi.org/10.1175/JAMC-D-22-0097.1","http://dx.doi.org/10.1175/JAMC-D-22-0097.1")</f>
        <v>http://dx.doi.org/10.1175/JAMC-D-22-0097.1</v>
      </c>
      <c r="BG278" t="s">
        <v>74</v>
      </c>
      <c r="BH278" t="s">
        <v>74</v>
      </c>
      <c r="BI278">
        <v>21</v>
      </c>
      <c r="BJ278" t="s">
        <v>102</v>
      </c>
      <c r="BK278" t="s">
        <v>103</v>
      </c>
      <c r="BL278" t="s">
        <v>102</v>
      </c>
      <c r="BM278" t="s">
        <v>5737</v>
      </c>
      <c r="BN278" t="s">
        <v>74</v>
      </c>
      <c r="BO278" t="s">
        <v>334</v>
      </c>
      <c r="BP278" t="s">
        <v>74</v>
      </c>
      <c r="BQ278" t="s">
        <v>74</v>
      </c>
      <c r="BR278" t="s">
        <v>106</v>
      </c>
      <c r="BS278" t="s">
        <v>5738</v>
      </c>
      <c r="BT278" t="str">
        <f>HYPERLINK("https%3A%2F%2Fwww.webofscience.com%2Fwos%2Fwoscc%2Ffull-record%2FWOS:000970363800001","View Full Record in Web of Science")</f>
        <v>View Full Record in Web of Science</v>
      </c>
    </row>
    <row r="279" spans="1:72" x14ac:dyDescent="0.15">
      <c r="A279" t="s">
        <v>72</v>
      </c>
      <c r="B279" t="s">
        <v>5739</v>
      </c>
      <c r="C279" t="s">
        <v>74</v>
      </c>
      <c r="D279" t="s">
        <v>74</v>
      </c>
      <c r="E279" t="s">
        <v>74</v>
      </c>
      <c r="F279" t="s">
        <v>5740</v>
      </c>
      <c r="G279" t="s">
        <v>74</v>
      </c>
      <c r="H279" t="s">
        <v>74</v>
      </c>
      <c r="I279" t="s">
        <v>5741</v>
      </c>
      <c r="J279" t="s">
        <v>5742</v>
      </c>
      <c r="K279" t="s">
        <v>74</v>
      </c>
      <c r="L279" t="s">
        <v>74</v>
      </c>
      <c r="M279" t="s">
        <v>78</v>
      </c>
      <c r="N279" t="s">
        <v>112</v>
      </c>
      <c r="O279" t="s">
        <v>74</v>
      </c>
      <c r="P279" t="s">
        <v>74</v>
      </c>
      <c r="Q279" t="s">
        <v>74</v>
      </c>
      <c r="R279" t="s">
        <v>74</v>
      </c>
      <c r="S279" t="s">
        <v>74</v>
      </c>
      <c r="T279" t="s">
        <v>74</v>
      </c>
      <c r="U279" t="s">
        <v>5743</v>
      </c>
      <c r="V279" t="s">
        <v>5744</v>
      </c>
      <c r="W279" t="s">
        <v>5745</v>
      </c>
      <c r="X279" t="s">
        <v>5746</v>
      </c>
      <c r="Y279" t="s">
        <v>5747</v>
      </c>
      <c r="Z279" t="s">
        <v>5748</v>
      </c>
      <c r="AA279" t="s">
        <v>74</v>
      </c>
      <c r="AB279" t="s">
        <v>5749</v>
      </c>
      <c r="AC279" t="s">
        <v>5750</v>
      </c>
      <c r="AD279" t="s">
        <v>5751</v>
      </c>
      <c r="AE279" t="s">
        <v>5752</v>
      </c>
      <c r="AF279" t="s">
        <v>74</v>
      </c>
      <c r="AG279">
        <v>80</v>
      </c>
      <c r="AH279">
        <v>4</v>
      </c>
      <c r="AI279">
        <v>4</v>
      </c>
      <c r="AJ279">
        <v>3</v>
      </c>
      <c r="AK279">
        <v>5</v>
      </c>
      <c r="AL279" t="s">
        <v>152</v>
      </c>
      <c r="AM279" t="s">
        <v>153</v>
      </c>
      <c r="AN279" t="s">
        <v>154</v>
      </c>
      <c r="AO279" t="s">
        <v>5753</v>
      </c>
      <c r="AP279" t="s">
        <v>5754</v>
      </c>
      <c r="AQ279" t="s">
        <v>74</v>
      </c>
      <c r="AR279" t="s">
        <v>5755</v>
      </c>
      <c r="AS279" t="s">
        <v>5756</v>
      </c>
      <c r="AT279" t="s">
        <v>4546</v>
      </c>
      <c r="AU279">
        <v>2023</v>
      </c>
      <c r="AV279">
        <v>947</v>
      </c>
      <c r="AW279">
        <v>2</v>
      </c>
      <c r="AX279" t="s">
        <v>74</v>
      </c>
      <c r="AY279" t="s">
        <v>74</v>
      </c>
      <c r="AZ279" t="s">
        <v>74</v>
      </c>
      <c r="BA279" t="s">
        <v>74</v>
      </c>
      <c r="BB279" t="s">
        <v>74</v>
      </c>
      <c r="BC279" t="s">
        <v>74</v>
      </c>
      <c r="BD279">
        <v>58</v>
      </c>
      <c r="BE279" t="s">
        <v>5757</v>
      </c>
      <c r="BF279" t="str">
        <f>HYPERLINK("http://dx.doi.org/10.3847/1538-4357/acb699","http://dx.doi.org/10.3847/1538-4357/acb699")</f>
        <v>http://dx.doi.org/10.3847/1538-4357/acb699</v>
      </c>
      <c r="BG279" t="s">
        <v>74</v>
      </c>
      <c r="BH279" t="s">
        <v>74</v>
      </c>
      <c r="BI279">
        <v>26</v>
      </c>
      <c r="BJ279" t="s">
        <v>159</v>
      </c>
      <c r="BK279" t="s">
        <v>103</v>
      </c>
      <c r="BL279" t="s">
        <v>159</v>
      </c>
      <c r="BM279" t="s">
        <v>5758</v>
      </c>
      <c r="BN279" t="s">
        <v>74</v>
      </c>
      <c r="BO279" t="s">
        <v>3241</v>
      </c>
      <c r="BP279" t="s">
        <v>74</v>
      </c>
      <c r="BQ279" t="s">
        <v>74</v>
      </c>
      <c r="BR279" t="s">
        <v>106</v>
      </c>
      <c r="BS279" t="s">
        <v>5759</v>
      </c>
      <c r="BT279" t="str">
        <f>HYPERLINK("https%3A%2F%2Fwww.webofscience.com%2Fwos%2Fwoscc%2Ffull-record%2FWOS:000972748300001","View Full Record in Web of Science")</f>
        <v>View Full Record in Web of Science</v>
      </c>
    </row>
    <row r="280" spans="1:72" x14ac:dyDescent="0.15">
      <c r="A280" t="s">
        <v>72</v>
      </c>
      <c r="B280" t="s">
        <v>5760</v>
      </c>
      <c r="C280" t="s">
        <v>74</v>
      </c>
      <c r="D280" t="s">
        <v>74</v>
      </c>
      <c r="E280" t="s">
        <v>74</v>
      </c>
      <c r="F280" t="s">
        <v>5761</v>
      </c>
      <c r="G280" t="s">
        <v>74</v>
      </c>
      <c r="H280" t="s">
        <v>74</v>
      </c>
      <c r="I280" t="s">
        <v>5762</v>
      </c>
      <c r="J280" t="s">
        <v>1193</v>
      </c>
      <c r="K280" t="s">
        <v>74</v>
      </c>
      <c r="L280" t="s">
        <v>74</v>
      </c>
      <c r="M280" t="s">
        <v>78</v>
      </c>
      <c r="N280" t="s">
        <v>112</v>
      </c>
      <c r="O280" t="s">
        <v>74</v>
      </c>
      <c r="P280" t="s">
        <v>74</v>
      </c>
      <c r="Q280" t="s">
        <v>74</v>
      </c>
      <c r="R280" t="s">
        <v>74</v>
      </c>
      <c r="S280" t="s">
        <v>74</v>
      </c>
      <c r="T280" t="s">
        <v>5763</v>
      </c>
      <c r="U280" t="s">
        <v>5764</v>
      </c>
      <c r="V280" t="s">
        <v>5765</v>
      </c>
      <c r="W280" t="s">
        <v>5766</v>
      </c>
      <c r="X280" t="s">
        <v>5767</v>
      </c>
      <c r="Y280" t="s">
        <v>5768</v>
      </c>
      <c r="Z280" t="s">
        <v>5769</v>
      </c>
      <c r="AA280" t="s">
        <v>5770</v>
      </c>
      <c r="AB280" t="s">
        <v>5771</v>
      </c>
      <c r="AC280" t="s">
        <v>5772</v>
      </c>
      <c r="AD280" t="s">
        <v>5773</v>
      </c>
      <c r="AE280" t="s">
        <v>5774</v>
      </c>
      <c r="AF280" t="s">
        <v>74</v>
      </c>
      <c r="AG280">
        <v>60</v>
      </c>
      <c r="AH280">
        <v>3</v>
      </c>
      <c r="AI280">
        <v>3</v>
      </c>
      <c r="AJ280">
        <v>10</v>
      </c>
      <c r="AK280">
        <v>13</v>
      </c>
      <c r="AL280" t="s">
        <v>447</v>
      </c>
      <c r="AM280" t="s">
        <v>448</v>
      </c>
      <c r="AN280" t="s">
        <v>449</v>
      </c>
      <c r="AO280" t="s">
        <v>1204</v>
      </c>
      <c r="AP280" t="s">
        <v>1205</v>
      </c>
      <c r="AQ280" t="s">
        <v>74</v>
      </c>
      <c r="AR280" t="s">
        <v>1206</v>
      </c>
      <c r="AS280" t="s">
        <v>1207</v>
      </c>
      <c r="AT280" t="s">
        <v>2534</v>
      </c>
      <c r="AU280">
        <v>2023</v>
      </c>
      <c r="AV280">
        <v>879</v>
      </c>
      <c r="AW280" t="s">
        <v>74</v>
      </c>
      <c r="AX280" t="s">
        <v>74</v>
      </c>
      <c r="AY280" t="s">
        <v>74</v>
      </c>
      <c r="AZ280" t="s">
        <v>74</v>
      </c>
      <c r="BA280" t="s">
        <v>74</v>
      </c>
      <c r="BB280" t="s">
        <v>74</v>
      </c>
      <c r="BC280" t="s">
        <v>74</v>
      </c>
      <c r="BD280">
        <v>163070</v>
      </c>
      <c r="BE280" t="s">
        <v>5775</v>
      </c>
      <c r="BF280" t="str">
        <f>HYPERLINK("http://dx.doi.org/10.1016/j.scitotenv.2023.163070","http://dx.doi.org/10.1016/j.scitotenv.2023.163070")</f>
        <v>http://dx.doi.org/10.1016/j.scitotenv.2023.163070</v>
      </c>
      <c r="BG280" t="s">
        <v>74</v>
      </c>
      <c r="BH280" t="s">
        <v>427</v>
      </c>
      <c r="BI280">
        <v>8</v>
      </c>
      <c r="BJ280" t="s">
        <v>1163</v>
      </c>
      <c r="BK280" t="s">
        <v>103</v>
      </c>
      <c r="BL280" t="s">
        <v>1164</v>
      </c>
      <c r="BM280" t="s">
        <v>5776</v>
      </c>
      <c r="BN280">
        <v>36990237</v>
      </c>
      <c r="BO280" t="s">
        <v>387</v>
      </c>
      <c r="BP280" t="s">
        <v>74</v>
      </c>
      <c r="BQ280" t="s">
        <v>74</v>
      </c>
      <c r="BR280" t="s">
        <v>106</v>
      </c>
      <c r="BS280" t="s">
        <v>5777</v>
      </c>
      <c r="BT280" t="str">
        <f>HYPERLINK("https%3A%2F%2Fwww.webofscience.com%2Fwos%2Fwoscc%2Ffull-record%2FWOS:000973848100001","View Full Record in Web of Science")</f>
        <v>View Full Record in Web of Science</v>
      </c>
    </row>
    <row r="281" spans="1:72" x14ac:dyDescent="0.15">
      <c r="A281" t="s">
        <v>72</v>
      </c>
      <c r="B281" t="s">
        <v>5778</v>
      </c>
      <c r="C281" t="s">
        <v>74</v>
      </c>
      <c r="D281" t="s">
        <v>74</v>
      </c>
      <c r="E281" t="s">
        <v>74</v>
      </c>
      <c r="F281" t="s">
        <v>5779</v>
      </c>
      <c r="G281" t="s">
        <v>74</v>
      </c>
      <c r="H281" t="s">
        <v>74</v>
      </c>
      <c r="I281" t="s">
        <v>5780</v>
      </c>
      <c r="J281" t="s">
        <v>981</v>
      </c>
      <c r="K281" t="s">
        <v>74</v>
      </c>
      <c r="L281" t="s">
        <v>74</v>
      </c>
      <c r="M281" t="s">
        <v>78</v>
      </c>
      <c r="N281" t="s">
        <v>112</v>
      </c>
      <c r="O281" t="s">
        <v>74</v>
      </c>
      <c r="P281" t="s">
        <v>74</v>
      </c>
      <c r="Q281" t="s">
        <v>74</v>
      </c>
      <c r="R281" t="s">
        <v>74</v>
      </c>
      <c r="S281" t="s">
        <v>74</v>
      </c>
      <c r="T281" t="s">
        <v>5781</v>
      </c>
      <c r="U281" t="s">
        <v>5782</v>
      </c>
      <c r="V281" t="s">
        <v>5783</v>
      </c>
      <c r="W281" t="s">
        <v>5784</v>
      </c>
      <c r="X281" t="s">
        <v>5785</v>
      </c>
      <c r="Y281" t="s">
        <v>5786</v>
      </c>
      <c r="Z281" t="s">
        <v>5787</v>
      </c>
      <c r="AA281" t="s">
        <v>74</v>
      </c>
      <c r="AB281" t="s">
        <v>5788</v>
      </c>
      <c r="AC281" t="s">
        <v>5789</v>
      </c>
      <c r="AD281" t="s">
        <v>5790</v>
      </c>
      <c r="AE281" t="s">
        <v>5791</v>
      </c>
      <c r="AF281" t="s">
        <v>74</v>
      </c>
      <c r="AG281">
        <v>31</v>
      </c>
      <c r="AH281">
        <v>1</v>
      </c>
      <c r="AI281">
        <v>1</v>
      </c>
      <c r="AJ281">
        <v>2</v>
      </c>
      <c r="AK281">
        <v>14</v>
      </c>
      <c r="AL281" t="s">
        <v>125</v>
      </c>
      <c r="AM281" t="s">
        <v>126</v>
      </c>
      <c r="AN281" t="s">
        <v>127</v>
      </c>
      <c r="AO281" t="s">
        <v>74</v>
      </c>
      <c r="AP281" t="s">
        <v>992</v>
      </c>
      <c r="AQ281" t="s">
        <v>74</v>
      </c>
      <c r="AR281" t="s">
        <v>993</v>
      </c>
      <c r="AS281" t="s">
        <v>994</v>
      </c>
      <c r="AT281" t="s">
        <v>1437</v>
      </c>
      <c r="AU281">
        <v>2023</v>
      </c>
      <c r="AV281">
        <v>15</v>
      </c>
      <c r="AW281">
        <v>7</v>
      </c>
      <c r="AX281" t="s">
        <v>74</v>
      </c>
      <c r="AY281" t="s">
        <v>74</v>
      </c>
      <c r="AZ281" t="s">
        <v>74</v>
      </c>
      <c r="BA281" t="s">
        <v>74</v>
      </c>
      <c r="BB281" t="s">
        <v>74</v>
      </c>
      <c r="BC281" t="s">
        <v>74</v>
      </c>
      <c r="BD281">
        <v>1779</v>
      </c>
      <c r="BE281" t="s">
        <v>5792</v>
      </c>
      <c r="BF281" t="str">
        <f>HYPERLINK("http://dx.doi.org/10.3390/rs15071779","http://dx.doi.org/10.3390/rs15071779")</f>
        <v>http://dx.doi.org/10.3390/rs15071779</v>
      </c>
      <c r="BG281" t="s">
        <v>74</v>
      </c>
      <c r="BH281" t="s">
        <v>74</v>
      </c>
      <c r="BI281">
        <v>14</v>
      </c>
      <c r="BJ281" t="s">
        <v>996</v>
      </c>
      <c r="BK281" t="s">
        <v>103</v>
      </c>
      <c r="BL281" t="s">
        <v>997</v>
      </c>
      <c r="BM281" t="s">
        <v>5793</v>
      </c>
      <c r="BN281" t="s">
        <v>74</v>
      </c>
      <c r="BO281" t="s">
        <v>359</v>
      </c>
      <c r="BP281" t="s">
        <v>74</v>
      </c>
      <c r="BQ281" t="s">
        <v>74</v>
      </c>
      <c r="BR281" t="s">
        <v>106</v>
      </c>
      <c r="BS281" t="s">
        <v>5794</v>
      </c>
      <c r="BT281" t="str">
        <f>HYPERLINK("https%3A%2F%2Fwww.webofscience.com%2Fwos%2Fwoscc%2Ffull-record%2FWOS:000969046000001","View Full Record in Web of Science")</f>
        <v>View Full Record in Web of Science</v>
      </c>
    </row>
    <row r="282" spans="1:72" x14ac:dyDescent="0.15">
      <c r="A282" t="s">
        <v>72</v>
      </c>
      <c r="B282" t="s">
        <v>5795</v>
      </c>
      <c r="C282" t="s">
        <v>74</v>
      </c>
      <c r="D282" t="s">
        <v>74</v>
      </c>
      <c r="E282" t="s">
        <v>74</v>
      </c>
      <c r="F282" t="s">
        <v>5796</v>
      </c>
      <c r="G282" t="s">
        <v>74</v>
      </c>
      <c r="H282" t="s">
        <v>74</v>
      </c>
      <c r="I282" t="s">
        <v>5797</v>
      </c>
      <c r="J282" t="s">
        <v>981</v>
      </c>
      <c r="K282" t="s">
        <v>74</v>
      </c>
      <c r="L282" t="s">
        <v>74</v>
      </c>
      <c r="M282" t="s">
        <v>78</v>
      </c>
      <c r="N282" t="s">
        <v>112</v>
      </c>
      <c r="O282" t="s">
        <v>74</v>
      </c>
      <c r="P282" t="s">
        <v>74</v>
      </c>
      <c r="Q282" t="s">
        <v>74</v>
      </c>
      <c r="R282" t="s">
        <v>74</v>
      </c>
      <c r="S282" t="s">
        <v>74</v>
      </c>
      <c r="T282" t="s">
        <v>5798</v>
      </c>
      <c r="U282" t="s">
        <v>5799</v>
      </c>
      <c r="V282" t="s">
        <v>5800</v>
      </c>
      <c r="W282" t="s">
        <v>5801</v>
      </c>
      <c r="X282" t="s">
        <v>5802</v>
      </c>
      <c r="Y282" t="s">
        <v>5803</v>
      </c>
      <c r="Z282" t="s">
        <v>5804</v>
      </c>
      <c r="AA282" t="s">
        <v>5805</v>
      </c>
      <c r="AB282" t="s">
        <v>5806</v>
      </c>
      <c r="AC282" t="s">
        <v>5807</v>
      </c>
      <c r="AD282" t="s">
        <v>5808</v>
      </c>
      <c r="AE282" t="s">
        <v>5809</v>
      </c>
      <c r="AF282" t="s">
        <v>74</v>
      </c>
      <c r="AG282">
        <v>59</v>
      </c>
      <c r="AH282">
        <v>0</v>
      </c>
      <c r="AI282">
        <v>0</v>
      </c>
      <c r="AJ282">
        <v>9</v>
      </c>
      <c r="AK282">
        <v>15</v>
      </c>
      <c r="AL282" t="s">
        <v>125</v>
      </c>
      <c r="AM282" t="s">
        <v>126</v>
      </c>
      <c r="AN282" t="s">
        <v>127</v>
      </c>
      <c r="AO282" t="s">
        <v>74</v>
      </c>
      <c r="AP282" t="s">
        <v>992</v>
      </c>
      <c r="AQ282" t="s">
        <v>74</v>
      </c>
      <c r="AR282" t="s">
        <v>993</v>
      </c>
      <c r="AS282" t="s">
        <v>994</v>
      </c>
      <c r="AT282" t="s">
        <v>1437</v>
      </c>
      <c r="AU282">
        <v>2023</v>
      </c>
      <c r="AV282">
        <v>15</v>
      </c>
      <c r="AW282">
        <v>7</v>
      </c>
      <c r="AX282" t="s">
        <v>74</v>
      </c>
      <c r="AY282" t="s">
        <v>74</v>
      </c>
      <c r="AZ282" t="s">
        <v>74</v>
      </c>
      <c r="BA282" t="s">
        <v>74</v>
      </c>
      <c r="BB282" t="s">
        <v>74</v>
      </c>
      <c r="BC282" t="s">
        <v>74</v>
      </c>
      <c r="BD282">
        <v>1887</v>
      </c>
      <c r="BE282" t="s">
        <v>5810</v>
      </c>
      <c r="BF282" t="str">
        <f>HYPERLINK("http://dx.doi.org/10.3390/rs15071887","http://dx.doi.org/10.3390/rs15071887")</f>
        <v>http://dx.doi.org/10.3390/rs15071887</v>
      </c>
      <c r="BG282" t="s">
        <v>74</v>
      </c>
      <c r="BH282" t="s">
        <v>74</v>
      </c>
      <c r="BI282">
        <v>16</v>
      </c>
      <c r="BJ282" t="s">
        <v>996</v>
      </c>
      <c r="BK282" t="s">
        <v>103</v>
      </c>
      <c r="BL282" t="s">
        <v>997</v>
      </c>
      <c r="BM282" t="s">
        <v>5811</v>
      </c>
      <c r="BN282" t="s">
        <v>74</v>
      </c>
      <c r="BO282" t="s">
        <v>359</v>
      </c>
      <c r="BP282" t="s">
        <v>74</v>
      </c>
      <c r="BQ282" t="s">
        <v>74</v>
      </c>
      <c r="BR282" t="s">
        <v>106</v>
      </c>
      <c r="BS282" t="s">
        <v>5812</v>
      </c>
      <c r="BT282" t="str">
        <f>HYPERLINK("https%3A%2F%2Fwww.webofscience.com%2Fwos%2Fwoscc%2Ffull-record%2FWOS:000968804300001","View Full Record in Web of Science")</f>
        <v>View Full Record in Web of Science</v>
      </c>
    </row>
    <row r="283" spans="1:72" x14ac:dyDescent="0.15">
      <c r="A283" t="s">
        <v>72</v>
      </c>
      <c r="B283" t="s">
        <v>5813</v>
      </c>
      <c r="C283" t="s">
        <v>74</v>
      </c>
      <c r="D283" t="s">
        <v>74</v>
      </c>
      <c r="E283" t="s">
        <v>74</v>
      </c>
      <c r="F283" t="s">
        <v>5814</v>
      </c>
      <c r="G283" t="s">
        <v>74</v>
      </c>
      <c r="H283" t="s">
        <v>74</v>
      </c>
      <c r="I283" t="s">
        <v>5815</v>
      </c>
      <c r="J283" t="s">
        <v>5816</v>
      </c>
      <c r="K283" t="s">
        <v>74</v>
      </c>
      <c r="L283" t="s">
        <v>74</v>
      </c>
      <c r="M283" t="s">
        <v>78</v>
      </c>
      <c r="N283" t="s">
        <v>112</v>
      </c>
      <c r="O283" t="s">
        <v>74</v>
      </c>
      <c r="P283" t="s">
        <v>74</v>
      </c>
      <c r="Q283" t="s">
        <v>74</v>
      </c>
      <c r="R283" t="s">
        <v>74</v>
      </c>
      <c r="S283" t="s">
        <v>74</v>
      </c>
      <c r="T283" t="s">
        <v>74</v>
      </c>
      <c r="U283" t="s">
        <v>5817</v>
      </c>
      <c r="V283" t="s">
        <v>5818</v>
      </c>
      <c r="W283" t="s">
        <v>5819</v>
      </c>
      <c r="X283" t="s">
        <v>5820</v>
      </c>
      <c r="Y283" t="s">
        <v>5821</v>
      </c>
      <c r="Z283" t="s">
        <v>5822</v>
      </c>
      <c r="AA283" t="s">
        <v>5823</v>
      </c>
      <c r="AB283" t="s">
        <v>5824</v>
      </c>
      <c r="AC283" t="s">
        <v>5825</v>
      </c>
      <c r="AD283" t="s">
        <v>5826</v>
      </c>
      <c r="AE283" t="s">
        <v>5827</v>
      </c>
      <c r="AF283" t="s">
        <v>74</v>
      </c>
      <c r="AG283">
        <v>80</v>
      </c>
      <c r="AH283">
        <v>9</v>
      </c>
      <c r="AI283">
        <v>9</v>
      </c>
      <c r="AJ283">
        <v>0</v>
      </c>
      <c r="AK283">
        <v>6</v>
      </c>
      <c r="AL283" t="s">
        <v>152</v>
      </c>
      <c r="AM283" t="s">
        <v>153</v>
      </c>
      <c r="AN283" t="s">
        <v>154</v>
      </c>
      <c r="AO283" t="s">
        <v>5828</v>
      </c>
      <c r="AP283" t="s">
        <v>5829</v>
      </c>
      <c r="AQ283" t="s">
        <v>74</v>
      </c>
      <c r="AR283" t="s">
        <v>5830</v>
      </c>
      <c r="AS283" t="s">
        <v>5831</v>
      </c>
      <c r="AT283" t="s">
        <v>4546</v>
      </c>
      <c r="AU283">
        <v>2023</v>
      </c>
      <c r="AV283">
        <v>946</v>
      </c>
      <c r="AW283">
        <v>2</v>
      </c>
      <c r="AX283" t="s">
        <v>74</v>
      </c>
      <c r="AY283" t="s">
        <v>74</v>
      </c>
      <c r="AZ283" t="s">
        <v>74</v>
      </c>
      <c r="BA283" t="s">
        <v>74</v>
      </c>
      <c r="BB283" t="s">
        <v>74</v>
      </c>
      <c r="BC283" t="s">
        <v>74</v>
      </c>
      <c r="BD283" t="s">
        <v>5832</v>
      </c>
      <c r="BE283" t="s">
        <v>5833</v>
      </c>
      <c r="BF283" t="str">
        <f>HYPERLINK("http://dx.doi.org/10.3847/2041-8213/acc102","http://dx.doi.org/10.3847/2041-8213/acc102")</f>
        <v>http://dx.doi.org/10.3847/2041-8213/acc102</v>
      </c>
      <c r="BG283" t="s">
        <v>74</v>
      </c>
      <c r="BH283" t="s">
        <v>74</v>
      </c>
      <c r="BI283">
        <v>10</v>
      </c>
      <c r="BJ283" t="s">
        <v>159</v>
      </c>
      <c r="BK283" t="s">
        <v>103</v>
      </c>
      <c r="BL283" t="s">
        <v>159</v>
      </c>
      <c r="BM283" t="s">
        <v>5834</v>
      </c>
      <c r="BN283" t="s">
        <v>74</v>
      </c>
      <c r="BO283" t="s">
        <v>3241</v>
      </c>
      <c r="BP283" t="s">
        <v>74</v>
      </c>
      <c r="BQ283" t="s">
        <v>74</v>
      </c>
      <c r="BR283" t="s">
        <v>106</v>
      </c>
      <c r="BS283" t="s">
        <v>5835</v>
      </c>
      <c r="BT283" t="str">
        <f>HYPERLINK("https%3A%2F%2Fwww.webofscience.com%2Fwos%2Fwoscc%2Ffull-record%2FWOS:000962594300001","View Full Record in Web of Science")</f>
        <v>View Full Record in Web of Science</v>
      </c>
    </row>
    <row r="284" spans="1:72" x14ac:dyDescent="0.15">
      <c r="A284" t="s">
        <v>72</v>
      </c>
      <c r="B284" t="s">
        <v>5836</v>
      </c>
      <c r="C284" t="s">
        <v>74</v>
      </c>
      <c r="D284" t="s">
        <v>74</v>
      </c>
      <c r="E284" t="s">
        <v>74</v>
      </c>
      <c r="F284" t="s">
        <v>5837</v>
      </c>
      <c r="G284" t="s">
        <v>74</v>
      </c>
      <c r="H284" t="s">
        <v>74</v>
      </c>
      <c r="I284" t="s">
        <v>5838</v>
      </c>
      <c r="J284" t="s">
        <v>5839</v>
      </c>
      <c r="K284" t="s">
        <v>74</v>
      </c>
      <c r="L284" t="s">
        <v>74</v>
      </c>
      <c r="M284" t="s">
        <v>78</v>
      </c>
      <c r="N284" t="s">
        <v>112</v>
      </c>
      <c r="O284" t="s">
        <v>74</v>
      </c>
      <c r="P284" t="s">
        <v>74</v>
      </c>
      <c r="Q284" t="s">
        <v>74</v>
      </c>
      <c r="R284" t="s">
        <v>74</v>
      </c>
      <c r="S284" t="s">
        <v>74</v>
      </c>
      <c r="T284" t="s">
        <v>5840</v>
      </c>
      <c r="U284" t="s">
        <v>5841</v>
      </c>
      <c r="V284" t="s">
        <v>5842</v>
      </c>
      <c r="W284" t="s">
        <v>5843</v>
      </c>
      <c r="X284" t="s">
        <v>5844</v>
      </c>
      <c r="Y284" t="s">
        <v>5845</v>
      </c>
      <c r="Z284" t="s">
        <v>5846</v>
      </c>
      <c r="AA284" t="s">
        <v>74</v>
      </c>
      <c r="AB284" t="s">
        <v>74</v>
      </c>
      <c r="AC284" t="s">
        <v>5847</v>
      </c>
      <c r="AD284" t="s">
        <v>5848</v>
      </c>
      <c r="AE284" t="s">
        <v>5849</v>
      </c>
      <c r="AF284" t="s">
        <v>74</v>
      </c>
      <c r="AG284">
        <v>56</v>
      </c>
      <c r="AH284">
        <v>3</v>
      </c>
      <c r="AI284">
        <v>3</v>
      </c>
      <c r="AJ284">
        <v>1</v>
      </c>
      <c r="AK284">
        <v>3</v>
      </c>
      <c r="AL284" t="s">
        <v>377</v>
      </c>
      <c r="AM284" t="s">
        <v>378</v>
      </c>
      <c r="AN284" t="s">
        <v>379</v>
      </c>
      <c r="AO284" t="s">
        <v>5850</v>
      </c>
      <c r="AP284" t="s">
        <v>5851</v>
      </c>
      <c r="AQ284" t="s">
        <v>74</v>
      </c>
      <c r="AR284" t="s">
        <v>5852</v>
      </c>
      <c r="AS284" t="s">
        <v>5853</v>
      </c>
      <c r="AT284" t="s">
        <v>1437</v>
      </c>
      <c r="AU284">
        <v>2023</v>
      </c>
      <c r="AV284">
        <v>27</v>
      </c>
      <c r="AW284">
        <v>2</v>
      </c>
      <c r="AX284" t="s">
        <v>74</v>
      </c>
      <c r="AY284" t="s">
        <v>74</v>
      </c>
      <c r="AZ284" t="s">
        <v>74</v>
      </c>
      <c r="BA284" t="s">
        <v>74</v>
      </c>
      <c r="BB284" t="s">
        <v>74</v>
      </c>
      <c r="BC284" t="s">
        <v>74</v>
      </c>
      <c r="BD284">
        <v>93</v>
      </c>
      <c r="BE284" t="s">
        <v>5854</v>
      </c>
      <c r="BF284" t="str">
        <f>HYPERLINK("http://dx.doi.org/10.1007/s10291-023-01436-2","http://dx.doi.org/10.1007/s10291-023-01436-2")</f>
        <v>http://dx.doi.org/10.1007/s10291-023-01436-2</v>
      </c>
      <c r="BG284" t="s">
        <v>74</v>
      </c>
      <c r="BH284" t="s">
        <v>74</v>
      </c>
      <c r="BI284">
        <v>13</v>
      </c>
      <c r="BJ284" t="s">
        <v>5464</v>
      </c>
      <c r="BK284" t="s">
        <v>103</v>
      </c>
      <c r="BL284" t="s">
        <v>5464</v>
      </c>
      <c r="BM284" t="s">
        <v>5855</v>
      </c>
      <c r="BN284" t="s">
        <v>74</v>
      </c>
      <c r="BO284" t="s">
        <v>74</v>
      </c>
      <c r="BP284" t="s">
        <v>74</v>
      </c>
      <c r="BQ284" t="s">
        <v>74</v>
      </c>
      <c r="BR284" t="s">
        <v>106</v>
      </c>
      <c r="BS284" t="s">
        <v>5856</v>
      </c>
      <c r="BT284" t="str">
        <f>HYPERLINK("https%3A%2F%2Fwww.webofscience.com%2Fwos%2Fwoscc%2Ffull-record%2FWOS:000961954000001","View Full Record in Web of Science")</f>
        <v>View Full Record in Web of Science</v>
      </c>
    </row>
    <row r="285" spans="1:72" x14ac:dyDescent="0.15">
      <c r="A285" t="s">
        <v>72</v>
      </c>
      <c r="B285" t="s">
        <v>5857</v>
      </c>
      <c r="C285" t="s">
        <v>74</v>
      </c>
      <c r="D285" t="s">
        <v>74</v>
      </c>
      <c r="E285" t="s">
        <v>74</v>
      </c>
      <c r="F285" t="s">
        <v>5858</v>
      </c>
      <c r="G285" t="s">
        <v>74</v>
      </c>
      <c r="H285" t="s">
        <v>74</v>
      </c>
      <c r="I285" t="s">
        <v>5859</v>
      </c>
      <c r="J285" t="s">
        <v>5860</v>
      </c>
      <c r="K285" t="s">
        <v>74</v>
      </c>
      <c r="L285" t="s">
        <v>74</v>
      </c>
      <c r="M285" t="s">
        <v>78</v>
      </c>
      <c r="N285" t="s">
        <v>5861</v>
      </c>
      <c r="O285" t="s">
        <v>74</v>
      </c>
      <c r="P285" t="s">
        <v>74</v>
      </c>
      <c r="Q285" t="s">
        <v>74</v>
      </c>
      <c r="R285" t="s">
        <v>74</v>
      </c>
      <c r="S285" t="s">
        <v>74</v>
      </c>
      <c r="T285" t="s">
        <v>74</v>
      </c>
      <c r="U285" t="s">
        <v>74</v>
      </c>
      <c r="V285" t="s">
        <v>74</v>
      </c>
      <c r="W285" t="s">
        <v>5862</v>
      </c>
      <c r="X285" t="s">
        <v>5863</v>
      </c>
      <c r="Y285" t="s">
        <v>5864</v>
      </c>
      <c r="Z285" t="s">
        <v>5865</v>
      </c>
      <c r="AA285" t="s">
        <v>74</v>
      </c>
      <c r="AB285" t="s">
        <v>74</v>
      </c>
      <c r="AC285" t="s">
        <v>74</v>
      </c>
      <c r="AD285" t="s">
        <v>74</v>
      </c>
      <c r="AE285" t="s">
        <v>74</v>
      </c>
      <c r="AF285" t="s">
        <v>74</v>
      </c>
      <c r="AG285">
        <v>3</v>
      </c>
      <c r="AH285">
        <v>0</v>
      </c>
      <c r="AI285">
        <v>0</v>
      </c>
      <c r="AJ285">
        <v>1</v>
      </c>
      <c r="AK285">
        <v>1</v>
      </c>
      <c r="AL285" t="s">
        <v>5866</v>
      </c>
      <c r="AM285" t="s">
        <v>419</v>
      </c>
      <c r="AN285" t="s">
        <v>5867</v>
      </c>
      <c r="AO285" t="s">
        <v>5868</v>
      </c>
      <c r="AP285" t="s">
        <v>5869</v>
      </c>
      <c r="AQ285" t="s">
        <v>74</v>
      </c>
      <c r="AR285" t="s">
        <v>5870</v>
      </c>
      <c r="AS285" t="s">
        <v>5871</v>
      </c>
      <c r="AT285" t="s">
        <v>5872</v>
      </c>
      <c r="AU285">
        <v>2023</v>
      </c>
      <c r="AV285">
        <v>59</v>
      </c>
      <c r="AW285">
        <v>6</v>
      </c>
      <c r="AX285" t="s">
        <v>74</v>
      </c>
      <c r="AY285" t="s">
        <v>74</v>
      </c>
      <c r="AZ285" t="s">
        <v>185</v>
      </c>
      <c r="BA285" t="s">
        <v>74</v>
      </c>
      <c r="BB285">
        <v>850</v>
      </c>
      <c r="BC285">
        <v>851</v>
      </c>
      <c r="BD285" t="s">
        <v>74</v>
      </c>
      <c r="BE285" t="s">
        <v>5873</v>
      </c>
      <c r="BF285" t="str">
        <f>HYPERLINK("http://dx.doi.org/10.1080/17449855.2023.2175950","http://dx.doi.org/10.1080/17449855.2023.2175950")</f>
        <v>http://dx.doi.org/10.1080/17449855.2023.2175950</v>
      </c>
      <c r="BG285" t="s">
        <v>74</v>
      </c>
      <c r="BH285" t="s">
        <v>427</v>
      </c>
      <c r="BI285">
        <v>2</v>
      </c>
      <c r="BJ285" t="s">
        <v>5874</v>
      </c>
      <c r="BK285" t="s">
        <v>5875</v>
      </c>
      <c r="BL285" t="s">
        <v>5874</v>
      </c>
      <c r="BM285" t="s">
        <v>5876</v>
      </c>
      <c r="BN285" t="s">
        <v>74</v>
      </c>
      <c r="BO285" t="s">
        <v>74</v>
      </c>
      <c r="BP285" t="s">
        <v>74</v>
      </c>
      <c r="BQ285" t="s">
        <v>74</v>
      </c>
      <c r="BR285" t="s">
        <v>106</v>
      </c>
      <c r="BS285" t="s">
        <v>5877</v>
      </c>
      <c r="BT285" t="str">
        <f>HYPERLINK("https%3A%2F%2Fwww.webofscience.com%2Fwos%2Fwoscc%2Ffull-record%2FWOS:000961929000001","View Full Record in Web of Science")</f>
        <v>View Full Record in Web of Science</v>
      </c>
    </row>
    <row r="286" spans="1:72" x14ac:dyDescent="0.15">
      <c r="A286" t="s">
        <v>72</v>
      </c>
      <c r="B286" t="s">
        <v>5878</v>
      </c>
      <c r="C286" t="s">
        <v>74</v>
      </c>
      <c r="D286" t="s">
        <v>74</v>
      </c>
      <c r="E286" t="s">
        <v>74</v>
      </c>
      <c r="F286" t="s">
        <v>5879</v>
      </c>
      <c r="G286" t="s">
        <v>74</v>
      </c>
      <c r="H286" t="s">
        <v>74</v>
      </c>
      <c r="I286" t="s">
        <v>5880</v>
      </c>
      <c r="J286" t="s">
        <v>759</v>
      </c>
      <c r="K286" t="s">
        <v>74</v>
      </c>
      <c r="L286" t="s">
        <v>74</v>
      </c>
      <c r="M286" t="s">
        <v>78</v>
      </c>
      <c r="N286" t="s">
        <v>112</v>
      </c>
      <c r="O286" t="s">
        <v>74</v>
      </c>
      <c r="P286" t="s">
        <v>74</v>
      </c>
      <c r="Q286" t="s">
        <v>74</v>
      </c>
      <c r="R286" t="s">
        <v>74</v>
      </c>
      <c r="S286" t="s">
        <v>74</v>
      </c>
      <c r="T286" t="s">
        <v>5881</v>
      </c>
      <c r="U286" t="s">
        <v>5882</v>
      </c>
      <c r="V286" t="s">
        <v>5883</v>
      </c>
      <c r="W286" t="s">
        <v>5884</v>
      </c>
      <c r="X286" t="s">
        <v>5885</v>
      </c>
      <c r="Y286" t="s">
        <v>5886</v>
      </c>
      <c r="Z286" t="s">
        <v>5887</v>
      </c>
      <c r="AA286" t="s">
        <v>74</v>
      </c>
      <c r="AB286" t="s">
        <v>74</v>
      </c>
      <c r="AC286" t="s">
        <v>5888</v>
      </c>
      <c r="AD286" t="s">
        <v>5889</v>
      </c>
      <c r="AE286" t="s">
        <v>5890</v>
      </c>
      <c r="AF286" t="s">
        <v>74</v>
      </c>
      <c r="AG286">
        <v>103</v>
      </c>
      <c r="AH286">
        <v>2</v>
      </c>
      <c r="AI286">
        <v>2</v>
      </c>
      <c r="AJ286">
        <v>0</v>
      </c>
      <c r="AK286">
        <v>2</v>
      </c>
      <c r="AL286" t="s">
        <v>768</v>
      </c>
      <c r="AM286" t="s">
        <v>179</v>
      </c>
      <c r="AN286" t="s">
        <v>769</v>
      </c>
      <c r="AO286" t="s">
        <v>770</v>
      </c>
      <c r="AP286" t="s">
        <v>771</v>
      </c>
      <c r="AQ286" t="s">
        <v>74</v>
      </c>
      <c r="AR286" t="s">
        <v>772</v>
      </c>
      <c r="AS286" t="s">
        <v>773</v>
      </c>
      <c r="AT286" t="s">
        <v>1437</v>
      </c>
      <c r="AU286">
        <v>2023</v>
      </c>
      <c r="AV286">
        <v>46</v>
      </c>
      <c r="AW286">
        <v>4</v>
      </c>
      <c r="AX286" t="s">
        <v>74</v>
      </c>
      <c r="AY286" t="s">
        <v>74</v>
      </c>
      <c r="AZ286" t="s">
        <v>74</v>
      </c>
      <c r="BA286" t="s">
        <v>74</v>
      </c>
      <c r="BB286">
        <v>303</v>
      </c>
      <c r="BC286">
        <v>318</v>
      </c>
      <c r="BD286" t="s">
        <v>74</v>
      </c>
      <c r="BE286" t="s">
        <v>5891</v>
      </c>
      <c r="BF286" t="str">
        <f>HYPERLINK("http://dx.doi.org/10.1007/s00300-023-03122-y","http://dx.doi.org/10.1007/s00300-023-03122-y")</f>
        <v>http://dx.doi.org/10.1007/s00300-023-03122-y</v>
      </c>
      <c r="BG286" t="s">
        <v>74</v>
      </c>
      <c r="BH286" t="s">
        <v>427</v>
      </c>
      <c r="BI286">
        <v>16</v>
      </c>
      <c r="BJ286" t="s">
        <v>775</v>
      </c>
      <c r="BK286" t="s">
        <v>103</v>
      </c>
      <c r="BL286" t="s">
        <v>776</v>
      </c>
      <c r="BM286" t="s">
        <v>3721</v>
      </c>
      <c r="BN286" t="s">
        <v>74</v>
      </c>
      <c r="BO286" t="s">
        <v>1389</v>
      </c>
      <c r="BP286" t="s">
        <v>74</v>
      </c>
      <c r="BQ286" t="s">
        <v>74</v>
      </c>
      <c r="BR286" t="s">
        <v>106</v>
      </c>
      <c r="BS286" t="s">
        <v>5892</v>
      </c>
      <c r="BT286" t="str">
        <f>HYPERLINK("https%3A%2F%2Fwww.webofscience.com%2Fwos%2Fwoscc%2Ffull-record%2FWOS:000961679600001","View Full Record in Web of Science")</f>
        <v>View Full Record in Web of Science</v>
      </c>
    </row>
    <row r="287" spans="1:72" x14ac:dyDescent="0.15">
      <c r="A287" t="s">
        <v>72</v>
      </c>
      <c r="B287" t="s">
        <v>5893</v>
      </c>
      <c r="C287" t="s">
        <v>74</v>
      </c>
      <c r="D287" t="s">
        <v>74</v>
      </c>
      <c r="E287" t="s">
        <v>74</v>
      </c>
      <c r="F287" t="s">
        <v>5894</v>
      </c>
      <c r="G287" t="s">
        <v>74</v>
      </c>
      <c r="H287" t="s">
        <v>74</v>
      </c>
      <c r="I287" t="s">
        <v>5895</v>
      </c>
      <c r="J287" t="s">
        <v>5896</v>
      </c>
      <c r="K287" t="s">
        <v>74</v>
      </c>
      <c r="L287" t="s">
        <v>74</v>
      </c>
      <c r="M287" t="s">
        <v>78</v>
      </c>
      <c r="N287" t="s">
        <v>79</v>
      </c>
      <c r="O287" t="s">
        <v>74</v>
      </c>
      <c r="P287" t="s">
        <v>74</v>
      </c>
      <c r="Q287" t="s">
        <v>74</v>
      </c>
      <c r="R287" t="s">
        <v>74</v>
      </c>
      <c r="S287" t="s">
        <v>74</v>
      </c>
      <c r="T287" t="s">
        <v>74</v>
      </c>
      <c r="U287" t="s">
        <v>74</v>
      </c>
      <c r="V287" t="s">
        <v>5897</v>
      </c>
      <c r="W287" t="s">
        <v>74</v>
      </c>
      <c r="X287" t="s">
        <v>74</v>
      </c>
      <c r="Y287" t="s">
        <v>74</v>
      </c>
      <c r="Z287" t="s">
        <v>74</v>
      </c>
      <c r="AA287" t="s">
        <v>74</v>
      </c>
      <c r="AB287" t="s">
        <v>74</v>
      </c>
      <c r="AC287" t="s">
        <v>74</v>
      </c>
      <c r="AD287" t="s">
        <v>74</v>
      </c>
      <c r="AE287" t="s">
        <v>74</v>
      </c>
      <c r="AF287" t="s">
        <v>74</v>
      </c>
      <c r="AG287">
        <v>8</v>
      </c>
      <c r="AH287">
        <v>0</v>
      </c>
      <c r="AI287">
        <v>0</v>
      </c>
      <c r="AJ287">
        <v>0</v>
      </c>
      <c r="AK287">
        <v>2</v>
      </c>
      <c r="AL287" t="s">
        <v>5898</v>
      </c>
      <c r="AM287" t="s">
        <v>5348</v>
      </c>
      <c r="AN287" t="s">
        <v>5899</v>
      </c>
      <c r="AO287" t="s">
        <v>5900</v>
      </c>
      <c r="AP287" t="s">
        <v>5901</v>
      </c>
      <c r="AQ287" t="s">
        <v>74</v>
      </c>
      <c r="AR287" t="s">
        <v>5902</v>
      </c>
      <c r="AS287" t="s">
        <v>5903</v>
      </c>
      <c r="AT287" t="s">
        <v>4546</v>
      </c>
      <c r="AU287">
        <v>2023</v>
      </c>
      <c r="AV287">
        <v>76</v>
      </c>
      <c r="AW287">
        <v>4</v>
      </c>
      <c r="AX287" t="s">
        <v>74</v>
      </c>
      <c r="AY287" t="s">
        <v>74</v>
      </c>
      <c r="AZ287" t="s">
        <v>74</v>
      </c>
      <c r="BA287" t="s">
        <v>74</v>
      </c>
      <c r="BB287">
        <v>16</v>
      </c>
      <c r="BC287">
        <v>17</v>
      </c>
      <c r="BD287" t="s">
        <v>74</v>
      </c>
      <c r="BE287" t="s">
        <v>5904</v>
      </c>
      <c r="BF287" t="str">
        <f>HYPERLINK("http://dx.doi.org/10.1063/PT.3.5213","http://dx.doi.org/10.1063/PT.3.5213")</f>
        <v>http://dx.doi.org/10.1063/PT.3.5213</v>
      </c>
      <c r="BG287" t="s">
        <v>74</v>
      </c>
      <c r="BH287" t="s">
        <v>74</v>
      </c>
      <c r="BI287">
        <v>2</v>
      </c>
      <c r="BJ287" t="s">
        <v>5905</v>
      </c>
      <c r="BK287" t="s">
        <v>103</v>
      </c>
      <c r="BL287" t="s">
        <v>5906</v>
      </c>
      <c r="BM287" t="s">
        <v>5907</v>
      </c>
      <c r="BN287" t="s">
        <v>74</v>
      </c>
      <c r="BO287" t="s">
        <v>387</v>
      </c>
      <c r="BP287" t="s">
        <v>74</v>
      </c>
      <c r="BQ287" t="s">
        <v>74</v>
      </c>
      <c r="BR287" t="s">
        <v>106</v>
      </c>
      <c r="BS287" t="s">
        <v>5908</v>
      </c>
      <c r="BT287" t="str">
        <f>HYPERLINK("https%3A%2F%2Fwww.webofscience.com%2Fwos%2Fwoscc%2Ffull-record%2FWOS:000962001900001","View Full Record in Web of Science")</f>
        <v>View Full Record in Web of Science</v>
      </c>
    </row>
    <row r="288" spans="1:72" x14ac:dyDescent="0.15">
      <c r="A288" t="s">
        <v>72</v>
      </c>
      <c r="B288" t="s">
        <v>5909</v>
      </c>
      <c r="C288" t="s">
        <v>74</v>
      </c>
      <c r="D288" t="s">
        <v>74</v>
      </c>
      <c r="E288" t="s">
        <v>74</v>
      </c>
      <c r="F288" t="s">
        <v>5910</v>
      </c>
      <c r="G288" t="s">
        <v>74</v>
      </c>
      <c r="H288" t="s">
        <v>74</v>
      </c>
      <c r="I288" t="s">
        <v>5911</v>
      </c>
      <c r="J288" t="s">
        <v>5912</v>
      </c>
      <c r="K288" t="s">
        <v>74</v>
      </c>
      <c r="L288" t="s">
        <v>74</v>
      </c>
      <c r="M288" t="s">
        <v>78</v>
      </c>
      <c r="N288" t="s">
        <v>112</v>
      </c>
      <c r="O288" t="s">
        <v>74</v>
      </c>
      <c r="P288" t="s">
        <v>74</v>
      </c>
      <c r="Q288" t="s">
        <v>74</v>
      </c>
      <c r="R288" t="s">
        <v>74</v>
      </c>
      <c r="S288" t="s">
        <v>74</v>
      </c>
      <c r="T288" t="s">
        <v>5913</v>
      </c>
      <c r="U288" t="s">
        <v>5914</v>
      </c>
      <c r="V288" t="s">
        <v>5915</v>
      </c>
      <c r="W288" t="s">
        <v>5916</v>
      </c>
      <c r="X288" t="s">
        <v>4852</v>
      </c>
      <c r="Y288" t="s">
        <v>5917</v>
      </c>
      <c r="Z288" t="s">
        <v>4854</v>
      </c>
      <c r="AA288" t="s">
        <v>5918</v>
      </c>
      <c r="AB288" t="s">
        <v>5919</v>
      </c>
      <c r="AC288" t="s">
        <v>5920</v>
      </c>
      <c r="AD288" t="s">
        <v>5808</v>
      </c>
      <c r="AE288" t="s">
        <v>5921</v>
      </c>
      <c r="AF288" t="s">
        <v>74</v>
      </c>
      <c r="AG288">
        <v>29</v>
      </c>
      <c r="AH288">
        <v>3</v>
      </c>
      <c r="AI288">
        <v>3</v>
      </c>
      <c r="AJ288">
        <v>8</v>
      </c>
      <c r="AK288">
        <v>14</v>
      </c>
      <c r="AL288" t="s">
        <v>768</v>
      </c>
      <c r="AM288" t="s">
        <v>179</v>
      </c>
      <c r="AN288" t="s">
        <v>769</v>
      </c>
      <c r="AO288" t="s">
        <v>5922</v>
      </c>
      <c r="AP288" t="s">
        <v>5923</v>
      </c>
      <c r="AQ288" t="s">
        <v>74</v>
      </c>
      <c r="AR288" t="s">
        <v>5924</v>
      </c>
      <c r="AS288" t="s">
        <v>5925</v>
      </c>
      <c r="AT288" t="s">
        <v>1437</v>
      </c>
      <c r="AU288">
        <v>2023</v>
      </c>
      <c r="AV288">
        <v>97</v>
      </c>
      <c r="AW288">
        <v>4</v>
      </c>
      <c r="AX288" t="s">
        <v>74</v>
      </c>
      <c r="AY288" t="s">
        <v>74</v>
      </c>
      <c r="AZ288" t="s">
        <v>74</v>
      </c>
      <c r="BA288" t="s">
        <v>74</v>
      </c>
      <c r="BB288" t="s">
        <v>74</v>
      </c>
      <c r="BC288" t="s">
        <v>74</v>
      </c>
      <c r="BD288">
        <v>30</v>
      </c>
      <c r="BE288" t="s">
        <v>5926</v>
      </c>
      <c r="BF288" t="str">
        <f>HYPERLINK("http://dx.doi.org/10.1007/s00190-023-01710-8","http://dx.doi.org/10.1007/s00190-023-01710-8")</f>
        <v>http://dx.doi.org/10.1007/s00190-023-01710-8</v>
      </c>
      <c r="BG288" t="s">
        <v>74</v>
      </c>
      <c r="BH288" t="s">
        <v>74</v>
      </c>
      <c r="BI288">
        <v>12</v>
      </c>
      <c r="BJ288" t="s">
        <v>5927</v>
      </c>
      <c r="BK288" t="s">
        <v>103</v>
      </c>
      <c r="BL288" t="s">
        <v>5927</v>
      </c>
      <c r="BM288" t="s">
        <v>5928</v>
      </c>
      <c r="BN288" t="s">
        <v>74</v>
      </c>
      <c r="BO288" t="s">
        <v>387</v>
      </c>
      <c r="BP288" t="s">
        <v>74</v>
      </c>
      <c r="BQ288" t="s">
        <v>74</v>
      </c>
      <c r="BR288" t="s">
        <v>106</v>
      </c>
      <c r="BS288" t="s">
        <v>5929</v>
      </c>
      <c r="BT288" t="str">
        <f>HYPERLINK("https%3A%2F%2Fwww.webofscience.com%2Fwos%2Fwoscc%2Ffull-record%2FWOS:000957605600002","View Full Record in Web of Science")</f>
        <v>View Full Record in Web of Science</v>
      </c>
    </row>
    <row r="289" spans="1:72" x14ac:dyDescent="0.15">
      <c r="A289" t="s">
        <v>72</v>
      </c>
      <c r="B289" t="s">
        <v>5930</v>
      </c>
      <c r="C289" t="s">
        <v>74</v>
      </c>
      <c r="D289" t="s">
        <v>74</v>
      </c>
      <c r="E289" t="s">
        <v>74</v>
      </c>
      <c r="F289" t="s">
        <v>5931</v>
      </c>
      <c r="G289" t="s">
        <v>74</v>
      </c>
      <c r="H289" t="s">
        <v>74</v>
      </c>
      <c r="I289" t="s">
        <v>5932</v>
      </c>
      <c r="J289" t="s">
        <v>268</v>
      </c>
      <c r="K289" t="s">
        <v>74</v>
      </c>
      <c r="L289" t="s">
        <v>74</v>
      </c>
      <c r="M289" t="s">
        <v>78</v>
      </c>
      <c r="N289" t="s">
        <v>112</v>
      </c>
      <c r="O289" t="s">
        <v>74</v>
      </c>
      <c r="P289" t="s">
        <v>74</v>
      </c>
      <c r="Q289" t="s">
        <v>74</v>
      </c>
      <c r="R289" t="s">
        <v>74</v>
      </c>
      <c r="S289" t="s">
        <v>74</v>
      </c>
      <c r="T289" t="s">
        <v>5933</v>
      </c>
      <c r="U289" t="s">
        <v>5934</v>
      </c>
      <c r="V289" t="s">
        <v>5935</v>
      </c>
      <c r="W289" t="s">
        <v>5936</v>
      </c>
      <c r="X289" t="s">
        <v>5002</v>
      </c>
      <c r="Y289" t="s">
        <v>5937</v>
      </c>
      <c r="Z289" t="s">
        <v>5938</v>
      </c>
      <c r="AA289" t="s">
        <v>5939</v>
      </c>
      <c r="AB289" t="s">
        <v>5940</v>
      </c>
      <c r="AC289" t="s">
        <v>5941</v>
      </c>
      <c r="AD289" t="s">
        <v>5942</v>
      </c>
      <c r="AE289" t="s">
        <v>5943</v>
      </c>
      <c r="AF289" t="s">
        <v>74</v>
      </c>
      <c r="AG289">
        <v>65</v>
      </c>
      <c r="AH289">
        <v>10</v>
      </c>
      <c r="AI289">
        <v>10</v>
      </c>
      <c r="AJ289">
        <v>5</v>
      </c>
      <c r="AK289">
        <v>12</v>
      </c>
      <c r="AL289" t="s">
        <v>91</v>
      </c>
      <c r="AM289" t="s">
        <v>92</v>
      </c>
      <c r="AN289" t="s">
        <v>93</v>
      </c>
      <c r="AO289" t="s">
        <v>281</v>
      </c>
      <c r="AP289" t="s">
        <v>282</v>
      </c>
      <c r="AQ289" t="s">
        <v>74</v>
      </c>
      <c r="AR289" t="s">
        <v>283</v>
      </c>
      <c r="AS289" t="s">
        <v>284</v>
      </c>
      <c r="AT289" t="s">
        <v>1437</v>
      </c>
      <c r="AU289">
        <v>2023</v>
      </c>
      <c r="AV289">
        <v>36</v>
      </c>
      <c r="AW289">
        <v>8</v>
      </c>
      <c r="AX289" t="s">
        <v>74</v>
      </c>
      <c r="AY289" t="s">
        <v>74</v>
      </c>
      <c r="AZ289" t="s">
        <v>74</v>
      </c>
      <c r="BA289" t="s">
        <v>74</v>
      </c>
      <c r="BB289">
        <v>2703</v>
      </c>
      <c r="BC289">
        <v>2719</v>
      </c>
      <c r="BD289" t="s">
        <v>74</v>
      </c>
      <c r="BE289" t="s">
        <v>5944</v>
      </c>
      <c r="BF289" t="str">
        <f>HYPERLINK("http://dx.doi.org/10.1175/JCLI-D-22-0457.1","http://dx.doi.org/10.1175/JCLI-D-22-0457.1")</f>
        <v>http://dx.doi.org/10.1175/JCLI-D-22-0457.1</v>
      </c>
      <c r="BG289" t="s">
        <v>74</v>
      </c>
      <c r="BH289" t="s">
        <v>74</v>
      </c>
      <c r="BI289">
        <v>17</v>
      </c>
      <c r="BJ289" t="s">
        <v>102</v>
      </c>
      <c r="BK289" t="s">
        <v>103</v>
      </c>
      <c r="BL289" t="s">
        <v>102</v>
      </c>
      <c r="BM289" t="s">
        <v>5945</v>
      </c>
      <c r="BN289" t="s">
        <v>74</v>
      </c>
      <c r="BO289" t="s">
        <v>74</v>
      </c>
      <c r="BP289" t="s">
        <v>74</v>
      </c>
      <c r="BQ289" t="s">
        <v>74</v>
      </c>
      <c r="BR289" t="s">
        <v>106</v>
      </c>
      <c r="BS289" t="s">
        <v>5946</v>
      </c>
      <c r="BT289" t="str">
        <f>HYPERLINK("https%3A%2F%2Fwww.webofscience.com%2Fwos%2Fwoscc%2Ffull-record%2FWOS:000954583900001","View Full Record in Web of Science")</f>
        <v>View Full Record in Web of Science</v>
      </c>
    </row>
    <row r="290" spans="1:72" x14ac:dyDescent="0.15">
      <c r="A290" t="s">
        <v>72</v>
      </c>
      <c r="B290" t="s">
        <v>5947</v>
      </c>
      <c r="C290" t="s">
        <v>74</v>
      </c>
      <c r="D290" t="s">
        <v>74</v>
      </c>
      <c r="E290" t="s">
        <v>74</v>
      </c>
      <c r="F290" t="s">
        <v>5948</v>
      </c>
      <c r="G290" t="s">
        <v>74</v>
      </c>
      <c r="H290" t="s">
        <v>74</v>
      </c>
      <c r="I290" t="s">
        <v>5949</v>
      </c>
      <c r="J290" t="s">
        <v>5950</v>
      </c>
      <c r="K290" t="s">
        <v>74</v>
      </c>
      <c r="L290" t="s">
        <v>74</v>
      </c>
      <c r="M290" t="s">
        <v>78</v>
      </c>
      <c r="N290" t="s">
        <v>112</v>
      </c>
      <c r="O290" t="s">
        <v>74</v>
      </c>
      <c r="P290" t="s">
        <v>74</v>
      </c>
      <c r="Q290" t="s">
        <v>74</v>
      </c>
      <c r="R290" t="s">
        <v>74</v>
      </c>
      <c r="S290" t="s">
        <v>74</v>
      </c>
      <c r="T290" t="s">
        <v>5951</v>
      </c>
      <c r="U290" t="s">
        <v>5952</v>
      </c>
      <c r="V290" t="s">
        <v>5953</v>
      </c>
      <c r="W290" t="s">
        <v>5954</v>
      </c>
      <c r="X290" t="s">
        <v>5955</v>
      </c>
      <c r="Y290" t="s">
        <v>5956</v>
      </c>
      <c r="Z290" t="s">
        <v>5957</v>
      </c>
      <c r="AA290" t="s">
        <v>5958</v>
      </c>
      <c r="AB290" t="s">
        <v>5959</v>
      </c>
      <c r="AC290" t="s">
        <v>5960</v>
      </c>
      <c r="AD290" t="s">
        <v>5961</v>
      </c>
      <c r="AE290" t="s">
        <v>5962</v>
      </c>
      <c r="AF290" t="s">
        <v>74</v>
      </c>
      <c r="AG290">
        <v>44</v>
      </c>
      <c r="AH290">
        <v>1</v>
      </c>
      <c r="AI290">
        <v>1</v>
      </c>
      <c r="AJ290">
        <v>0</v>
      </c>
      <c r="AK290">
        <v>3</v>
      </c>
      <c r="AL290" t="s">
        <v>5963</v>
      </c>
      <c r="AM290" t="s">
        <v>5964</v>
      </c>
      <c r="AN290" t="s">
        <v>5965</v>
      </c>
      <c r="AO290" t="s">
        <v>5966</v>
      </c>
      <c r="AP290" t="s">
        <v>5967</v>
      </c>
      <c r="AQ290" t="s">
        <v>74</v>
      </c>
      <c r="AR290" t="s">
        <v>5968</v>
      </c>
      <c r="AS290" t="s">
        <v>5969</v>
      </c>
      <c r="AT290" t="s">
        <v>1437</v>
      </c>
      <c r="AU290">
        <v>2023</v>
      </c>
      <c r="AV290">
        <v>22</v>
      </c>
      <c r="AW290">
        <v>2</v>
      </c>
      <c r="AX290" t="s">
        <v>74</v>
      </c>
      <c r="AY290" t="s">
        <v>74</v>
      </c>
      <c r="AZ290" t="s">
        <v>74</v>
      </c>
      <c r="BA290" t="s">
        <v>74</v>
      </c>
      <c r="BB290">
        <v>555</v>
      </c>
      <c r="BC290">
        <v>564</v>
      </c>
      <c r="BD290" t="s">
        <v>74</v>
      </c>
      <c r="BE290" t="s">
        <v>5970</v>
      </c>
      <c r="BF290" t="str">
        <f>HYPERLINK("http://dx.doi.org/10.1007/s11802-023-5301-6","http://dx.doi.org/10.1007/s11802-023-5301-6")</f>
        <v>http://dx.doi.org/10.1007/s11802-023-5301-6</v>
      </c>
      <c r="BG290" t="s">
        <v>74</v>
      </c>
      <c r="BH290" t="s">
        <v>74</v>
      </c>
      <c r="BI290">
        <v>10</v>
      </c>
      <c r="BJ290" t="s">
        <v>863</v>
      </c>
      <c r="BK290" t="s">
        <v>103</v>
      </c>
      <c r="BL290" t="s">
        <v>863</v>
      </c>
      <c r="BM290" t="s">
        <v>5971</v>
      </c>
      <c r="BN290" t="s">
        <v>74</v>
      </c>
      <c r="BO290" t="s">
        <v>74</v>
      </c>
      <c r="BP290" t="s">
        <v>74</v>
      </c>
      <c r="BQ290" t="s">
        <v>74</v>
      </c>
      <c r="BR290" t="s">
        <v>106</v>
      </c>
      <c r="BS290" t="s">
        <v>5972</v>
      </c>
      <c r="BT290" t="str">
        <f>HYPERLINK("https%3A%2F%2Fwww.webofscience.com%2Fwos%2Fwoscc%2Ffull-record%2FWOS:000948393000024","View Full Record in Web of Science")</f>
        <v>View Full Record in Web of Science</v>
      </c>
    </row>
    <row r="291" spans="1:72" x14ac:dyDescent="0.15">
      <c r="A291" t="s">
        <v>72</v>
      </c>
      <c r="B291" t="s">
        <v>5973</v>
      </c>
      <c r="C291" t="s">
        <v>74</v>
      </c>
      <c r="D291" t="s">
        <v>74</v>
      </c>
      <c r="E291" t="s">
        <v>74</v>
      </c>
      <c r="F291" t="s">
        <v>5974</v>
      </c>
      <c r="G291" t="s">
        <v>74</v>
      </c>
      <c r="H291" t="s">
        <v>74</v>
      </c>
      <c r="I291" t="s">
        <v>5975</v>
      </c>
      <c r="J291" t="s">
        <v>268</v>
      </c>
      <c r="K291" t="s">
        <v>74</v>
      </c>
      <c r="L291" t="s">
        <v>74</v>
      </c>
      <c r="M291" t="s">
        <v>78</v>
      </c>
      <c r="N291" t="s">
        <v>112</v>
      </c>
      <c r="O291" t="s">
        <v>74</v>
      </c>
      <c r="P291" t="s">
        <v>74</v>
      </c>
      <c r="Q291" t="s">
        <v>74</v>
      </c>
      <c r="R291" t="s">
        <v>74</v>
      </c>
      <c r="S291" t="s">
        <v>74</v>
      </c>
      <c r="T291" t="s">
        <v>5976</v>
      </c>
      <c r="U291" t="s">
        <v>5977</v>
      </c>
      <c r="V291" t="s">
        <v>5978</v>
      </c>
      <c r="W291" t="s">
        <v>5979</v>
      </c>
      <c r="X291" t="s">
        <v>5980</v>
      </c>
      <c r="Y291" t="s">
        <v>5981</v>
      </c>
      <c r="Z291" t="s">
        <v>5982</v>
      </c>
      <c r="AA291" t="s">
        <v>5983</v>
      </c>
      <c r="AB291" t="s">
        <v>5984</v>
      </c>
      <c r="AC291" t="s">
        <v>5985</v>
      </c>
      <c r="AD291" t="s">
        <v>5986</v>
      </c>
      <c r="AE291" t="s">
        <v>5987</v>
      </c>
      <c r="AF291" t="s">
        <v>74</v>
      </c>
      <c r="AG291">
        <v>72</v>
      </c>
      <c r="AH291">
        <v>5</v>
      </c>
      <c r="AI291">
        <v>5</v>
      </c>
      <c r="AJ291">
        <v>5</v>
      </c>
      <c r="AK291">
        <v>9</v>
      </c>
      <c r="AL291" t="s">
        <v>91</v>
      </c>
      <c r="AM291" t="s">
        <v>92</v>
      </c>
      <c r="AN291" t="s">
        <v>93</v>
      </c>
      <c r="AO291" t="s">
        <v>281</v>
      </c>
      <c r="AP291" t="s">
        <v>282</v>
      </c>
      <c r="AQ291" t="s">
        <v>74</v>
      </c>
      <c r="AR291" t="s">
        <v>283</v>
      </c>
      <c r="AS291" t="s">
        <v>284</v>
      </c>
      <c r="AT291" t="s">
        <v>1437</v>
      </c>
      <c r="AU291">
        <v>2023</v>
      </c>
      <c r="AV291">
        <v>36</v>
      </c>
      <c r="AW291">
        <v>8</v>
      </c>
      <c r="AX291" t="s">
        <v>74</v>
      </c>
      <c r="AY291" t="s">
        <v>74</v>
      </c>
      <c r="AZ291" t="s">
        <v>74</v>
      </c>
      <c r="BA291" t="s">
        <v>74</v>
      </c>
      <c r="BB291">
        <v>2603</v>
      </c>
      <c r="BC291">
        <v>2623</v>
      </c>
      <c r="BD291" t="s">
        <v>74</v>
      </c>
      <c r="BE291" t="s">
        <v>5988</v>
      </c>
      <c r="BF291" t="str">
        <f>HYPERLINK("http://dx.doi.org/10.1175/JCLI-D-22-0675.1","http://dx.doi.org/10.1175/JCLI-D-22-0675.1")</f>
        <v>http://dx.doi.org/10.1175/JCLI-D-22-0675.1</v>
      </c>
      <c r="BG291" t="s">
        <v>74</v>
      </c>
      <c r="BH291" t="s">
        <v>74</v>
      </c>
      <c r="BI291">
        <v>21</v>
      </c>
      <c r="BJ291" t="s">
        <v>102</v>
      </c>
      <c r="BK291" t="s">
        <v>103</v>
      </c>
      <c r="BL291" t="s">
        <v>102</v>
      </c>
      <c r="BM291" t="s">
        <v>5989</v>
      </c>
      <c r="BN291" t="s">
        <v>74</v>
      </c>
      <c r="BO291" t="s">
        <v>74</v>
      </c>
      <c r="BP291" t="s">
        <v>74</v>
      </c>
      <c r="BQ291" t="s">
        <v>74</v>
      </c>
      <c r="BR291" t="s">
        <v>106</v>
      </c>
      <c r="BS291" t="s">
        <v>5990</v>
      </c>
      <c r="BT291" t="str">
        <f>HYPERLINK("https%3A%2F%2Fwww.webofscience.com%2Fwos%2Fwoscc%2Ffull-record%2FWOS:000954278000001","View Full Record in Web of Science")</f>
        <v>View Full Record in Web of Science</v>
      </c>
    </row>
    <row r="292" spans="1:72" x14ac:dyDescent="0.15">
      <c r="A292" t="s">
        <v>72</v>
      </c>
      <c r="B292" t="s">
        <v>5991</v>
      </c>
      <c r="C292" t="s">
        <v>74</v>
      </c>
      <c r="D292" t="s">
        <v>74</v>
      </c>
      <c r="E292" t="s">
        <v>74</v>
      </c>
      <c r="F292" t="s">
        <v>5992</v>
      </c>
      <c r="G292" t="s">
        <v>74</v>
      </c>
      <c r="H292" t="s">
        <v>74</v>
      </c>
      <c r="I292" t="s">
        <v>5993</v>
      </c>
      <c r="J292" t="s">
        <v>364</v>
      </c>
      <c r="K292" t="s">
        <v>74</v>
      </c>
      <c r="L292" t="s">
        <v>74</v>
      </c>
      <c r="M292" t="s">
        <v>78</v>
      </c>
      <c r="N292" t="s">
        <v>112</v>
      </c>
      <c r="O292" t="s">
        <v>74</v>
      </c>
      <c r="P292" t="s">
        <v>74</v>
      </c>
      <c r="Q292" t="s">
        <v>74</v>
      </c>
      <c r="R292" t="s">
        <v>74</v>
      </c>
      <c r="S292" t="s">
        <v>74</v>
      </c>
      <c r="T292" t="s">
        <v>5994</v>
      </c>
      <c r="U292" t="s">
        <v>5995</v>
      </c>
      <c r="V292" t="s">
        <v>5996</v>
      </c>
      <c r="W292" t="s">
        <v>5997</v>
      </c>
      <c r="X292" t="s">
        <v>5998</v>
      </c>
      <c r="Y292" t="s">
        <v>5999</v>
      </c>
      <c r="Z292" t="s">
        <v>6000</v>
      </c>
      <c r="AA292" t="s">
        <v>74</v>
      </c>
      <c r="AB292" t="s">
        <v>6001</v>
      </c>
      <c r="AC292" t="s">
        <v>6002</v>
      </c>
      <c r="AD292" t="s">
        <v>6003</v>
      </c>
      <c r="AE292" t="s">
        <v>6004</v>
      </c>
      <c r="AF292" t="s">
        <v>74</v>
      </c>
      <c r="AG292">
        <v>79</v>
      </c>
      <c r="AH292">
        <v>0</v>
      </c>
      <c r="AI292">
        <v>0</v>
      </c>
      <c r="AJ292">
        <v>1</v>
      </c>
      <c r="AK292">
        <v>1</v>
      </c>
      <c r="AL292" t="s">
        <v>377</v>
      </c>
      <c r="AM292" t="s">
        <v>378</v>
      </c>
      <c r="AN292" t="s">
        <v>379</v>
      </c>
      <c r="AO292" t="s">
        <v>380</v>
      </c>
      <c r="AP292" t="s">
        <v>381</v>
      </c>
      <c r="AQ292" t="s">
        <v>74</v>
      </c>
      <c r="AR292" t="s">
        <v>382</v>
      </c>
      <c r="AS292" t="s">
        <v>383</v>
      </c>
      <c r="AT292" t="s">
        <v>1437</v>
      </c>
      <c r="AU292">
        <v>2023</v>
      </c>
      <c r="AV292">
        <v>170</v>
      </c>
      <c r="AW292">
        <v>4</v>
      </c>
      <c r="AX292" t="s">
        <v>74</v>
      </c>
      <c r="AY292" t="s">
        <v>74</v>
      </c>
      <c r="AZ292" t="s">
        <v>74</v>
      </c>
      <c r="BA292" t="s">
        <v>74</v>
      </c>
      <c r="BB292" t="s">
        <v>74</v>
      </c>
      <c r="BC292" t="s">
        <v>74</v>
      </c>
      <c r="BD292">
        <v>43</v>
      </c>
      <c r="BE292" t="s">
        <v>6005</v>
      </c>
      <c r="BF292" t="str">
        <f>HYPERLINK("http://dx.doi.org/10.1007/s00227-023-04181-9","http://dx.doi.org/10.1007/s00227-023-04181-9")</f>
        <v>http://dx.doi.org/10.1007/s00227-023-04181-9</v>
      </c>
      <c r="BG292" t="s">
        <v>74</v>
      </c>
      <c r="BH292" t="s">
        <v>74</v>
      </c>
      <c r="BI292">
        <v>16</v>
      </c>
      <c r="BJ292" t="s">
        <v>385</v>
      </c>
      <c r="BK292" t="s">
        <v>103</v>
      </c>
      <c r="BL292" t="s">
        <v>385</v>
      </c>
      <c r="BM292" t="s">
        <v>6006</v>
      </c>
      <c r="BN292" t="s">
        <v>74</v>
      </c>
      <c r="BO292" t="s">
        <v>74</v>
      </c>
      <c r="BP292" t="s">
        <v>74</v>
      </c>
      <c r="BQ292" t="s">
        <v>74</v>
      </c>
      <c r="BR292" t="s">
        <v>106</v>
      </c>
      <c r="BS292" t="s">
        <v>6007</v>
      </c>
      <c r="BT292" t="str">
        <f>HYPERLINK("https%3A%2F%2Fwww.webofscience.com%2Fwos%2Fwoscc%2Ffull-record%2FWOS:000952042300001","View Full Record in Web of Science")</f>
        <v>View Full Record in Web of Science</v>
      </c>
    </row>
    <row r="293" spans="1:72" x14ac:dyDescent="0.15">
      <c r="A293" t="s">
        <v>72</v>
      </c>
      <c r="B293" t="s">
        <v>6008</v>
      </c>
      <c r="C293" t="s">
        <v>74</v>
      </c>
      <c r="D293" t="s">
        <v>74</v>
      </c>
      <c r="E293" t="s">
        <v>74</v>
      </c>
      <c r="F293" t="s">
        <v>6009</v>
      </c>
      <c r="G293" t="s">
        <v>74</v>
      </c>
      <c r="H293" t="s">
        <v>74</v>
      </c>
      <c r="I293" t="s">
        <v>6010</v>
      </c>
      <c r="J293" t="s">
        <v>6011</v>
      </c>
      <c r="K293" t="s">
        <v>74</v>
      </c>
      <c r="L293" t="s">
        <v>74</v>
      </c>
      <c r="M293" t="s">
        <v>78</v>
      </c>
      <c r="N293" t="s">
        <v>112</v>
      </c>
      <c r="O293" t="s">
        <v>74</v>
      </c>
      <c r="P293" t="s">
        <v>74</v>
      </c>
      <c r="Q293" t="s">
        <v>74</v>
      </c>
      <c r="R293" t="s">
        <v>74</v>
      </c>
      <c r="S293" t="s">
        <v>74</v>
      </c>
      <c r="T293" t="s">
        <v>74</v>
      </c>
      <c r="U293" t="s">
        <v>6012</v>
      </c>
      <c r="V293" t="s">
        <v>6013</v>
      </c>
      <c r="W293" t="s">
        <v>6014</v>
      </c>
      <c r="X293" t="s">
        <v>6015</v>
      </c>
      <c r="Y293" t="s">
        <v>6016</v>
      </c>
      <c r="Z293" t="s">
        <v>6017</v>
      </c>
      <c r="AA293" t="s">
        <v>6018</v>
      </c>
      <c r="AB293" t="s">
        <v>6019</v>
      </c>
      <c r="AC293" t="s">
        <v>6020</v>
      </c>
      <c r="AD293" t="s">
        <v>6021</v>
      </c>
      <c r="AE293" t="s">
        <v>6022</v>
      </c>
      <c r="AF293" t="s">
        <v>74</v>
      </c>
      <c r="AG293">
        <v>65</v>
      </c>
      <c r="AH293">
        <v>0</v>
      </c>
      <c r="AI293">
        <v>0</v>
      </c>
      <c r="AJ293">
        <v>5</v>
      </c>
      <c r="AK293">
        <v>8</v>
      </c>
      <c r="AL293" t="s">
        <v>152</v>
      </c>
      <c r="AM293" t="s">
        <v>153</v>
      </c>
      <c r="AN293" t="s">
        <v>154</v>
      </c>
      <c r="AO293" t="s">
        <v>6023</v>
      </c>
      <c r="AP293" t="s">
        <v>6024</v>
      </c>
      <c r="AQ293" t="s">
        <v>74</v>
      </c>
      <c r="AR293" t="s">
        <v>6025</v>
      </c>
      <c r="AS293" t="s">
        <v>6026</v>
      </c>
      <c r="AT293" t="s">
        <v>4546</v>
      </c>
      <c r="AU293">
        <v>2023</v>
      </c>
      <c r="AV293">
        <v>165</v>
      </c>
      <c r="AW293">
        <v>4</v>
      </c>
      <c r="AX293" t="s">
        <v>74</v>
      </c>
      <c r="AY293" t="s">
        <v>74</v>
      </c>
      <c r="AZ293" t="s">
        <v>74</v>
      </c>
      <c r="BA293" t="s">
        <v>74</v>
      </c>
      <c r="BB293" t="s">
        <v>74</v>
      </c>
      <c r="BC293" t="s">
        <v>74</v>
      </c>
      <c r="BD293">
        <v>158</v>
      </c>
      <c r="BE293" t="s">
        <v>6027</v>
      </c>
      <c r="BF293" t="str">
        <f>HYPERLINK("http://dx.doi.org/10.3847/1538-3881/acbb02","http://dx.doi.org/10.3847/1538-3881/acbb02")</f>
        <v>http://dx.doi.org/10.3847/1538-3881/acbb02</v>
      </c>
      <c r="BG293" t="s">
        <v>74</v>
      </c>
      <c r="BH293" t="s">
        <v>74</v>
      </c>
      <c r="BI293">
        <v>11</v>
      </c>
      <c r="BJ293" t="s">
        <v>159</v>
      </c>
      <c r="BK293" t="s">
        <v>103</v>
      </c>
      <c r="BL293" t="s">
        <v>159</v>
      </c>
      <c r="BM293" t="s">
        <v>6028</v>
      </c>
      <c r="BN293" t="s">
        <v>74</v>
      </c>
      <c r="BO293" t="s">
        <v>359</v>
      </c>
      <c r="BP293" t="s">
        <v>74</v>
      </c>
      <c r="BQ293" t="s">
        <v>74</v>
      </c>
      <c r="BR293" t="s">
        <v>106</v>
      </c>
      <c r="BS293" t="s">
        <v>6029</v>
      </c>
      <c r="BT293" t="str">
        <f>HYPERLINK("https%3A%2F%2Fwww.webofscience.com%2Fwos%2Fwoscc%2Ffull-record%2FWOS:000948090400001","View Full Record in Web of Science")</f>
        <v>View Full Record in Web of Science</v>
      </c>
    </row>
    <row r="294" spans="1:72" x14ac:dyDescent="0.15">
      <c r="A294" t="s">
        <v>72</v>
      </c>
      <c r="B294" t="s">
        <v>6030</v>
      </c>
      <c r="C294" t="s">
        <v>74</v>
      </c>
      <c r="D294" t="s">
        <v>74</v>
      </c>
      <c r="E294" t="s">
        <v>74</v>
      </c>
      <c r="F294" t="s">
        <v>6031</v>
      </c>
      <c r="G294" t="s">
        <v>74</v>
      </c>
      <c r="H294" t="s">
        <v>74</v>
      </c>
      <c r="I294" t="s">
        <v>6032</v>
      </c>
      <c r="J294" t="s">
        <v>364</v>
      </c>
      <c r="K294" t="s">
        <v>74</v>
      </c>
      <c r="L294" t="s">
        <v>74</v>
      </c>
      <c r="M294" t="s">
        <v>78</v>
      </c>
      <c r="N294" t="s">
        <v>112</v>
      </c>
      <c r="O294" t="s">
        <v>74</v>
      </c>
      <c r="P294" t="s">
        <v>74</v>
      </c>
      <c r="Q294" t="s">
        <v>74</v>
      </c>
      <c r="R294" t="s">
        <v>74</v>
      </c>
      <c r="S294" t="s">
        <v>74</v>
      </c>
      <c r="T294" t="s">
        <v>6033</v>
      </c>
      <c r="U294" t="s">
        <v>6034</v>
      </c>
      <c r="V294" t="s">
        <v>6035</v>
      </c>
      <c r="W294" t="s">
        <v>6036</v>
      </c>
      <c r="X294" t="s">
        <v>6037</v>
      </c>
      <c r="Y294" t="s">
        <v>6038</v>
      </c>
      <c r="Z294" t="s">
        <v>6039</v>
      </c>
      <c r="AA294" t="s">
        <v>6040</v>
      </c>
      <c r="AB294" t="s">
        <v>6041</v>
      </c>
      <c r="AC294" t="s">
        <v>6042</v>
      </c>
      <c r="AD294" t="s">
        <v>6043</v>
      </c>
      <c r="AE294" t="s">
        <v>6044</v>
      </c>
      <c r="AF294" t="s">
        <v>74</v>
      </c>
      <c r="AG294">
        <v>43</v>
      </c>
      <c r="AH294">
        <v>0</v>
      </c>
      <c r="AI294">
        <v>0</v>
      </c>
      <c r="AJ294">
        <v>1</v>
      </c>
      <c r="AK294">
        <v>3</v>
      </c>
      <c r="AL294" t="s">
        <v>377</v>
      </c>
      <c r="AM294" t="s">
        <v>378</v>
      </c>
      <c r="AN294" t="s">
        <v>379</v>
      </c>
      <c r="AO294" t="s">
        <v>380</v>
      </c>
      <c r="AP294" t="s">
        <v>381</v>
      </c>
      <c r="AQ294" t="s">
        <v>74</v>
      </c>
      <c r="AR294" t="s">
        <v>382</v>
      </c>
      <c r="AS294" t="s">
        <v>383</v>
      </c>
      <c r="AT294" t="s">
        <v>1437</v>
      </c>
      <c r="AU294">
        <v>2023</v>
      </c>
      <c r="AV294">
        <v>170</v>
      </c>
      <c r="AW294">
        <v>4</v>
      </c>
      <c r="AX294" t="s">
        <v>74</v>
      </c>
      <c r="AY294" t="s">
        <v>74</v>
      </c>
      <c r="AZ294" t="s">
        <v>74</v>
      </c>
      <c r="BA294" t="s">
        <v>74</v>
      </c>
      <c r="BB294" t="s">
        <v>74</v>
      </c>
      <c r="BC294" t="s">
        <v>74</v>
      </c>
      <c r="BD294">
        <v>42</v>
      </c>
      <c r="BE294" t="s">
        <v>6045</v>
      </c>
      <c r="BF294" t="str">
        <f>HYPERLINK("http://dx.doi.org/10.1007/s00227-023-04186-4","http://dx.doi.org/10.1007/s00227-023-04186-4")</f>
        <v>http://dx.doi.org/10.1007/s00227-023-04186-4</v>
      </c>
      <c r="BG294" t="s">
        <v>74</v>
      </c>
      <c r="BH294" t="s">
        <v>74</v>
      </c>
      <c r="BI294">
        <v>10</v>
      </c>
      <c r="BJ294" t="s">
        <v>385</v>
      </c>
      <c r="BK294" t="s">
        <v>103</v>
      </c>
      <c r="BL294" t="s">
        <v>385</v>
      </c>
      <c r="BM294" t="s">
        <v>6046</v>
      </c>
      <c r="BN294" t="s">
        <v>74</v>
      </c>
      <c r="BO294" t="s">
        <v>387</v>
      </c>
      <c r="BP294" t="s">
        <v>74</v>
      </c>
      <c r="BQ294" t="s">
        <v>74</v>
      </c>
      <c r="BR294" t="s">
        <v>106</v>
      </c>
      <c r="BS294" t="s">
        <v>6047</v>
      </c>
      <c r="BT294" t="str">
        <f>HYPERLINK("https%3A%2F%2Fwww.webofscience.com%2Fwos%2Fwoscc%2Ffull-record%2FWOS:000948448000001","View Full Record in Web of Science")</f>
        <v>View Full Record in Web of Science</v>
      </c>
    </row>
    <row r="295" spans="1:72" x14ac:dyDescent="0.15">
      <c r="A295" t="s">
        <v>72</v>
      </c>
      <c r="B295" t="s">
        <v>6048</v>
      </c>
      <c r="C295" t="s">
        <v>74</v>
      </c>
      <c r="D295" t="s">
        <v>74</v>
      </c>
      <c r="E295" t="s">
        <v>74</v>
      </c>
      <c r="F295" t="s">
        <v>6049</v>
      </c>
      <c r="G295" t="s">
        <v>74</v>
      </c>
      <c r="H295" t="s">
        <v>74</v>
      </c>
      <c r="I295" t="s">
        <v>6050</v>
      </c>
      <c r="J295" t="s">
        <v>4913</v>
      </c>
      <c r="K295" t="s">
        <v>74</v>
      </c>
      <c r="L295" t="s">
        <v>74</v>
      </c>
      <c r="M295" t="s">
        <v>78</v>
      </c>
      <c r="N295" t="s">
        <v>112</v>
      </c>
      <c r="O295" t="s">
        <v>74</v>
      </c>
      <c r="P295" t="s">
        <v>74</v>
      </c>
      <c r="Q295" t="s">
        <v>74</v>
      </c>
      <c r="R295" t="s">
        <v>74</v>
      </c>
      <c r="S295" t="s">
        <v>74</v>
      </c>
      <c r="T295" t="s">
        <v>6051</v>
      </c>
      <c r="U295" t="s">
        <v>6052</v>
      </c>
      <c r="V295" t="s">
        <v>6053</v>
      </c>
      <c r="W295" t="s">
        <v>6054</v>
      </c>
      <c r="X295" t="s">
        <v>6055</v>
      </c>
      <c r="Y295" t="s">
        <v>6056</v>
      </c>
      <c r="Z295" t="s">
        <v>6057</v>
      </c>
      <c r="AA295" t="s">
        <v>74</v>
      </c>
      <c r="AB295" t="s">
        <v>6058</v>
      </c>
      <c r="AC295" t="s">
        <v>6059</v>
      </c>
      <c r="AD295" t="s">
        <v>6060</v>
      </c>
      <c r="AE295" t="s">
        <v>6061</v>
      </c>
      <c r="AF295" t="s">
        <v>74</v>
      </c>
      <c r="AG295">
        <v>79</v>
      </c>
      <c r="AH295">
        <v>7</v>
      </c>
      <c r="AI295">
        <v>7</v>
      </c>
      <c r="AJ295">
        <v>0</v>
      </c>
      <c r="AK295">
        <v>2</v>
      </c>
      <c r="AL295" t="s">
        <v>305</v>
      </c>
      <c r="AM295" t="s">
        <v>306</v>
      </c>
      <c r="AN295" t="s">
        <v>307</v>
      </c>
      <c r="AO295" t="s">
        <v>74</v>
      </c>
      <c r="AP295" t="s">
        <v>4926</v>
      </c>
      <c r="AQ295" t="s">
        <v>74</v>
      </c>
      <c r="AR295" t="s">
        <v>4927</v>
      </c>
      <c r="AS295" t="s">
        <v>4928</v>
      </c>
      <c r="AT295" t="s">
        <v>1437</v>
      </c>
      <c r="AU295">
        <v>2023</v>
      </c>
      <c r="AV295">
        <v>4</v>
      </c>
      <c r="AW295">
        <v>2</v>
      </c>
      <c r="AX295" t="s">
        <v>74</v>
      </c>
      <c r="AY295" t="s">
        <v>74</v>
      </c>
      <c r="AZ295" t="s">
        <v>74</v>
      </c>
      <c r="BA295" t="s">
        <v>74</v>
      </c>
      <c r="BB295" t="s">
        <v>74</v>
      </c>
      <c r="BC295" t="s">
        <v>74</v>
      </c>
      <c r="BD295" t="s">
        <v>6062</v>
      </c>
      <c r="BE295" t="s">
        <v>6063</v>
      </c>
      <c r="BF295" t="str">
        <f>HYPERLINK("http://dx.doi.org/10.1029/2022AV000751","http://dx.doi.org/10.1029/2022AV000751")</f>
        <v>http://dx.doi.org/10.1029/2022AV000751</v>
      </c>
      <c r="BG295" t="s">
        <v>74</v>
      </c>
      <c r="BH295" t="s">
        <v>74</v>
      </c>
      <c r="BI295">
        <v>22</v>
      </c>
      <c r="BJ295" t="s">
        <v>261</v>
      </c>
      <c r="BK295" t="s">
        <v>103</v>
      </c>
      <c r="BL295" t="s">
        <v>262</v>
      </c>
      <c r="BM295" t="s">
        <v>6064</v>
      </c>
      <c r="BN295" t="s">
        <v>74</v>
      </c>
      <c r="BO295" t="s">
        <v>6065</v>
      </c>
      <c r="BP295" t="s">
        <v>74</v>
      </c>
      <c r="BQ295" t="s">
        <v>74</v>
      </c>
      <c r="BR295" t="s">
        <v>106</v>
      </c>
      <c r="BS295" t="s">
        <v>6066</v>
      </c>
      <c r="BT295" t="str">
        <f>HYPERLINK("https%3A%2F%2Fwww.webofscience.com%2Fwos%2Fwoscc%2Ffull-record%2FWOS:000947335200001","View Full Record in Web of Science")</f>
        <v>View Full Record in Web of Science</v>
      </c>
    </row>
    <row r="296" spans="1:72" x14ac:dyDescent="0.15">
      <c r="A296" t="s">
        <v>72</v>
      </c>
      <c r="B296" t="s">
        <v>6067</v>
      </c>
      <c r="C296" t="s">
        <v>74</v>
      </c>
      <c r="D296" t="s">
        <v>74</v>
      </c>
      <c r="E296" t="s">
        <v>74</v>
      </c>
      <c r="F296" t="s">
        <v>6068</v>
      </c>
      <c r="G296" t="s">
        <v>74</v>
      </c>
      <c r="H296" t="s">
        <v>74</v>
      </c>
      <c r="I296" t="s">
        <v>6069</v>
      </c>
      <c r="J296" t="s">
        <v>6070</v>
      </c>
      <c r="K296" t="s">
        <v>74</v>
      </c>
      <c r="L296" t="s">
        <v>74</v>
      </c>
      <c r="M296" t="s">
        <v>78</v>
      </c>
      <c r="N296" t="s">
        <v>112</v>
      </c>
      <c r="O296" t="s">
        <v>74</v>
      </c>
      <c r="P296" t="s">
        <v>74</v>
      </c>
      <c r="Q296" t="s">
        <v>74</v>
      </c>
      <c r="R296" t="s">
        <v>74</v>
      </c>
      <c r="S296" t="s">
        <v>74</v>
      </c>
      <c r="T296" t="s">
        <v>6071</v>
      </c>
      <c r="U296" t="s">
        <v>6072</v>
      </c>
      <c r="V296" t="s">
        <v>6073</v>
      </c>
      <c r="W296" t="s">
        <v>6074</v>
      </c>
      <c r="X296" t="s">
        <v>6075</v>
      </c>
      <c r="Y296" t="s">
        <v>6076</v>
      </c>
      <c r="Z296" t="s">
        <v>6077</v>
      </c>
      <c r="AA296" t="s">
        <v>74</v>
      </c>
      <c r="AB296" t="s">
        <v>6078</v>
      </c>
      <c r="AC296" t="s">
        <v>74</v>
      </c>
      <c r="AD296" t="s">
        <v>74</v>
      </c>
      <c r="AE296" t="s">
        <v>74</v>
      </c>
      <c r="AF296" t="s">
        <v>74</v>
      </c>
      <c r="AG296">
        <v>54</v>
      </c>
      <c r="AH296">
        <v>4</v>
      </c>
      <c r="AI296">
        <v>4</v>
      </c>
      <c r="AJ296">
        <v>10</v>
      </c>
      <c r="AK296">
        <v>17</v>
      </c>
      <c r="AL296" t="s">
        <v>768</v>
      </c>
      <c r="AM296" t="s">
        <v>179</v>
      </c>
      <c r="AN296" t="s">
        <v>769</v>
      </c>
      <c r="AO296" t="s">
        <v>6079</v>
      </c>
      <c r="AP296" t="s">
        <v>6080</v>
      </c>
      <c r="AQ296" t="s">
        <v>74</v>
      </c>
      <c r="AR296" t="s">
        <v>6081</v>
      </c>
      <c r="AS296" t="s">
        <v>6082</v>
      </c>
      <c r="AT296" t="s">
        <v>1437</v>
      </c>
      <c r="AU296">
        <v>2023</v>
      </c>
      <c r="AV296">
        <v>205</v>
      </c>
      <c r="AW296">
        <v>4</v>
      </c>
      <c r="AX296" t="s">
        <v>74</v>
      </c>
      <c r="AY296" t="s">
        <v>74</v>
      </c>
      <c r="AZ296" t="s">
        <v>74</v>
      </c>
      <c r="BA296" t="s">
        <v>74</v>
      </c>
      <c r="BB296" t="s">
        <v>74</v>
      </c>
      <c r="BC296" t="s">
        <v>74</v>
      </c>
      <c r="BD296">
        <v>113</v>
      </c>
      <c r="BE296" t="s">
        <v>6083</v>
      </c>
      <c r="BF296" t="str">
        <f>HYPERLINK("http://dx.doi.org/10.1007/s00203-023-03453-8","http://dx.doi.org/10.1007/s00203-023-03453-8")</f>
        <v>http://dx.doi.org/10.1007/s00203-023-03453-8</v>
      </c>
      <c r="BG296" t="s">
        <v>74</v>
      </c>
      <c r="BH296" t="s">
        <v>74</v>
      </c>
      <c r="BI296">
        <v>13</v>
      </c>
      <c r="BJ296" t="s">
        <v>1387</v>
      </c>
      <c r="BK296" t="s">
        <v>103</v>
      </c>
      <c r="BL296" t="s">
        <v>1387</v>
      </c>
      <c r="BM296" t="s">
        <v>6084</v>
      </c>
      <c r="BN296">
        <v>36905427</v>
      </c>
      <c r="BO296" t="s">
        <v>74</v>
      </c>
      <c r="BP296" t="s">
        <v>74</v>
      </c>
      <c r="BQ296" t="s">
        <v>74</v>
      </c>
      <c r="BR296" t="s">
        <v>106</v>
      </c>
      <c r="BS296" t="s">
        <v>6085</v>
      </c>
      <c r="BT296" t="str">
        <f>HYPERLINK("https%3A%2F%2Fwww.webofscience.com%2Fwos%2Fwoscc%2Ffull-record%2FWOS:000948349700001","View Full Record in Web of Science")</f>
        <v>View Full Record in Web of Science</v>
      </c>
    </row>
    <row r="297" spans="1:72" x14ac:dyDescent="0.15">
      <c r="A297" t="s">
        <v>72</v>
      </c>
      <c r="B297" t="s">
        <v>6086</v>
      </c>
      <c r="C297" t="s">
        <v>74</v>
      </c>
      <c r="D297" t="s">
        <v>74</v>
      </c>
      <c r="E297" t="s">
        <v>74</v>
      </c>
      <c r="F297" t="s">
        <v>6087</v>
      </c>
      <c r="G297" t="s">
        <v>74</v>
      </c>
      <c r="H297" t="s">
        <v>74</v>
      </c>
      <c r="I297" t="s">
        <v>6088</v>
      </c>
      <c r="J297" t="s">
        <v>6089</v>
      </c>
      <c r="K297" t="s">
        <v>74</v>
      </c>
      <c r="L297" t="s">
        <v>74</v>
      </c>
      <c r="M297" t="s">
        <v>78</v>
      </c>
      <c r="N297" t="s">
        <v>112</v>
      </c>
      <c r="O297" t="s">
        <v>74</v>
      </c>
      <c r="P297" t="s">
        <v>74</v>
      </c>
      <c r="Q297" t="s">
        <v>74</v>
      </c>
      <c r="R297" t="s">
        <v>74</v>
      </c>
      <c r="S297" t="s">
        <v>74</v>
      </c>
      <c r="T297" t="s">
        <v>6090</v>
      </c>
      <c r="U297" t="s">
        <v>6091</v>
      </c>
      <c r="V297" t="s">
        <v>6092</v>
      </c>
      <c r="W297" t="s">
        <v>6093</v>
      </c>
      <c r="X297" t="s">
        <v>6094</v>
      </c>
      <c r="Y297" t="s">
        <v>6095</v>
      </c>
      <c r="Z297" t="s">
        <v>6096</v>
      </c>
      <c r="AA297" t="s">
        <v>6097</v>
      </c>
      <c r="AB297" t="s">
        <v>6098</v>
      </c>
      <c r="AC297" t="s">
        <v>6099</v>
      </c>
      <c r="AD297" t="s">
        <v>6099</v>
      </c>
      <c r="AE297" t="s">
        <v>6100</v>
      </c>
      <c r="AF297" t="s">
        <v>74</v>
      </c>
      <c r="AG297">
        <v>58</v>
      </c>
      <c r="AH297">
        <v>3</v>
      </c>
      <c r="AI297">
        <v>3</v>
      </c>
      <c r="AJ297">
        <v>4</v>
      </c>
      <c r="AK297">
        <v>10</v>
      </c>
      <c r="AL297" t="s">
        <v>6101</v>
      </c>
      <c r="AM297" t="s">
        <v>6102</v>
      </c>
      <c r="AN297" t="s">
        <v>6103</v>
      </c>
      <c r="AO297" t="s">
        <v>6104</v>
      </c>
      <c r="AP297" t="s">
        <v>6105</v>
      </c>
      <c r="AQ297" t="s">
        <v>74</v>
      </c>
      <c r="AR297" t="s">
        <v>6106</v>
      </c>
      <c r="AS297" t="s">
        <v>6107</v>
      </c>
      <c r="AT297" t="s">
        <v>1437</v>
      </c>
      <c r="AU297">
        <v>2023</v>
      </c>
      <c r="AV297">
        <v>36</v>
      </c>
      <c r="AW297">
        <v>4</v>
      </c>
      <c r="AX297" t="s">
        <v>74</v>
      </c>
      <c r="AY297" t="s">
        <v>74</v>
      </c>
      <c r="AZ297" t="s">
        <v>74</v>
      </c>
      <c r="BA297" t="s">
        <v>74</v>
      </c>
      <c r="BB297">
        <v>629</v>
      </c>
      <c r="BC297">
        <v>641</v>
      </c>
      <c r="BD297" t="s">
        <v>74</v>
      </c>
      <c r="BE297" t="s">
        <v>6108</v>
      </c>
      <c r="BF297" t="str">
        <f>HYPERLINK("http://dx.doi.org/10.5713/ab.22.0183","http://dx.doi.org/10.5713/ab.22.0183")</f>
        <v>http://dx.doi.org/10.5713/ab.22.0183</v>
      </c>
      <c r="BG297" t="s">
        <v>74</v>
      </c>
      <c r="BH297" t="s">
        <v>74</v>
      </c>
      <c r="BI297">
        <v>13</v>
      </c>
      <c r="BJ297" t="s">
        <v>6109</v>
      </c>
      <c r="BK297" t="s">
        <v>103</v>
      </c>
      <c r="BL297" t="s">
        <v>188</v>
      </c>
      <c r="BM297" t="s">
        <v>6110</v>
      </c>
      <c r="BN297">
        <v>36397705</v>
      </c>
      <c r="BO297" t="s">
        <v>136</v>
      </c>
      <c r="BP297" t="s">
        <v>74</v>
      </c>
      <c r="BQ297" t="s">
        <v>74</v>
      </c>
      <c r="BR297" t="s">
        <v>106</v>
      </c>
      <c r="BS297" t="s">
        <v>6111</v>
      </c>
      <c r="BT297" t="str">
        <f>HYPERLINK("https%3A%2F%2Fwww.webofscience.com%2Fwos%2Fwoscc%2Ffull-record%2FWOS:000942674900010","View Full Record in Web of Science")</f>
        <v>View Full Record in Web of Science</v>
      </c>
    </row>
    <row r="298" spans="1:72" x14ac:dyDescent="0.15">
      <c r="A298" t="s">
        <v>72</v>
      </c>
      <c r="B298" t="s">
        <v>6112</v>
      </c>
      <c r="C298" t="s">
        <v>74</v>
      </c>
      <c r="D298" t="s">
        <v>74</v>
      </c>
      <c r="E298" t="s">
        <v>74</v>
      </c>
      <c r="F298" t="s">
        <v>6113</v>
      </c>
      <c r="G298" t="s">
        <v>74</v>
      </c>
      <c r="H298" t="s">
        <v>74</v>
      </c>
      <c r="I298" t="s">
        <v>6114</v>
      </c>
      <c r="J298" t="s">
        <v>6115</v>
      </c>
      <c r="K298" t="s">
        <v>74</v>
      </c>
      <c r="L298" t="s">
        <v>74</v>
      </c>
      <c r="M298" t="s">
        <v>78</v>
      </c>
      <c r="N298" t="s">
        <v>1754</v>
      </c>
      <c r="O298" t="s">
        <v>74</v>
      </c>
      <c r="P298" t="s">
        <v>74</v>
      </c>
      <c r="Q298" t="s">
        <v>74</v>
      </c>
      <c r="R298" t="s">
        <v>74</v>
      </c>
      <c r="S298" t="s">
        <v>74</v>
      </c>
      <c r="T298" t="s">
        <v>6116</v>
      </c>
      <c r="U298" t="s">
        <v>6117</v>
      </c>
      <c r="V298" t="s">
        <v>6118</v>
      </c>
      <c r="W298" t="s">
        <v>6119</v>
      </c>
      <c r="X298" t="s">
        <v>6120</v>
      </c>
      <c r="Y298" t="s">
        <v>6121</v>
      </c>
      <c r="Z298" t="s">
        <v>6122</v>
      </c>
      <c r="AA298" t="s">
        <v>6123</v>
      </c>
      <c r="AB298" t="s">
        <v>6124</v>
      </c>
      <c r="AC298" t="s">
        <v>6125</v>
      </c>
      <c r="AD298" t="s">
        <v>6126</v>
      </c>
      <c r="AE298" t="s">
        <v>6127</v>
      </c>
      <c r="AF298" t="s">
        <v>74</v>
      </c>
      <c r="AG298">
        <v>92</v>
      </c>
      <c r="AH298">
        <v>2</v>
      </c>
      <c r="AI298">
        <v>2</v>
      </c>
      <c r="AJ298">
        <v>6</v>
      </c>
      <c r="AK298">
        <v>27</v>
      </c>
      <c r="AL298" t="s">
        <v>6128</v>
      </c>
      <c r="AM298" t="s">
        <v>6129</v>
      </c>
      <c r="AN298" t="s">
        <v>6130</v>
      </c>
      <c r="AO298" t="s">
        <v>6131</v>
      </c>
      <c r="AP298" t="s">
        <v>6132</v>
      </c>
      <c r="AQ298" t="s">
        <v>74</v>
      </c>
      <c r="AR298" t="s">
        <v>6133</v>
      </c>
      <c r="AS298" t="s">
        <v>6134</v>
      </c>
      <c r="AT298" t="s">
        <v>6135</v>
      </c>
      <c r="AU298">
        <v>2023</v>
      </c>
      <c r="AV298" t="s">
        <v>74</v>
      </c>
      <c r="AW298" t="s">
        <v>74</v>
      </c>
      <c r="AX298" t="s">
        <v>74</v>
      </c>
      <c r="AY298" t="s">
        <v>74</v>
      </c>
      <c r="AZ298" t="s">
        <v>74</v>
      </c>
      <c r="BA298" t="s">
        <v>74</v>
      </c>
      <c r="BB298" t="s">
        <v>74</v>
      </c>
      <c r="BC298" t="s">
        <v>74</v>
      </c>
      <c r="BD298" t="s">
        <v>74</v>
      </c>
      <c r="BE298" t="s">
        <v>6136</v>
      </c>
      <c r="BF298" t="str">
        <f>HYPERLINK("http://dx.doi.org/10.1086/723405","http://dx.doi.org/10.1086/723405")</f>
        <v>http://dx.doi.org/10.1086/723405</v>
      </c>
      <c r="BG298" t="s">
        <v>74</v>
      </c>
      <c r="BH298" t="s">
        <v>427</v>
      </c>
      <c r="BI298">
        <v>17</v>
      </c>
      <c r="BJ298" t="s">
        <v>5065</v>
      </c>
      <c r="BK298" t="s">
        <v>103</v>
      </c>
      <c r="BL298" t="s">
        <v>5066</v>
      </c>
      <c r="BM298" t="s">
        <v>6137</v>
      </c>
      <c r="BN298">
        <v>36958006</v>
      </c>
      <c r="BO298" t="s">
        <v>6138</v>
      </c>
      <c r="BP298" t="s">
        <v>74</v>
      </c>
      <c r="BQ298" t="s">
        <v>74</v>
      </c>
      <c r="BR298" t="s">
        <v>106</v>
      </c>
      <c r="BS298" t="s">
        <v>6139</v>
      </c>
      <c r="BT298" t="str">
        <f>HYPERLINK("https%3A%2F%2Fwww.webofscience.com%2Fwos%2Fwoscc%2Ffull-record%2FWOS:000940644200001","View Full Record in Web of Science")</f>
        <v>View Full Record in Web of Science</v>
      </c>
    </row>
    <row r="299" spans="1:72" x14ac:dyDescent="0.15">
      <c r="A299" t="s">
        <v>72</v>
      </c>
      <c r="B299" t="s">
        <v>6140</v>
      </c>
      <c r="C299" t="s">
        <v>74</v>
      </c>
      <c r="D299" t="s">
        <v>74</v>
      </c>
      <c r="E299" t="s">
        <v>74</v>
      </c>
      <c r="F299" t="s">
        <v>6141</v>
      </c>
      <c r="G299" t="s">
        <v>74</v>
      </c>
      <c r="H299" t="s">
        <v>74</v>
      </c>
      <c r="I299" t="s">
        <v>6142</v>
      </c>
      <c r="J299" t="s">
        <v>6143</v>
      </c>
      <c r="K299" t="s">
        <v>74</v>
      </c>
      <c r="L299" t="s">
        <v>74</v>
      </c>
      <c r="M299" t="s">
        <v>78</v>
      </c>
      <c r="N299" t="s">
        <v>112</v>
      </c>
      <c r="O299" t="s">
        <v>74</v>
      </c>
      <c r="P299" t="s">
        <v>74</v>
      </c>
      <c r="Q299" t="s">
        <v>74</v>
      </c>
      <c r="R299" t="s">
        <v>74</v>
      </c>
      <c r="S299" t="s">
        <v>74</v>
      </c>
      <c r="T299" t="s">
        <v>6144</v>
      </c>
      <c r="U299" t="s">
        <v>6145</v>
      </c>
      <c r="V299" t="s">
        <v>6146</v>
      </c>
      <c r="W299" t="s">
        <v>6147</v>
      </c>
      <c r="X299" t="s">
        <v>6148</v>
      </c>
      <c r="Y299" t="s">
        <v>6149</v>
      </c>
      <c r="Z299" t="s">
        <v>6150</v>
      </c>
      <c r="AA299" t="s">
        <v>74</v>
      </c>
      <c r="AB299" t="s">
        <v>6151</v>
      </c>
      <c r="AC299" t="s">
        <v>6152</v>
      </c>
      <c r="AD299" t="s">
        <v>6153</v>
      </c>
      <c r="AE299" t="s">
        <v>6154</v>
      </c>
      <c r="AF299" t="s">
        <v>74</v>
      </c>
      <c r="AG299">
        <v>123</v>
      </c>
      <c r="AH299">
        <v>0</v>
      </c>
      <c r="AI299">
        <v>0</v>
      </c>
      <c r="AJ299">
        <v>0</v>
      </c>
      <c r="AK299">
        <v>2</v>
      </c>
      <c r="AL299" t="s">
        <v>6155</v>
      </c>
      <c r="AM299" t="s">
        <v>4171</v>
      </c>
      <c r="AN299" t="s">
        <v>6156</v>
      </c>
      <c r="AO299" t="s">
        <v>6157</v>
      </c>
      <c r="AP299" t="s">
        <v>74</v>
      </c>
      <c r="AQ299" t="s">
        <v>74</v>
      </c>
      <c r="AR299" t="s">
        <v>6158</v>
      </c>
      <c r="AS299" t="s">
        <v>6159</v>
      </c>
      <c r="AT299" t="s">
        <v>1437</v>
      </c>
      <c r="AU299">
        <v>2023</v>
      </c>
      <c r="AV299">
        <v>27</v>
      </c>
      <c r="AW299">
        <v>2</v>
      </c>
      <c r="AX299" t="s">
        <v>74</v>
      </c>
      <c r="AY299" t="s">
        <v>74</v>
      </c>
      <c r="AZ299" t="s">
        <v>74</v>
      </c>
      <c r="BA299" t="s">
        <v>74</v>
      </c>
      <c r="BB299">
        <v>211</v>
      </c>
      <c r="BC299">
        <v>230</v>
      </c>
      <c r="BD299" t="s">
        <v>74</v>
      </c>
      <c r="BE299" t="s">
        <v>6160</v>
      </c>
      <c r="BF299" t="str">
        <f>HYPERLINK("http://dx.doi.org/10.2517/PR210033","http://dx.doi.org/10.2517/PR210033")</f>
        <v>http://dx.doi.org/10.2517/PR210033</v>
      </c>
      <c r="BG299" t="s">
        <v>74</v>
      </c>
      <c r="BH299" t="s">
        <v>74</v>
      </c>
      <c r="BI299">
        <v>20</v>
      </c>
      <c r="BJ299" t="s">
        <v>2970</v>
      </c>
      <c r="BK299" t="s">
        <v>103</v>
      </c>
      <c r="BL299" t="s">
        <v>2970</v>
      </c>
      <c r="BM299" t="s">
        <v>6161</v>
      </c>
      <c r="BN299" t="s">
        <v>74</v>
      </c>
      <c r="BO299" t="s">
        <v>74</v>
      </c>
      <c r="BP299" t="s">
        <v>74</v>
      </c>
      <c r="BQ299" t="s">
        <v>74</v>
      </c>
      <c r="BR299" t="s">
        <v>106</v>
      </c>
      <c r="BS299" t="s">
        <v>6162</v>
      </c>
      <c r="BT299" t="str">
        <f>HYPERLINK("https%3A%2F%2Fwww.webofscience.com%2Fwos%2Fwoscc%2Ffull-record%2FWOS:000888954700007","View Full Record in Web of Science")</f>
        <v>View Full Record in Web of Science</v>
      </c>
    </row>
    <row r="300" spans="1:72" x14ac:dyDescent="0.15">
      <c r="A300" t="s">
        <v>72</v>
      </c>
      <c r="B300" t="s">
        <v>6163</v>
      </c>
      <c r="C300" t="s">
        <v>74</v>
      </c>
      <c r="D300" t="s">
        <v>74</v>
      </c>
      <c r="E300" t="s">
        <v>74</v>
      </c>
      <c r="F300" t="s">
        <v>6164</v>
      </c>
      <c r="G300" t="s">
        <v>74</v>
      </c>
      <c r="H300" t="s">
        <v>74</v>
      </c>
      <c r="I300" t="s">
        <v>6165</v>
      </c>
      <c r="J300" t="s">
        <v>6166</v>
      </c>
      <c r="K300" t="s">
        <v>74</v>
      </c>
      <c r="L300" t="s">
        <v>74</v>
      </c>
      <c r="M300" t="s">
        <v>78</v>
      </c>
      <c r="N300" t="s">
        <v>112</v>
      </c>
      <c r="O300" t="s">
        <v>74</v>
      </c>
      <c r="P300" t="s">
        <v>74</v>
      </c>
      <c r="Q300" t="s">
        <v>74</v>
      </c>
      <c r="R300" t="s">
        <v>74</v>
      </c>
      <c r="S300" t="s">
        <v>74</v>
      </c>
      <c r="T300" t="s">
        <v>6167</v>
      </c>
      <c r="U300" t="s">
        <v>6168</v>
      </c>
      <c r="V300" t="s">
        <v>6169</v>
      </c>
      <c r="W300" t="s">
        <v>6170</v>
      </c>
      <c r="X300" t="s">
        <v>6171</v>
      </c>
      <c r="Y300" t="s">
        <v>6172</v>
      </c>
      <c r="Z300" t="s">
        <v>6173</v>
      </c>
      <c r="AA300" t="s">
        <v>6174</v>
      </c>
      <c r="AB300" t="s">
        <v>6175</v>
      </c>
      <c r="AC300" t="s">
        <v>6176</v>
      </c>
      <c r="AD300" t="s">
        <v>6177</v>
      </c>
      <c r="AE300" t="s">
        <v>6178</v>
      </c>
      <c r="AF300" t="s">
        <v>74</v>
      </c>
      <c r="AG300">
        <v>18</v>
      </c>
      <c r="AH300">
        <v>0</v>
      </c>
      <c r="AI300">
        <v>0</v>
      </c>
      <c r="AJ300">
        <v>1</v>
      </c>
      <c r="AK300">
        <v>2</v>
      </c>
      <c r="AL300" t="s">
        <v>2116</v>
      </c>
      <c r="AM300" t="s">
        <v>226</v>
      </c>
      <c r="AN300" t="s">
        <v>2117</v>
      </c>
      <c r="AO300" t="s">
        <v>6179</v>
      </c>
      <c r="AP300" t="s">
        <v>6180</v>
      </c>
      <c r="AQ300" t="s">
        <v>74</v>
      </c>
      <c r="AR300" t="s">
        <v>6181</v>
      </c>
      <c r="AS300" t="s">
        <v>6182</v>
      </c>
      <c r="AT300" t="s">
        <v>6183</v>
      </c>
      <c r="AU300">
        <v>2023</v>
      </c>
      <c r="AV300">
        <v>521</v>
      </c>
      <c r="AW300">
        <v>4</v>
      </c>
      <c r="AX300" t="s">
        <v>74</v>
      </c>
      <c r="AY300" t="s">
        <v>74</v>
      </c>
      <c r="AZ300" t="s">
        <v>74</v>
      </c>
      <c r="BA300" t="s">
        <v>74</v>
      </c>
      <c r="BB300">
        <v>5624</v>
      </c>
      <c r="BC300">
        <v>5635</v>
      </c>
      <c r="BD300" t="s">
        <v>74</v>
      </c>
      <c r="BE300" t="s">
        <v>6184</v>
      </c>
      <c r="BF300" t="str">
        <f>HYPERLINK("http://dx.doi.org/10.1093/mnras/stad775","http://dx.doi.org/10.1093/mnras/stad775")</f>
        <v>http://dx.doi.org/10.1093/mnras/stad775</v>
      </c>
      <c r="BG300" t="s">
        <v>74</v>
      </c>
      <c r="BH300" t="s">
        <v>74</v>
      </c>
      <c r="BI300">
        <v>12</v>
      </c>
      <c r="BJ300" t="s">
        <v>159</v>
      </c>
      <c r="BK300" t="s">
        <v>103</v>
      </c>
      <c r="BL300" t="s">
        <v>159</v>
      </c>
      <c r="BM300" t="s">
        <v>6185</v>
      </c>
      <c r="BN300" t="s">
        <v>74</v>
      </c>
      <c r="BO300" t="s">
        <v>74</v>
      </c>
      <c r="BP300" t="s">
        <v>74</v>
      </c>
      <c r="BQ300" t="s">
        <v>74</v>
      </c>
      <c r="BR300" t="s">
        <v>106</v>
      </c>
      <c r="BS300" t="s">
        <v>6186</v>
      </c>
      <c r="BT300" t="str">
        <f>HYPERLINK("https%3A%2F%2Fwww.webofscience.com%2Fwos%2Fwoscc%2Ffull-record%2FWOS:000965008600001","View Full Record in Web of Science")</f>
        <v>View Full Record in Web of Science</v>
      </c>
    </row>
    <row r="301" spans="1:72" x14ac:dyDescent="0.15">
      <c r="A301" t="s">
        <v>72</v>
      </c>
      <c r="B301" t="s">
        <v>6187</v>
      </c>
      <c r="C301" t="s">
        <v>74</v>
      </c>
      <c r="D301" t="s">
        <v>74</v>
      </c>
      <c r="E301" t="s">
        <v>74</v>
      </c>
      <c r="F301" t="s">
        <v>6188</v>
      </c>
      <c r="G301" t="s">
        <v>74</v>
      </c>
      <c r="H301" t="s">
        <v>74</v>
      </c>
      <c r="I301" t="s">
        <v>6189</v>
      </c>
      <c r="J301" t="s">
        <v>194</v>
      </c>
      <c r="K301" t="s">
        <v>74</v>
      </c>
      <c r="L301" t="s">
        <v>74</v>
      </c>
      <c r="M301" t="s">
        <v>78</v>
      </c>
      <c r="N301" t="s">
        <v>112</v>
      </c>
      <c r="O301" t="s">
        <v>74</v>
      </c>
      <c r="P301" t="s">
        <v>74</v>
      </c>
      <c r="Q301" t="s">
        <v>74</v>
      </c>
      <c r="R301" t="s">
        <v>74</v>
      </c>
      <c r="S301" t="s">
        <v>74</v>
      </c>
      <c r="T301" t="s">
        <v>74</v>
      </c>
      <c r="U301" t="s">
        <v>6190</v>
      </c>
      <c r="V301" t="s">
        <v>6191</v>
      </c>
      <c r="W301" t="s">
        <v>6192</v>
      </c>
      <c r="X301" t="s">
        <v>6193</v>
      </c>
      <c r="Y301" t="s">
        <v>6194</v>
      </c>
      <c r="Z301" t="s">
        <v>74</v>
      </c>
      <c r="AA301" t="s">
        <v>6195</v>
      </c>
      <c r="AB301" t="s">
        <v>6196</v>
      </c>
      <c r="AC301" t="s">
        <v>6197</v>
      </c>
      <c r="AD301" t="s">
        <v>6198</v>
      </c>
      <c r="AE301" t="s">
        <v>6199</v>
      </c>
      <c r="AF301" t="s">
        <v>74</v>
      </c>
      <c r="AG301">
        <v>70</v>
      </c>
      <c r="AH301">
        <v>5</v>
      </c>
      <c r="AI301">
        <v>5</v>
      </c>
      <c r="AJ301">
        <v>3</v>
      </c>
      <c r="AK301">
        <v>6</v>
      </c>
      <c r="AL301" t="s">
        <v>203</v>
      </c>
      <c r="AM301" t="s">
        <v>204</v>
      </c>
      <c r="AN301" t="s">
        <v>205</v>
      </c>
      <c r="AO301" t="s">
        <v>206</v>
      </c>
      <c r="AP301" t="s">
        <v>74</v>
      </c>
      <c r="AQ301" t="s">
        <v>74</v>
      </c>
      <c r="AR301" t="s">
        <v>207</v>
      </c>
      <c r="AS301" t="s">
        <v>208</v>
      </c>
      <c r="AT301" t="s">
        <v>6183</v>
      </c>
      <c r="AU301">
        <v>2023</v>
      </c>
      <c r="AV301">
        <v>13</v>
      </c>
      <c r="AW301">
        <v>1</v>
      </c>
      <c r="AX301" t="s">
        <v>74</v>
      </c>
      <c r="AY301" t="s">
        <v>74</v>
      </c>
      <c r="AZ301" t="s">
        <v>74</v>
      </c>
      <c r="BA301" t="s">
        <v>74</v>
      </c>
      <c r="BB301" t="s">
        <v>74</v>
      </c>
      <c r="BC301" t="s">
        <v>74</v>
      </c>
      <c r="BD301">
        <v>5265</v>
      </c>
      <c r="BE301" t="s">
        <v>6200</v>
      </c>
      <c r="BF301" t="str">
        <f>HYPERLINK("http://dx.doi.org/10.1038/s41598-023-32352-7","http://dx.doi.org/10.1038/s41598-023-32352-7")</f>
        <v>http://dx.doi.org/10.1038/s41598-023-32352-7</v>
      </c>
      <c r="BG301" t="s">
        <v>74</v>
      </c>
      <c r="BH301" t="s">
        <v>74</v>
      </c>
      <c r="BI301">
        <v>9</v>
      </c>
      <c r="BJ301" t="s">
        <v>210</v>
      </c>
      <c r="BK301" t="s">
        <v>103</v>
      </c>
      <c r="BL301" t="s">
        <v>211</v>
      </c>
      <c r="BM301" t="s">
        <v>6201</v>
      </c>
      <c r="BN301">
        <v>37002269</v>
      </c>
      <c r="BO301" t="s">
        <v>614</v>
      </c>
      <c r="BP301" t="s">
        <v>74</v>
      </c>
      <c r="BQ301" t="s">
        <v>74</v>
      </c>
      <c r="BR301" t="s">
        <v>106</v>
      </c>
      <c r="BS301" t="s">
        <v>6202</v>
      </c>
      <c r="BT301" t="str">
        <f>HYPERLINK("https%3A%2F%2Fwww.webofscience.com%2Fwos%2Fwoscc%2Ffull-record%2FWOS:001001498900026","View Full Record in Web of Science")</f>
        <v>View Full Record in Web of Science</v>
      </c>
    </row>
    <row r="302" spans="1:72" x14ac:dyDescent="0.15">
      <c r="A302" t="s">
        <v>72</v>
      </c>
      <c r="B302" t="s">
        <v>6203</v>
      </c>
      <c r="C302" t="s">
        <v>74</v>
      </c>
      <c r="D302" t="s">
        <v>74</v>
      </c>
      <c r="E302" t="s">
        <v>74</v>
      </c>
      <c r="F302" t="s">
        <v>6204</v>
      </c>
      <c r="G302" t="s">
        <v>74</v>
      </c>
      <c r="H302" t="s">
        <v>74</v>
      </c>
      <c r="I302" t="s">
        <v>6205</v>
      </c>
      <c r="J302" t="s">
        <v>217</v>
      </c>
      <c r="K302" t="s">
        <v>74</v>
      </c>
      <c r="L302" t="s">
        <v>74</v>
      </c>
      <c r="M302" t="s">
        <v>78</v>
      </c>
      <c r="N302" t="s">
        <v>112</v>
      </c>
      <c r="O302" t="s">
        <v>74</v>
      </c>
      <c r="P302" t="s">
        <v>74</v>
      </c>
      <c r="Q302" t="s">
        <v>74</v>
      </c>
      <c r="R302" t="s">
        <v>74</v>
      </c>
      <c r="S302" t="s">
        <v>74</v>
      </c>
      <c r="T302" t="s">
        <v>6206</v>
      </c>
      <c r="U302" t="s">
        <v>74</v>
      </c>
      <c r="V302" t="s">
        <v>6207</v>
      </c>
      <c r="W302" t="s">
        <v>6208</v>
      </c>
      <c r="X302" t="s">
        <v>6209</v>
      </c>
      <c r="Y302" t="s">
        <v>6210</v>
      </c>
      <c r="Z302" t="s">
        <v>6211</v>
      </c>
      <c r="AA302" t="s">
        <v>6212</v>
      </c>
      <c r="AB302" t="s">
        <v>6213</v>
      </c>
      <c r="AC302" t="s">
        <v>6214</v>
      </c>
      <c r="AD302" t="s">
        <v>6215</v>
      </c>
      <c r="AE302" t="s">
        <v>6216</v>
      </c>
      <c r="AF302" t="s">
        <v>74</v>
      </c>
      <c r="AG302">
        <v>26</v>
      </c>
      <c r="AH302">
        <v>0</v>
      </c>
      <c r="AI302">
        <v>0</v>
      </c>
      <c r="AJ302">
        <v>3</v>
      </c>
      <c r="AK302">
        <v>4</v>
      </c>
      <c r="AL302" t="s">
        <v>225</v>
      </c>
      <c r="AM302" t="s">
        <v>226</v>
      </c>
      <c r="AN302" t="s">
        <v>227</v>
      </c>
      <c r="AO302" t="s">
        <v>228</v>
      </c>
      <c r="AP302" t="s">
        <v>229</v>
      </c>
      <c r="AQ302" t="s">
        <v>74</v>
      </c>
      <c r="AR302" t="s">
        <v>230</v>
      </c>
      <c r="AS302" t="s">
        <v>231</v>
      </c>
      <c r="AT302" t="s">
        <v>1437</v>
      </c>
      <c r="AU302">
        <v>2023</v>
      </c>
      <c r="AV302">
        <v>245</v>
      </c>
      <c r="AW302" t="s">
        <v>74</v>
      </c>
      <c r="AX302" t="s">
        <v>74</v>
      </c>
      <c r="AY302" t="s">
        <v>74</v>
      </c>
      <c r="AZ302" t="s">
        <v>74</v>
      </c>
      <c r="BA302" t="s">
        <v>74</v>
      </c>
      <c r="BB302" t="s">
        <v>74</v>
      </c>
      <c r="BC302" t="s">
        <v>74</v>
      </c>
      <c r="BD302">
        <v>106056</v>
      </c>
      <c r="BE302" t="s">
        <v>6217</v>
      </c>
      <c r="BF302" t="str">
        <f>HYPERLINK("http://dx.doi.org/10.1016/j.jastp.2023.106056","http://dx.doi.org/10.1016/j.jastp.2023.106056")</f>
        <v>http://dx.doi.org/10.1016/j.jastp.2023.106056</v>
      </c>
      <c r="BG302" t="s">
        <v>74</v>
      </c>
      <c r="BH302" t="s">
        <v>6218</v>
      </c>
      <c r="BI302">
        <v>7</v>
      </c>
      <c r="BJ302" t="s">
        <v>235</v>
      </c>
      <c r="BK302" t="s">
        <v>103</v>
      </c>
      <c r="BL302" t="s">
        <v>235</v>
      </c>
      <c r="BM302" t="s">
        <v>6219</v>
      </c>
      <c r="BN302" t="s">
        <v>74</v>
      </c>
      <c r="BO302" t="s">
        <v>387</v>
      </c>
      <c r="BP302" t="s">
        <v>74</v>
      </c>
      <c r="BQ302" t="s">
        <v>74</v>
      </c>
      <c r="BR302" t="s">
        <v>106</v>
      </c>
      <c r="BS302" t="s">
        <v>6220</v>
      </c>
      <c r="BT302" t="str">
        <f>HYPERLINK("https%3A%2F%2Fwww.webofscience.com%2Fwos%2Fwoscc%2Ffull-record%2FWOS:000994244300001","View Full Record in Web of Science")</f>
        <v>View Full Record in Web of Science</v>
      </c>
    </row>
    <row r="303" spans="1:72" x14ac:dyDescent="0.15">
      <c r="A303" t="s">
        <v>72</v>
      </c>
      <c r="B303" t="s">
        <v>6221</v>
      </c>
      <c r="C303" t="s">
        <v>74</v>
      </c>
      <c r="D303" t="s">
        <v>74</v>
      </c>
      <c r="E303" t="s">
        <v>74</v>
      </c>
      <c r="F303" t="s">
        <v>6222</v>
      </c>
      <c r="G303" t="s">
        <v>74</v>
      </c>
      <c r="H303" t="s">
        <v>74</v>
      </c>
      <c r="I303" t="s">
        <v>6223</v>
      </c>
      <c r="J303" t="s">
        <v>6224</v>
      </c>
      <c r="K303" t="s">
        <v>74</v>
      </c>
      <c r="L303" t="s">
        <v>74</v>
      </c>
      <c r="M303" t="s">
        <v>78</v>
      </c>
      <c r="N303" t="s">
        <v>112</v>
      </c>
      <c r="O303" t="s">
        <v>74</v>
      </c>
      <c r="P303" t="s">
        <v>74</v>
      </c>
      <c r="Q303" t="s">
        <v>74</v>
      </c>
      <c r="R303" t="s">
        <v>74</v>
      </c>
      <c r="S303" t="s">
        <v>74</v>
      </c>
      <c r="T303" t="s">
        <v>6225</v>
      </c>
      <c r="U303" t="s">
        <v>6226</v>
      </c>
      <c r="V303" t="s">
        <v>6227</v>
      </c>
      <c r="W303" t="s">
        <v>6228</v>
      </c>
      <c r="X303" t="s">
        <v>6229</v>
      </c>
      <c r="Y303" t="s">
        <v>6230</v>
      </c>
      <c r="Z303" t="s">
        <v>6231</v>
      </c>
      <c r="AA303" t="s">
        <v>6232</v>
      </c>
      <c r="AB303" t="s">
        <v>6233</v>
      </c>
      <c r="AC303" t="s">
        <v>74</v>
      </c>
      <c r="AD303" t="s">
        <v>74</v>
      </c>
      <c r="AE303" t="s">
        <v>74</v>
      </c>
      <c r="AF303" t="s">
        <v>74</v>
      </c>
      <c r="AG303">
        <v>87</v>
      </c>
      <c r="AH303">
        <v>1</v>
      </c>
      <c r="AI303">
        <v>1</v>
      </c>
      <c r="AJ303">
        <v>1</v>
      </c>
      <c r="AK303">
        <v>6</v>
      </c>
      <c r="AL303" t="s">
        <v>447</v>
      </c>
      <c r="AM303" t="s">
        <v>448</v>
      </c>
      <c r="AN303" t="s">
        <v>449</v>
      </c>
      <c r="AO303" t="s">
        <v>6234</v>
      </c>
      <c r="AP303" t="s">
        <v>74</v>
      </c>
      <c r="AQ303" t="s">
        <v>74</v>
      </c>
      <c r="AR303" t="s">
        <v>6235</v>
      </c>
      <c r="AS303" t="s">
        <v>6236</v>
      </c>
      <c r="AT303" t="s">
        <v>232</v>
      </c>
      <c r="AU303">
        <v>2023</v>
      </c>
      <c r="AV303">
        <v>30</v>
      </c>
      <c r="AW303" t="s">
        <v>74</v>
      </c>
      <c r="AX303" t="s">
        <v>74</v>
      </c>
      <c r="AY303" t="s">
        <v>74</v>
      </c>
      <c r="AZ303" t="s">
        <v>74</v>
      </c>
      <c r="BA303" t="s">
        <v>74</v>
      </c>
      <c r="BB303" t="s">
        <v>74</v>
      </c>
      <c r="BC303" t="s">
        <v>74</v>
      </c>
      <c r="BD303">
        <v>101557</v>
      </c>
      <c r="BE303" t="s">
        <v>6237</v>
      </c>
      <c r="BF303" t="str">
        <f>HYPERLINK("http://dx.doi.org/10.1016/j.aqrep.2023.101557","http://dx.doi.org/10.1016/j.aqrep.2023.101557")</f>
        <v>http://dx.doi.org/10.1016/j.aqrep.2023.101557</v>
      </c>
      <c r="BG303" t="s">
        <v>74</v>
      </c>
      <c r="BH303" t="s">
        <v>6218</v>
      </c>
      <c r="BI303">
        <v>12</v>
      </c>
      <c r="BJ303" t="s">
        <v>3222</v>
      </c>
      <c r="BK303" t="s">
        <v>103</v>
      </c>
      <c r="BL303" t="s">
        <v>3222</v>
      </c>
      <c r="BM303" t="s">
        <v>6238</v>
      </c>
      <c r="BN303" t="s">
        <v>74</v>
      </c>
      <c r="BO303" t="s">
        <v>359</v>
      </c>
      <c r="BP303" t="s">
        <v>74</v>
      </c>
      <c r="BQ303" t="s">
        <v>74</v>
      </c>
      <c r="BR303" t="s">
        <v>106</v>
      </c>
      <c r="BS303" t="s">
        <v>6239</v>
      </c>
      <c r="BT303" t="str">
        <f>HYPERLINK("https%3A%2F%2Fwww.webofscience.com%2Fwos%2Fwoscc%2Ffull-record%2FWOS:000971583700001","View Full Record in Web of Science")</f>
        <v>View Full Record in Web of Science</v>
      </c>
    </row>
    <row r="304" spans="1:72" x14ac:dyDescent="0.15">
      <c r="A304" t="s">
        <v>72</v>
      </c>
      <c r="B304" t="s">
        <v>6240</v>
      </c>
      <c r="C304" t="s">
        <v>74</v>
      </c>
      <c r="D304" t="s">
        <v>74</v>
      </c>
      <c r="E304" t="s">
        <v>74</v>
      </c>
      <c r="F304" t="s">
        <v>6241</v>
      </c>
      <c r="G304" t="s">
        <v>74</v>
      </c>
      <c r="H304" t="s">
        <v>74</v>
      </c>
      <c r="I304" t="s">
        <v>6242</v>
      </c>
      <c r="J304" t="s">
        <v>1193</v>
      </c>
      <c r="K304" t="s">
        <v>74</v>
      </c>
      <c r="L304" t="s">
        <v>74</v>
      </c>
      <c r="M304" t="s">
        <v>78</v>
      </c>
      <c r="N304" t="s">
        <v>112</v>
      </c>
      <c r="O304" t="s">
        <v>74</v>
      </c>
      <c r="P304" t="s">
        <v>74</v>
      </c>
      <c r="Q304" t="s">
        <v>74</v>
      </c>
      <c r="R304" t="s">
        <v>74</v>
      </c>
      <c r="S304" t="s">
        <v>74</v>
      </c>
      <c r="T304" t="s">
        <v>6243</v>
      </c>
      <c r="U304" t="s">
        <v>6244</v>
      </c>
      <c r="V304" t="s">
        <v>6245</v>
      </c>
      <c r="W304" t="s">
        <v>6246</v>
      </c>
      <c r="X304" t="s">
        <v>6247</v>
      </c>
      <c r="Y304" t="s">
        <v>6248</v>
      </c>
      <c r="Z304" t="s">
        <v>6249</v>
      </c>
      <c r="AA304" t="s">
        <v>6250</v>
      </c>
      <c r="AB304" t="s">
        <v>6251</v>
      </c>
      <c r="AC304" t="s">
        <v>6252</v>
      </c>
      <c r="AD304" t="s">
        <v>6253</v>
      </c>
      <c r="AE304" t="s">
        <v>6254</v>
      </c>
      <c r="AF304" t="s">
        <v>74</v>
      </c>
      <c r="AG304">
        <v>73</v>
      </c>
      <c r="AH304">
        <v>3</v>
      </c>
      <c r="AI304">
        <v>3</v>
      </c>
      <c r="AJ304">
        <v>18</v>
      </c>
      <c r="AK304">
        <v>47</v>
      </c>
      <c r="AL304" t="s">
        <v>447</v>
      </c>
      <c r="AM304" t="s">
        <v>448</v>
      </c>
      <c r="AN304" t="s">
        <v>449</v>
      </c>
      <c r="AO304" t="s">
        <v>1204</v>
      </c>
      <c r="AP304" t="s">
        <v>1205</v>
      </c>
      <c r="AQ304" t="s">
        <v>74</v>
      </c>
      <c r="AR304" t="s">
        <v>1206</v>
      </c>
      <c r="AS304" t="s">
        <v>1207</v>
      </c>
      <c r="AT304" t="s">
        <v>6255</v>
      </c>
      <c r="AU304">
        <v>2023</v>
      </c>
      <c r="AV304">
        <v>878</v>
      </c>
      <c r="AW304" t="s">
        <v>74</v>
      </c>
      <c r="AX304" t="s">
        <v>74</v>
      </c>
      <c r="AY304" t="s">
        <v>74</v>
      </c>
      <c r="AZ304" t="s">
        <v>74</v>
      </c>
      <c r="BA304" t="s">
        <v>74</v>
      </c>
      <c r="BB304" t="s">
        <v>74</v>
      </c>
      <c r="BC304" t="s">
        <v>74</v>
      </c>
      <c r="BD304">
        <v>163023</v>
      </c>
      <c r="BE304" t="s">
        <v>6256</v>
      </c>
      <c r="BF304" t="str">
        <f>HYPERLINK("http://dx.doi.org/10.1016/j.scitotenv.2023.163023","http://dx.doi.org/10.1016/j.scitotenv.2023.163023")</f>
        <v>http://dx.doi.org/10.1016/j.scitotenv.2023.163023</v>
      </c>
      <c r="BG304" t="s">
        <v>74</v>
      </c>
      <c r="BH304" t="s">
        <v>6218</v>
      </c>
      <c r="BI304">
        <v>8</v>
      </c>
      <c r="BJ304" t="s">
        <v>1163</v>
      </c>
      <c r="BK304" t="s">
        <v>103</v>
      </c>
      <c r="BL304" t="s">
        <v>1164</v>
      </c>
      <c r="BM304" t="s">
        <v>6257</v>
      </c>
      <c r="BN304">
        <v>36990243</v>
      </c>
      <c r="BO304" t="s">
        <v>74</v>
      </c>
      <c r="BP304" t="s">
        <v>74</v>
      </c>
      <c r="BQ304" t="s">
        <v>74</v>
      </c>
      <c r="BR304" t="s">
        <v>106</v>
      </c>
      <c r="BS304" t="s">
        <v>6258</v>
      </c>
      <c r="BT304" t="str">
        <f>HYPERLINK("https%3A%2F%2Fwww.webofscience.com%2Fwos%2Fwoscc%2Ffull-record%2FWOS:000973652800001","View Full Record in Web of Science")</f>
        <v>View Full Record in Web of Science</v>
      </c>
    </row>
    <row r="305" spans="1:72" x14ac:dyDescent="0.15">
      <c r="A305" t="s">
        <v>72</v>
      </c>
      <c r="B305" t="s">
        <v>6259</v>
      </c>
      <c r="C305" t="s">
        <v>74</v>
      </c>
      <c r="D305" t="s">
        <v>74</v>
      </c>
      <c r="E305" t="s">
        <v>74</v>
      </c>
      <c r="F305" t="s">
        <v>6260</v>
      </c>
      <c r="G305" t="s">
        <v>74</v>
      </c>
      <c r="H305" t="s">
        <v>74</v>
      </c>
      <c r="I305" t="s">
        <v>6261</v>
      </c>
      <c r="J305" t="s">
        <v>782</v>
      </c>
      <c r="K305" t="s">
        <v>74</v>
      </c>
      <c r="L305" t="s">
        <v>74</v>
      </c>
      <c r="M305" t="s">
        <v>78</v>
      </c>
      <c r="N305" t="s">
        <v>112</v>
      </c>
      <c r="O305" t="s">
        <v>74</v>
      </c>
      <c r="P305" t="s">
        <v>74</v>
      </c>
      <c r="Q305" t="s">
        <v>74</v>
      </c>
      <c r="R305" t="s">
        <v>74</v>
      </c>
      <c r="S305" t="s">
        <v>74</v>
      </c>
      <c r="T305" t="s">
        <v>74</v>
      </c>
      <c r="U305" t="s">
        <v>6262</v>
      </c>
      <c r="V305" t="s">
        <v>6263</v>
      </c>
      <c r="W305" t="s">
        <v>6264</v>
      </c>
      <c r="X305" t="s">
        <v>6265</v>
      </c>
      <c r="Y305" t="s">
        <v>6266</v>
      </c>
      <c r="Z305" t="s">
        <v>6267</v>
      </c>
      <c r="AA305" t="s">
        <v>74</v>
      </c>
      <c r="AB305" t="s">
        <v>74</v>
      </c>
      <c r="AC305" t="s">
        <v>6268</v>
      </c>
      <c r="AD305" t="s">
        <v>6269</v>
      </c>
      <c r="AE305" t="s">
        <v>6270</v>
      </c>
      <c r="AF305" t="s">
        <v>74</v>
      </c>
      <c r="AG305">
        <v>68</v>
      </c>
      <c r="AH305">
        <v>0</v>
      </c>
      <c r="AI305">
        <v>1</v>
      </c>
      <c r="AJ305">
        <v>3</v>
      </c>
      <c r="AK305">
        <v>7</v>
      </c>
      <c r="AL305" t="s">
        <v>794</v>
      </c>
      <c r="AM305" t="s">
        <v>795</v>
      </c>
      <c r="AN305" t="s">
        <v>796</v>
      </c>
      <c r="AO305" t="s">
        <v>797</v>
      </c>
      <c r="AP305" t="s">
        <v>798</v>
      </c>
      <c r="AQ305" t="s">
        <v>74</v>
      </c>
      <c r="AR305" t="s">
        <v>782</v>
      </c>
      <c r="AS305" t="s">
        <v>799</v>
      </c>
      <c r="AT305" t="s">
        <v>6183</v>
      </c>
      <c r="AU305">
        <v>2023</v>
      </c>
      <c r="AV305">
        <v>17</v>
      </c>
      <c r="AW305">
        <v>3</v>
      </c>
      <c r="AX305" t="s">
        <v>74</v>
      </c>
      <c r="AY305" t="s">
        <v>74</v>
      </c>
      <c r="AZ305" t="s">
        <v>74</v>
      </c>
      <c r="BA305" t="s">
        <v>74</v>
      </c>
      <c r="BB305">
        <v>1389</v>
      </c>
      <c r="BC305">
        <v>1410</v>
      </c>
      <c r="BD305" t="s">
        <v>74</v>
      </c>
      <c r="BE305" t="s">
        <v>6271</v>
      </c>
      <c r="BF305" t="str">
        <f>HYPERLINK("http://dx.doi.org/10.5194/tc-17-1389-2023","http://dx.doi.org/10.5194/tc-17-1389-2023")</f>
        <v>http://dx.doi.org/10.5194/tc-17-1389-2023</v>
      </c>
      <c r="BG305" t="s">
        <v>74</v>
      </c>
      <c r="BH305" t="s">
        <v>74</v>
      </c>
      <c r="BI305">
        <v>22</v>
      </c>
      <c r="BJ305" t="s">
        <v>801</v>
      </c>
      <c r="BK305" t="s">
        <v>103</v>
      </c>
      <c r="BL305" t="s">
        <v>802</v>
      </c>
      <c r="BM305" t="s">
        <v>6272</v>
      </c>
      <c r="BN305" t="s">
        <v>74</v>
      </c>
      <c r="BO305" t="s">
        <v>2600</v>
      </c>
      <c r="BP305" t="s">
        <v>74</v>
      </c>
      <c r="BQ305" t="s">
        <v>74</v>
      </c>
      <c r="BR305" t="s">
        <v>106</v>
      </c>
      <c r="BS305" t="s">
        <v>6273</v>
      </c>
      <c r="BT305" t="str">
        <f>HYPERLINK("https%3A%2F%2Fwww.webofscience.com%2Fwos%2Fwoscc%2Ffull-record%2FWOS:000961061100001","View Full Record in Web of Science")</f>
        <v>View Full Record in Web of Science</v>
      </c>
    </row>
    <row r="306" spans="1:72" x14ac:dyDescent="0.15">
      <c r="A306" t="s">
        <v>72</v>
      </c>
      <c r="B306" t="s">
        <v>6274</v>
      </c>
      <c r="C306" t="s">
        <v>74</v>
      </c>
      <c r="D306" t="s">
        <v>74</v>
      </c>
      <c r="E306" t="s">
        <v>74</v>
      </c>
      <c r="F306" t="s">
        <v>6275</v>
      </c>
      <c r="G306" t="s">
        <v>74</v>
      </c>
      <c r="H306" t="s">
        <v>74</v>
      </c>
      <c r="I306" t="s">
        <v>6276</v>
      </c>
      <c r="J306" t="s">
        <v>6277</v>
      </c>
      <c r="K306" t="s">
        <v>74</v>
      </c>
      <c r="L306" t="s">
        <v>74</v>
      </c>
      <c r="M306" t="s">
        <v>78</v>
      </c>
      <c r="N306" t="s">
        <v>112</v>
      </c>
      <c r="O306" t="s">
        <v>74</v>
      </c>
      <c r="P306" t="s">
        <v>74</v>
      </c>
      <c r="Q306" t="s">
        <v>74</v>
      </c>
      <c r="R306" t="s">
        <v>74</v>
      </c>
      <c r="S306" t="s">
        <v>74</v>
      </c>
      <c r="T306" t="s">
        <v>6278</v>
      </c>
      <c r="U306" t="s">
        <v>6279</v>
      </c>
      <c r="V306" t="s">
        <v>6280</v>
      </c>
      <c r="W306" t="s">
        <v>6281</v>
      </c>
      <c r="X306" t="s">
        <v>6282</v>
      </c>
      <c r="Y306" t="s">
        <v>6283</v>
      </c>
      <c r="Z306" t="s">
        <v>6284</v>
      </c>
      <c r="AA306" t="s">
        <v>74</v>
      </c>
      <c r="AB306" t="s">
        <v>74</v>
      </c>
      <c r="AC306" t="s">
        <v>74</v>
      </c>
      <c r="AD306" t="s">
        <v>74</v>
      </c>
      <c r="AE306" t="s">
        <v>74</v>
      </c>
      <c r="AF306" t="s">
        <v>74</v>
      </c>
      <c r="AG306">
        <v>38</v>
      </c>
      <c r="AH306">
        <v>0</v>
      </c>
      <c r="AI306">
        <v>0</v>
      </c>
      <c r="AJ306">
        <v>2</v>
      </c>
      <c r="AK306">
        <v>12</v>
      </c>
      <c r="AL306" t="s">
        <v>768</v>
      </c>
      <c r="AM306" t="s">
        <v>179</v>
      </c>
      <c r="AN306" t="s">
        <v>769</v>
      </c>
      <c r="AO306" t="s">
        <v>6285</v>
      </c>
      <c r="AP306" t="s">
        <v>74</v>
      </c>
      <c r="AQ306" t="s">
        <v>74</v>
      </c>
      <c r="AR306" t="s">
        <v>6286</v>
      </c>
      <c r="AS306" t="s">
        <v>6287</v>
      </c>
      <c r="AT306" t="s">
        <v>6183</v>
      </c>
      <c r="AU306">
        <v>2023</v>
      </c>
      <c r="AV306">
        <v>2023</v>
      </c>
      <c r="AW306">
        <v>1</v>
      </c>
      <c r="AX306" t="s">
        <v>74</v>
      </c>
      <c r="AY306" t="s">
        <v>74</v>
      </c>
      <c r="AZ306" t="s">
        <v>74</v>
      </c>
      <c r="BA306" t="s">
        <v>74</v>
      </c>
      <c r="BB306" t="s">
        <v>74</v>
      </c>
      <c r="BC306" t="s">
        <v>74</v>
      </c>
      <c r="BD306">
        <v>33</v>
      </c>
      <c r="BE306" t="s">
        <v>6288</v>
      </c>
      <c r="BF306" t="str">
        <f>HYPERLINK("http://dx.doi.org/10.1186/s13661-023-01720-7","http://dx.doi.org/10.1186/s13661-023-01720-7")</f>
        <v>http://dx.doi.org/10.1186/s13661-023-01720-7</v>
      </c>
      <c r="BG306" t="s">
        <v>74</v>
      </c>
      <c r="BH306" t="s">
        <v>74</v>
      </c>
      <c r="BI306">
        <v>19</v>
      </c>
      <c r="BJ306" t="s">
        <v>6289</v>
      </c>
      <c r="BK306" t="s">
        <v>103</v>
      </c>
      <c r="BL306" t="s">
        <v>3746</v>
      </c>
      <c r="BM306" t="s">
        <v>6290</v>
      </c>
      <c r="BN306" t="s">
        <v>74</v>
      </c>
      <c r="BO306" t="s">
        <v>359</v>
      </c>
      <c r="BP306" t="s">
        <v>74</v>
      </c>
      <c r="BQ306" t="s">
        <v>74</v>
      </c>
      <c r="BR306" t="s">
        <v>106</v>
      </c>
      <c r="BS306" t="s">
        <v>6291</v>
      </c>
      <c r="BT306" t="str">
        <f>HYPERLINK("https%3A%2F%2Fwww.webofscience.com%2Fwos%2Fwoscc%2Ffull-record%2FWOS:000961575700002","View Full Record in Web of Science")</f>
        <v>View Full Record in Web of Science</v>
      </c>
    </row>
    <row r="307" spans="1:72" x14ac:dyDescent="0.15">
      <c r="A307" t="s">
        <v>72</v>
      </c>
      <c r="B307" t="s">
        <v>6292</v>
      </c>
      <c r="C307" t="s">
        <v>74</v>
      </c>
      <c r="D307" t="s">
        <v>74</v>
      </c>
      <c r="E307" t="s">
        <v>74</v>
      </c>
      <c r="F307" t="s">
        <v>6293</v>
      </c>
      <c r="G307" t="s">
        <v>74</v>
      </c>
      <c r="H307" t="s">
        <v>74</v>
      </c>
      <c r="I307" t="s">
        <v>6294</v>
      </c>
      <c r="J307" t="s">
        <v>1025</v>
      </c>
      <c r="K307" t="s">
        <v>74</v>
      </c>
      <c r="L307" t="s">
        <v>74</v>
      </c>
      <c r="M307" t="s">
        <v>78</v>
      </c>
      <c r="N307" t="s">
        <v>112</v>
      </c>
      <c r="O307" t="s">
        <v>74</v>
      </c>
      <c r="P307" t="s">
        <v>74</v>
      </c>
      <c r="Q307" t="s">
        <v>74</v>
      </c>
      <c r="R307" t="s">
        <v>74</v>
      </c>
      <c r="S307" t="s">
        <v>74</v>
      </c>
      <c r="T307" t="s">
        <v>74</v>
      </c>
      <c r="U307" t="s">
        <v>6295</v>
      </c>
      <c r="V307" t="s">
        <v>6296</v>
      </c>
      <c r="W307" t="s">
        <v>6297</v>
      </c>
      <c r="X307" t="s">
        <v>6298</v>
      </c>
      <c r="Y307" t="s">
        <v>6299</v>
      </c>
      <c r="Z307" t="s">
        <v>6300</v>
      </c>
      <c r="AA307" t="s">
        <v>74</v>
      </c>
      <c r="AB307" t="s">
        <v>74</v>
      </c>
      <c r="AC307" t="s">
        <v>6301</v>
      </c>
      <c r="AD307" t="s">
        <v>6302</v>
      </c>
      <c r="AE307" t="s">
        <v>6303</v>
      </c>
      <c r="AF307" t="s">
        <v>74</v>
      </c>
      <c r="AG307">
        <v>63</v>
      </c>
      <c r="AH307">
        <v>1</v>
      </c>
      <c r="AI307">
        <v>1</v>
      </c>
      <c r="AJ307">
        <v>0</v>
      </c>
      <c r="AK307">
        <v>8</v>
      </c>
      <c r="AL307" t="s">
        <v>794</v>
      </c>
      <c r="AM307" t="s">
        <v>795</v>
      </c>
      <c r="AN307" t="s">
        <v>796</v>
      </c>
      <c r="AO307" t="s">
        <v>1036</v>
      </c>
      <c r="AP307" t="s">
        <v>1037</v>
      </c>
      <c r="AQ307" t="s">
        <v>74</v>
      </c>
      <c r="AR307" t="s">
        <v>1038</v>
      </c>
      <c r="AS307" t="s">
        <v>1039</v>
      </c>
      <c r="AT307" t="s">
        <v>6183</v>
      </c>
      <c r="AU307">
        <v>2023</v>
      </c>
      <c r="AV307">
        <v>19</v>
      </c>
      <c r="AW307">
        <v>3</v>
      </c>
      <c r="AX307" t="s">
        <v>74</v>
      </c>
      <c r="AY307" t="s">
        <v>74</v>
      </c>
      <c r="AZ307" t="s">
        <v>74</v>
      </c>
      <c r="BA307" t="s">
        <v>74</v>
      </c>
      <c r="BB307">
        <v>731</v>
      </c>
      <c r="BC307">
        <v>745</v>
      </c>
      <c r="BD307" t="s">
        <v>74</v>
      </c>
      <c r="BE307" t="s">
        <v>6304</v>
      </c>
      <c r="BF307" t="str">
        <f>HYPERLINK("http://dx.doi.org/10.5194/cp-19-731-2023","http://dx.doi.org/10.5194/cp-19-731-2023")</f>
        <v>http://dx.doi.org/10.5194/cp-19-731-2023</v>
      </c>
      <c r="BG307" t="s">
        <v>74</v>
      </c>
      <c r="BH307" t="s">
        <v>74</v>
      </c>
      <c r="BI307">
        <v>15</v>
      </c>
      <c r="BJ307" t="s">
        <v>1041</v>
      </c>
      <c r="BK307" t="s">
        <v>103</v>
      </c>
      <c r="BL307" t="s">
        <v>1042</v>
      </c>
      <c r="BM307" t="s">
        <v>6305</v>
      </c>
      <c r="BN307" t="s">
        <v>74</v>
      </c>
      <c r="BO307" t="s">
        <v>3241</v>
      </c>
      <c r="BP307" t="s">
        <v>74</v>
      </c>
      <c r="BQ307" t="s">
        <v>74</v>
      </c>
      <c r="BR307" t="s">
        <v>106</v>
      </c>
      <c r="BS307" t="s">
        <v>6306</v>
      </c>
      <c r="BT307" t="str">
        <f>HYPERLINK("https%3A%2F%2Fwww.webofscience.com%2Fwos%2Fwoscc%2Ffull-record%2FWOS:000961486700001","View Full Record in Web of Science")</f>
        <v>View Full Record in Web of Science</v>
      </c>
    </row>
    <row r="308" spans="1:72" x14ac:dyDescent="0.15">
      <c r="A308" t="s">
        <v>72</v>
      </c>
      <c r="B308" t="s">
        <v>6307</v>
      </c>
      <c r="C308" t="s">
        <v>74</v>
      </c>
      <c r="D308" t="s">
        <v>74</v>
      </c>
      <c r="E308" t="s">
        <v>74</v>
      </c>
      <c r="F308" t="s">
        <v>6308</v>
      </c>
      <c r="G308" t="s">
        <v>74</v>
      </c>
      <c r="H308" t="s">
        <v>74</v>
      </c>
      <c r="I308" t="s">
        <v>6309</v>
      </c>
      <c r="J308" t="s">
        <v>6310</v>
      </c>
      <c r="K308" t="s">
        <v>74</v>
      </c>
      <c r="L308" t="s">
        <v>74</v>
      </c>
      <c r="M308" t="s">
        <v>78</v>
      </c>
      <c r="N308" t="s">
        <v>112</v>
      </c>
      <c r="O308" t="s">
        <v>74</v>
      </c>
      <c r="P308" t="s">
        <v>74</v>
      </c>
      <c r="Q308" t="s">
        <v>74</v>
      </c>
      <c r="R308" t="s">
        <v>74</v>
      </c>
      <c r="S308" t="s">
        <v>74</v>
      </c>
      <c r="T308" t="s">
        <v>74</v>
      </c>
      <c r="U308" t="s">
        <v>6311</v>
      </c>
      <c r="V308" t="s">
        <v>6312</v>
      </c>
      <c r="W308" t="s">
        <v>6313</v>
      </c>
      <c r="X308" t="s">
        <v>1151</v>
      </c>
      <c r="Y308" t="s">
        <v>6314</v>
      </c>
      <c r="Z308" t="s">
        <v>6315</v>
      </c>
      <c r="AA308" t="s">
        <v>6316</v>
      </c>
      <c r="AB308" t="s">
        <v>6317</v>
      </c>
      <c r="AC308" t="s">
        <v>6318</v>
      </c>
      <c r="AD308" t="s">
        <v>6319</v>
      </c>
      <c r="AE308" t="s">
        <v>6320</v>
      </c>
      <c r="AF308" t="s">
        <v>74</v>
      </c>
      <c r="AG308">
        <v>53</v>
      </c>
      <c r="AH308">
        <v>3</v>
      </c>
      <c r="AI308">
        <v>3</v>
      </c>
      <c r="AJ308">
        <v>12</v>
      </c>
      <c r="AK308">
        <v>19</v>
      </c>
      <c r="AL308" t="s">
        <v>6321</v>
      </c>
      <c r="AM308" t="s">
        <v>1102</v>
      </c>
      <c r="AN308" t="s">
        <v>6322</v>
      </c>
      <c r="AO308" t="s">
        <v>6323</v>
      </c>
      <c r="AP308" t="s">
        <v>6324</v>
      </c>
      <c r="AQ308" t="s">
        <v>74</v>
      </c>
      <c r="AR308" t="s">
        <v>6325</v>
      </c>
      <c r="AS308" t="s">
        <v>6326</v>
      </c>
      <c r="AT308" t="s">
        <v>1482</v>
      </c>
      <c r="AU308">
        <v>2023</v>
      </c>
      <c r="AV308">
        <v>14</v>
      </c>
      <c r="AW308">
        <v>8</v>
      </c>
      <c r="AX308" t="s">
        <v>74</v>
      </c>
      <c r="AY308" t="s">
        <v>74</v>
      </c>
      <c r="AZ308" t="s">
        <v>74</v>
      </c>
      <c r="BA308" t="s">
        <v>74</v>
      </c>
      <c r="BB308">
        <v>3526</v>
      </c>
      <c r="BC308">
        <v>3537</v>
      </c>
      <c r="BD308" t="s">
        <v>74</v>
      </c>
      <c r="BE308" t="s">
        <v>6327</v>
      </c>
      <c r="BF308" t="str">
        <f>HYPERLINK("http://dx.doi.org/10.1039/d2fo03269d","http://dx.doi.org/10.1039/d2fo03269d")</f>
        <v>http://dx.doi.org/10.1039/d2fo03269d</v>
      </c>
      <c r="BG308" t="s">
        <v>74</v>
      </c>
      <c r="BH308" t="s">
        <v>6218</v>
      </c>
      <c r="BI308">
        <v>12</v>
      </c>
      <c r="BJ308" t="s">
        <v>6328</v>
      </c>
      <c r="BK308" t="s">
        <v>103</v>
      </c>
      <c r="BL308" t="s">
        <v>6328</v>
      </c>
      <c r="BM308" t="s">
        <v>6329</v>
      </c>
      <c r="BN308">
        <v>37014333</v>
      </c>
      <c r="BO308" t="s">
        <v>74</v>
      </c>
      <c r="BP308" t="s">
        <v>74</v>
      </c>
      <c r="BQ308" t="s">
        <v>74</v>
      </c>
      <c r="BR308" t="s">
        <v>106</v>
      </c>
      <c r="BS308" t="s">
        <v>6330</v>
      </c>
      <c r="BT308" t="str">
        <f>HYPERLINK("https%3A%2F%2Fwww.webofscience.com%2Fwos%2Fwoscc%2Ffull-record%2FWOS:000962582900001","View Full Record in Web of Science")</f>
        <v>View Full Record in Web of Science</v>
      </c>
    </row>
    <row r="309" spans="1:72" x14ac:dyDescent="0.15">
      <c r="A309" t="s">
        <v>72</v>
      </c>
      <c r="B309" t="s">
        <v>6331</v>
      </c>
      <c r="C309" t="s">
        <v>74</v>
      </c>
      <c r="D309" t="s">
        <v>74</v>
      </c>
      <c r="E309" t="s">
        <v>74</v>
      </c>
      <c r="F309" t="s">
        <v>6332</v>
      </c>
      <c r="G309" t="s">
        <v>74</v>
      </c>
      <c r="H309" t="s">
        <v>74</v>
      </c>
      <c r="I309" t="s">
        <v>6333</v>
      </c>
      <c r="J309" t="s">
        <v>1491</v>
      </c>
      <c r="K309" t="s">
        <v>74</v>
      </c>
      <c r="L309" t="s">
        <v>74</v>
      </c>
      <c r="M309" t="s">
        <v>78</v>
      </c>
      <c r="N309" t="s">
        <v>79</v>
      </c>
      <c r="O309" t="s">
        <v>74</v>
      </c>
      <c r="P309" t="s">
        <v>74</v>
      </c>
      <c r="Q309" t="s">
        <v>74</v>
      </c>
      <c r="R309" t="s">
        <v>74</v>
      </c>
      <c r="S309" t="s">
        <v>74</v>
      </c>
      <c r="T309" t="s">
        <v>6334</v>
      </c>
      <c r="U309" t="s">
        <v>6335</v>
      </c>
      <c r="V309" t="s">
        <v>6336</v>
      </c>
      <c r="W309" t="s">
        <v>74</v>
      </c>
      <c r="X309" t="s">
        <v>74</v>
      </c>
      <c r="Y309" t="s">
        <v>74</v>
      </c>
      <c r="Z309" t="s">
        <v>74</v>
      </c>
      <c r="AA309" t="s">
        <v>74</v>
      </c>
      <c r="AB309" t="s">
        <v>74</v>
      </c>
      <c r="AC309" t="s">
        <v>74</v>
      </c>
      <c r="AD309" t="s">
        <v>74</v>
      </c>
      <c r="AE309" t="s">
        <v>74</v>
      </c>
      <c r="AF309" t="s">
        <v>74</v>
      </c>
      <c r="AG309">
        <v>19</v>
      </c>
      <c r="AH309">
        <v>0</v>
      </c>
      <c r="AI309">
        <v>0</v>
      </c>
      <c r="AJ309">
        <v>6</v>
      </c>
      <c r="AK309">
        <v>8</v>
      </c>
      <c r="AL309" t="s">
        <v>203</v>
      </c>
      <c r="AM309" t="s">
        <v>204</v>
      </c>
      <c r="AN309" t="s">
        <v>205</v>
      </c>
      <c r="AO309" t="s">
        <v>1502</v>
      </c>
      <c r="AP309" t="s">
        <v>1503</v>
      </c>
      <c r="AQ309" t="s">
        <v>74</v>
      </c>
      <c r="AR309" t="s">
        <v>1491</v>
      </c>
      <c r="AS309" t="s">
        <v>1504</v>
      </c>
      <c r="AT309" t="s">
        <v>6337</v>
      </c>
      <c r="AU309">
        <v>2023</v>
      </c>
      <c r="AV309">
        <v>615</v>
      </c>
      <c r="AW309">
        <v>7954</v>
      </c>
      <c r="AX309" t="s">
        <v>74</v>
      </c>
      <c r="AY309" t="s">
        <v>74</v>
      </c>
      <c r="AZ309" t="s">
        <v>74</v>
      </c>
      <c r="BA309" t="s">
        <v>74</v>
      </c>
      <c r="BB309">
        <v>799</v>
      </c>
      <c r="BC309">
        <v>800</v>
      </c>
      <c r="BD309" t="s">
        <v>74</v>
      </c>
      <c r="BE309" t="s">
        <v>6338</v>
      </c>
      <c r="BF309" t="str">
        <f>HYPERLINK("http://dx.doi.org/10.1038/d41586-023-00835-2","http://dx.doi.org/10.1038/d41586-023-00835-2")</f>
        <v>http://dx.doi.org/10.1038/d41586-023-00835-2</v>
      </c>
      <c r="BG309" t="s">
        <v>74</v>
      </c>
      <c r="BH309" t="s">
        <v>74</v>
      </c>
      <c r="BI309">
        <v>2</v>
      </c>
      <c r="BJ309" t="s">
        <v>210</v>
      </c>
      <c r="BK309" t="s">
        <v>103</v>
      </c>
      <c r="BL309" t="s">
        <v>211</v>
      </c>
      <c r="BM309" t="s">
        <v>6339</v>
      </c>
      <c r="BN309">
        <v>36991185</v>
      </c>
      <c r="BO309" t="s">
        <v>74</v>
      </c>
      <c r="BP309" t="s">
        <v>74</v>
      </c>
      <c r="BQ309" t="s">
        <v>74</v>
      </c>
      <c r="BR309" t="s">
        <v>106</v>
      </c>
      <c r="BS309" t="s">
        <v>6340</v>
      </c>
      <c r="BT309" t="str">
        <f>HYPERLINK("https%3A%2F%2Fwww.webofscience.com%2Fwos%2Fwoscc%2Ffull-record%2FWOS:001065566700007","View Full Record in Web of Science")</f>
        <v>View Full Record in Web of Science</v>
      </c>
    </row>
    <row r="310" spans="1:72" x14ac:dyDescent="0.15">
      <c r="A310" t="s">
        <v>72</v>
      </c>
      <c r="B310" t="s">
        <v>6341</v>
      </c>
      <c r="C310" t="s">
        <v>74</v>
      </c>
      <c r="D310" t="s">
        <v>74</v>
      </c>
      <c r="E310" t="s">
        <v>74</v>
      </c>
      <c r="F310" t="s">
        <v>6342</v>
      </c>
      <c r="G310" t="s">
        <v>74</v>
      </c>
      <c r="H310" t="s">
        <v>74</v>
      </c>
      <c r="I310" t="s">
        <v>6343</v>
      </c>
      <c r="J310" t="s">
        <v>1491</v>
      </c>
      <c r="K310" t="s">
        <v>74</v>
      </c>
      <c r="L310" t="s">
        <v>74</v>
      </c>
      <c r="M310" t="s">
        <v>78</v>
      </c>
      <c r="N310" t="s">
        <v>112</v>
      </c>
      <c r="O310" t="s">
        <v>74</v>
      </c>
      <c r="P310" t="s">
        <v>74</v>
      </c>
      <c r="Q310" t="s">
        <v>74</v>
      </c>
      <c r="R310" t="s">
        <v>74</v>
      </c>
      <c r="S310" t="s">
        <v>74</v>
      </c>
      <c r="T310" t="s">
        <v>74</v>
      </c>
      <c r="U310" t="s">
        <v>6344</v>
      </c>
      <c r="V310" t="s">
        <v>6345</v>
      </c>
      <c r="W310" t="s">
        <v>6346</v>
      </c>
      <c r="X310" t="s">
        <v>6347</v>
      </c>
      <c r="Y310" t="s">
        <v>6348</v>
      </c>
      <c r="Z310" t="s">
        <v>6349</v>
      </c>
      <c r="AA310" t="s">
        <v>6350</v>
      </c>
      <c r="AB310" t="s">
        <v>6351</v>
      </c>
      <c r="AC310" t="s">
        <v>6352</v>
      </c>
      <c r="AD310" t="s">
        <v>6353</v>
      </c>
      <c r="AE310" t="s">
        <v>6354</v>
      </c>
      <c r="AF310" t="s">
        <v>74</v>
      </c>
      <c r="AG310">
        <v>73</v>
      </c>
      <c r="AH310">
        <v>44</v>
      </c>
      <c r="AI310">
        <v>46</v>
      </c>
      <c r="AJ310">
        <v>44</v>
      </c>
      <c r="AK310">
        <v>68</v>
      </c>
      <c r="AL310" t="s">
        <v>203</v>
      </c>
      <c r="AM310" t="s">
        <v>204</v>
      </c>
      <c r="AN310" t="s">
        <v>205</v>
      </c>
      <c r="AO310" t="s">
        <v>1502</v>
      </c>
      <c r="AP310" t="s">
        <v>1503</v>
      </c>
      <c r="AQ310" t="s">
        <v>74</v>
      </c>
      <c r="AR310" t="s">
        <v>1491</v>
      </c>
      <c r="AS310" t="s">
        <v>1504</v>
      </c>
      <c r="AT310" t="s">
        <v>6337</v>
      </c>
      <c r="AU310">
        <v>2023</v>
      </c>
      <c r="AV310">
        <v>615</v>
      </c>
      <c r="AW310">
        <v>7954</v>
      </c>
      <c r="AX310" t="s">
        <v>74</v>
      </c>
      <c r="AY310" t="s">
        <v>74</v>
      </c>
      <c r="AZ310" t="s">
        <v>74</v>
      </c>
      <c r="BA310" t="s">
        <v>74</v>
      </c>
      <c r="BB310">
        <v>841</v>
      </c>
      <c r="BC310" t="s">
        <v>1385</v>
      </c>
      <c r="BD310" t="s">
        <v>74</v>
      </c>
      <c r="BE310" t="s">
        <v>6355</v>
      </c>
      <c r="BF310" t="str">
        <f>HYPERLINK("http://dx.doi.org/10.1038/s41586-023-05762-w","http://dx.doi.org/10.1038/s41586-023-05762-w")</f>
        <v>http://dx.doi.org/10.1038/s41586-023-05762-w</v>
      </c>
      <c r="BG310" t="s">
        <v>74</v>
      </c>
      <c r="BH310" t="s">
        <v>74</v>
      </c>
      <c r="BI310">
        <v>23</v>
      </c>
      <c r="BJ310" t="s">
        <v>210</v>
      </c>
      <c r="BK310" t="s">
        <v>103</v>
      </c>
      <c r="BL310" t="s">
        <v>211</v>
      </c>
      <c r="BM310" t="s">
        <v>6356</v>
      </c>
      <c r="BN310">
        <v>36991191</v>
      </c>
      <c r="BO310" t="s">
        <v>74</v>
      </c>
      <c r="BP310" t="s">
        <v>1849</v>
      </c>
      <c r="BQ310" t="s">
        <v>1849</v>
      </c>
      <c r="BR310" t="s">
        <v>106</v>
      </c>
      <c r="BS310" t="s">
        <v>6357</v>
      </c>
      <c r="BT310" t="str">
        <f>HYPERLINK("https%3A%2F%2Fwww.webofscience.com%2Fwos%2Fwoscc%2Ffull-record%2FWOS:000991384600002","View Full Record in Web of Science")</f>
        <v>View Full Record in Web of Science</v>
      </c>
    </row>
    <row r="311" spans="1:72" x14ac:dyDescent="0.15">
      <c r="A311" t="s">
        <v>72</v>
      </c>
      <c r="B311" t="s">
        <v>6358</v>
      </c>
      <c r="C311" t="s">
        <v>74</v>
      </c>
      <c r="D311" t="s">
        <v>74</v>
      </c>
      <c r="E311" t="s">
        <v>74</v>
      </c>
      <c r="F311" t="s">
        <v>6359</v>
      </c>
      <c r="G311" t="s">
        <v>74</v>
      </c>
      <c r="H311" t="s">
        <v>74</v>
      </c>
      <c r="I311" t="s">
        <v>6360</v>
      </c>
      <c r="J311" t="s">
        <v>1707</v>
      </c>
      <c r="K311" t="s">
        <v>74</v>
      </c>
      <c r="L311" t="s">
        <v>74</v>
      </c>
      <c r="M311" t="s">
        <v>78</v>
      </c>
      <c r="N311" t="s">
        <v>365</v>
      </c>
      <c r="O311" t="s">
        <v>74</v>
      </c>
      <c r="P311" t="s">
        <v>74</v>
      </c>
      <c r="Q311" t="s">
        <v>74</v>
      </c>
      <c r="R311" t="s">
        <v>74</v>
      </c>
      <c r="S311" t="s">
        <v>74</v>
      </c>
      <c r="T311" t="s">
        <v>6361</v>
      </c>
      <c r="U311" t="s">
        <v>6362</v>
      </c>
      <c r="V311" t="s">
        <v>6363</v>
      </c>
      <c r="W311" t="s">
        <v>6364</v>
      </c>
      <c r="X311" t="s">
        <v>6365</v>
      </c>
      <c r="Y311" t="s">
        <v>6366</v>
      </c>
      <c r="Z311" t="s">
        <v>6367</v>
      </c>
      <c r="AA311" t="s">
        <v>74</v>
      </c>
      <c r="AB311" t="s">
        <v>74</v>
      </c>
      <c r="AC311" t="s">
        <v>6368</v>
      </c>
      <c r="AD311" t="s">
        <v>6369</v>
      </c>
      <c r="AE311" t="s">
        <v>6370</v>
      </c>
      <c r="AF311" t="s">
        <v>74</v>
      </c>
      <c r="AG311">
        <v>78</v>
      </c>
      <c r="AH311">
        <v>1</v>
      </c>
      <c r="AI311">
        <v>1</v>
      </c>
      <c r="AJ311">
        <v>4</v>
      </c>
      <c r="AK311">
        <v>11</v>
      </c>
      <c r="AL311" t="s">
        <v>225</v>
      </c>
      <c r="AM311" t="s">
        <v>226</v>
      </c>
      <c r="AN311" t="s">
        <v>227</v>
      </c>
      <c r="AO311" t="s">
        <v>1719</v>
      </c>
      <c r="AP311" t="s">
        <v>1720</v>
      </c>
      <c r="AQ311" t="s">
        <v>74</v>
      </c>
      <c r="AR311" t="s">
        <v>1721</v>
      </c>
      <c r="AS311" t="s">
        <v>1722</v>
      </c>
      <c r="AT311" t="s">
        <v>6371</v>
      </c>
      <c r="AU311">
        <v>2023</v>
      </c>
      <c r="AV311">
        <v>213</v>
      </c>
      <c r="AW311" t="s">
        <v>74</v>
      </c>
      <c r="AX311" t="s">
        <v>74</v>
      </c>
      <c r="AY311" t="s">
        <v>74</v>
      </c>
      <c r="AZ311" t="s">
        <v>74</v>
      </c>
      <c r="BA311" t="s">
        <v>74</v>
      </c>
      <c r="BB311" t="s">
        <v>74</v>
      </c>
      <c r="BC311" t="s">
        <v>74</v>
      </c>
      <c r="BD311">
        <v>103020</v>
      </c>
      <c r="BE311" t="s">
        <v>6372</v>
      </c>
      <c r="BF311" t="str">
        <f>HYPERLINK("http://dx.doi.org/10.1016/j.pocean.2023.103020","http://dx.doi.org/10.1016/j.pocean.2023.103020")</f>
        <v>http://dx.doi.org/10.1016/j.pocean.2023.103020</v>
      </c>
      <c r="BG311" t="s">
        <v>74</v>
      </c>
      <c r="BH311" t="s">
        <v>6218</v>
      </c>
      <c r="BI311">
        <v>13</v>
      </c>
      <c r="BJ311" t="s">
        <v>863</v>
      </c>
      <c r="BK311" t="s">
        <v>103</v>
      </c>
      <c r="BL311" t="s">
        <v>863</v>
      </c>
      <c r="BM311" t="s">
        <v>6373</v>
      </c>
      <c r="BN311" t="s">
        <v>74</v>
      </c>
      <c r="BO311" t="s">
        <v>74</v>
      </c>
      <c r="BP311" t="s">
        <v>74</v>
      </c>
      <c r="BQ311" t="s">
        <v>74</v>
      </c>
      <c r="BR311" t="s">
        <v>106</v>
      </c>
      <c r="BS311" t="s">
        <v>6374</v>
      </c>
      <c r="BT311" t="str">
        <f>HYPERLINK("https%3A%2F%2Fwww.webofscience.com%2Fwos%2Fwoscc%2Ffull-record%2FWOS:000972514700001","View Full Record in Web of Science")</f>
        <v>View Full Record in Web of Science</v>
      </c>
    </row>
    <row r="312" spans="1:72" x14ac:dyDescent="0.15">
      <c r="A312" t="s">
        <v>72</v>
      </c>
      <c r="B312" t="s">
        <v>6375</v>
      </c>
      <c r="C312" t="s">
        <v>74</v>
      </c>
      <c r="D312" t="s">
        <v>74</v>
      </c>
      <c r="E312" t="s">
        <v>74</v>
      </c>
      <c r="F312" t="s">
        <v>6376</v>
      </c>
      <c r="G312" t="s">
        <v>74</v>
      </c>
      <c r="H312" t="s">
        <v>74</v>
      </c>
      <c r="I312" t="s">
        <v>6377</v>
      </c>
      <c r="J312" t="s">
        <v>1048</v>
      </c>
      <c r="K312" t="s">
        <v>74</v>
      </c>
      <c r="L312" t="s">
        <v>74</v>
      </c>
      <c r="M312" t="s">
        <v>78</v>
      </c>
      <c r="N312" t="s">
        <v>112</v>
      </c>
      <c r="O312" t="s">
        <v>74</v>
      </c>
      <c r="P312" t="s">
        <v>74</v>
      </c>
      <c r="Q312" t="s">
        <v>74</v>
      </c>
      <c r="R312" t="s">
        <v>74</v>
      </c>
      <c r="S312" t="s">
        <v>74</v>
      </c>
      <c r="T312" t="s">
        <v>6378</v>
      </c>
      <c r="U312" t="s">
        <v>6379</v>
      </c>
      <c r="V312" t="s">
        <v>6380</v>
      </c>
      <c r="W312" t="s">
        <v>6381</v>
      </c>
      <c r="X312" t="s">
        <v>6382</v>
      </c>
      <c r="Y312" t="s">
        <v>6383</v>
      </c>
      <c r="Z312" t="s">
        <v>6384</v>
      </c>
      <c r="AA312" t="s">
        <v>6385</v>
      </c>
      <c r="AB312" t="s">
        <v>6386</v>
      </c>
      <c r="AC312" t="s">
        <v>6387</v>
      </c>
      <c r="AD312" t="s">
        <v>6388</v>
      </c>
      <c r="AE312" t="s">
        <v>6389</v>
      </c>
      <c r="AF312" t="s">
        <v>74</v>
      </c>
      <c r="AG312">
        <v>72</v>
      </c>
      <c r="AH312">
        <v>2</v>
      </c>
      <c r="AI312">
        <v>2</v>
      </c>
      <c r="AJ312">
        <v>11</v>
      </c>
      <c r="AK312">
        <v>40</v>
      </c>
      <c r="AL312" t="s">
        <v>447</v>
      </c>
      <c r="AM312" t="s">
        <v>448</v>
      </c>
      <c r="AN312" t="s">
        <v>449</v>
      </c>
      <c r="AO312" t="s">
        <v>1060</v>
      </c>
      <c r="AP312" t="s">
        <v>1061</v>
      </c>
      <c r="AQ312" t="s">
        <v>74</v>
      </c>
      <c r="AR312" t="s">
        <v>1048</v>
      </c>
      <c r="AS312" t="s">
        <v>1062</v>
      </c>
      <c r="AT312" t="s">
        <v>1208</v>
      </c>
      <c r="AU312">
        <v>2023</v>
      </c>
      <c r="AV312">
        <v>572</v>
      </c>
      <c r="AW312" t="s">
        <v>74</v>
      </c>
      <c r="AX312" t="s">
        <v>74</v>
      </c>
      <c r="AY312" t="s">
        <v>74</v>
      </c>
      <c r="AZ312" t="s">
        <v>74</v>
      </c>
      <c r="BA312" t="s">
        <v>74</v>
      </c>
      <c r="BB312" t="s">
        <v>74</v>
      </c>
      <c r="BC312" t="s">
        <v>74</v>
      </c>
      <c r="BD312">
        <v>739518</v>
      </c>
      <c r="BE312" t="s">
        <v>6390</v>
      </c>
      <c r="BF312" t="str">
        <f>HYPERLINK("http://dx.doi.org/10.1016/j.aquaculture.2023.739518","http://dx.doi.org/10.1016/j.aquaculture.2023.739518")</f>
        <v>http://dx.doi.org/10.1016/j.aquaculture.2023.739518</v>
      </c>
      <c r="BG312" t="s">
        <v>74</v>
      </c>
      <c r="BH312" t="s">
        <v>6218</v>
      </c>
      <c r="BI312">
        <v>16</v>
      </c>
      <c r="BJ312" t="s">
        <v>1065</v>
      </c>
      <c r="BK312" t="s">
        <v>103</v>
      </c>
      <c r="BL312" t="s">
        <v>1065</v>
      </c>
      <c r="BM312" t="s">
        <v>6391</v>
      </c>
      <c r="BN312" t="s">
        <v>74</v>
      </c>
      <c r="BO312" t="s">
        <v>74</v>
      </c>
      <c r="BP312" t="s">
        <v>74</v>
      </c>
      <c r="BQ312" t="s">
        <v>74</v>
      </c>
      <c r="BR312" t="s">
        <v>106</v>
      </c>
      <c r="BS312" t="s">
        <v>6392</v>
      </c>
      <c r="BT312" t="str">
        <f>HYPERLINK("https%3A%2F%2Fwww.webofscience.com%2Fwos%2Fwoscc%2Ffull-record%2FWOS:000968222000001","View Full Record in Web of Science")</f>
        <v>View Full Record in Web of Science</v>
      </c>
    </row>
    <row r="313" spans="1:72" x14ac:dyDescent="0.15">
      <c r="A313" t="s">
        <v>72</v>
      </c>
      <c r="B313" t="s">
        <v>6393</v>
      </c>
      <c r="C313" t="s">
        <v>74</v>
      </c>
      <c r="D313" t="s">
        <v>74</v>
      </c>
      <c r="E313" t="s">
        <v>74</v>
      </c>
      <c r="F313" t="s">
        <v>6394</v>
      </c>
      <c r="G313" t="s">
        <v>74</v>
      </c>
      <c r="H313" t="s">
        <v>74</v>
      </c>
      <c r="I313" t="s">
        <v>6395</v>
      </c>
      <c r="J313" t="s">
        <v>6396</v>
      </c>
      <c r="K313" t="s">
        <v>74</v>
      </c>
      <c r="L313" t="s">
        <v>74</v>
      </c>
      <c r="M313" t="s">
        <v>78</v>
      </c>
      <c r="N313" t="s">
        <v>112</v>
      </c>
      <c r="O313" t="s">
        <v>74</v>
      </c>
      <c r="P313" t="s">
        <v>74</v>
      </c>
      <c r="Q313" t="s">
        <v>74</v>
      </c>
      <c r="R313" t="s">
        <v>74</v>
      </c>
      <c r="S313" t="s">
        <v>74</v>
      </c>
      <c r="T313" t="s">
        <v>74</v>
      </c>
      <c r="U313" t="s">
        <v>6397</v>
      </c>
      <c r="V313" t="s">
        <v>6398</v>
      </c>
      <c r="W313" t="s">
        <v>6399</v>
      </c>
      <c r="X313" t="s">
        <v>6400</v>
      </c>
      <c r="Y313" t="s">
        <v>6401</v>
      </c>
      <c r="Z313" t="s">
        <v>6402</v>
      </c>
      <c r="AA313" t="s">
        <v>6403</v>
      </c>
      <c r="AB313" t="s">
        <v>6404</v>
      </c>
      <c r="AC313" t="s">
        <v>6405</v>
      </c>
      <c r="AD313" t="s">
        <v>6406</v>
      </c>
      <c r="AE313" t="s">
        <v>6407</v>
      </c>
      <c r="AF313" t="s">
        <v>74</v>
      </c>
      <c r="AG313">
        <v>32</v>
      </c>
      <c r="AH313">
        <v>5</v>
      </c>
      <c r="AI313">
        <v>5</v>
      </c>
      <c r="AJ313">
        <v>8</v>
      </c>
      <c r="AK313">
        <v>15</v>
      </c>
      <c r="AL313" t="s">
        <v>203</v>
      </c>
      <c r="AM313" t="s">
        <v>204</v>
      </c>
      <c r="AN313" t="s">
        <v>205</v>
      </c>
      <c r="AO313" t="s">
        <v>74</v>
      </c>
      <c r="AP313" t="s">
        <v>6408</v>
      </c>
      <c r="AQ313" t="s">
        <v>74</v>
      </c>
      <c r="AR313" t="s">
        <v>6396</v>
      </c>
      <c r="AS313" t="s">
        <v>6409</v>
      </c>
      <c r="AT313" t="s">
        <v>6337</v>
      </c>
      <c r="AU313">
        <v>2023</v>
      </c>
      <c r="AV313">
        <v>9</v>
      </c>
      <c r="AW313">
        <v>1</v>
      </c>
      <c r="AX313" t="s">
        <v>74</v>
      </c>
      <c r="AY313" t="s">
        <v>74</v>
      </c>
      <c r="AZ313" t="s">
        <v>74</v>
      </c>
      <c r="BA313" t="s">
        <v>74</v>
      </c>
      <c r="BB313" t="s">
        <v>74</v>
      </c>
      <c r="BC313" t="s">
        <v>74</v>
      </c>
      <c r="BD313">
        <v>27</v>
      </c>
      <c r="BE313" t="s">
        <v>6410</v>
      </c>
      <c r="BF313" t="str">
        <f>HYPERLINK("http://dx.doi.org/10.1038/s41526-023-00270-7","http://dx.doi.org/10.1038/s41526-023-00270-7")</f>
        <v>http://dx.doi.org/10.1038/s41526-023-00270-7</v>
      </c>
      <c r="BG313" t="s">
        <v>74</v>
      </c>
      <c r="BH313" t="s">
        <v>74</v>
      </c>
      <c r="BI313">
        <v>7</v>
      </c>
      <c r="BJ313" t="s">
        <v>210</v>
      </c>
      <c r="BK313" t="s">
        <v>103</v>
      </c>
      <c r="BL313" t="s">
        <v>211</v>
      </c>
      <c r="BM313" t="s">
        <v>6411</v>
      </c>
      <c r="BN313">
        <v>36997549</v>
      </c>
      <c r="BO313" t="s">
        <v>614</v>
      </c>
      <c r="BP313" t="s">
        <v>74</v>
      </c>
      <c r="BQ313" t="s">
        <v>74</v>
      </c>
      <c r="BR313" t="s">
        <v>106</v>
      </c>
      <c r="BS313" t="s">
        <v>6412</v>
      </c>
      <c r="BT313" t="str">
        <f>HYPERLINK("https%3A%2F%2Fwww.webofscience.com%2Fwos%2Fwoscc%2Ffull-record%2FWOS:000960279200001","View Full Record in Web of Science")</f>
        <v>View Full Record in Web of Science</v>
      </c>
    </row>
    <row r="314" spans="1:72" x14ac:dyDescent="0.15">
      <c r="A314" t="s">
        <v>72</v>
      </c>
      <c r="B314" t="s">
        <v>6413</v>
      </c>
      <c r="C314" t="s">
        <v>74</v>
      </c>
      <c r="D314" t="s">
        <v>74</v>
      </c>
      <c r="E314" t="s">
        <v>74</v>
      </c>
      <c r="F314" t="s">
        <v>6414</v>
      </c>
      <c r="G314" t="s">
        <v>74</v>
      </c>
      <c r="H314" t="s">
        <v>74</v>
      </c>
      <c r="I314" t="s">
        <v>6415</v>
      </c>
      <c r="J314" t="s">
        <v>6416</v>
      </c>
      <c r="K314" t="s">
        <v>74</v>
      </c>
      <c r="L314" t="s">
        <v>74</v>
      </c>
      <c r="M314" t="s">
        <v>78</v>
      </c>
      <c r="N314" t="s">
        <v>112</v>
      </c>
      <c r="O314" t="s">
        <v>74</v>
      </c>
      <c r="P314" t="s">
        <v>74</v>
      </c>
      <c r="Q314" t="s">
        <v>74</v>
      </c>
      <c r="R314" t="s">
        <v>74</v>
      </c>
      <c r="S314" t="s">
        <v>74</v>
      </c>
      <c r="T314" t="s">
        <v>6417</v>
      </c>
      <c r="U314" t="s">
        <v>6418</v>
      </c>
      <c r="V314" t="s">
        <v>6419</v>
      </c>
      <c r="W314" t="s">
        <v>6420</v>
      </c>
      <c r="X314" t="s">
        <v>6421</v>
      </c>
      <c r="Y314" t="s">
        <v>6422</v>
      </c>
      <c r="Z314" t="s">
        <v>6423</v>
      </c>
      <c r="AA314" t="s">
        <v>6424</v>
      </c>
      <c r="AB314" t="s">
        <v>6425</v>
      </c>
      <c r="AC314" t="s">
        <v>6426</v>
      </c>
      <c r="AD314" t="s">
        <v>6427</v>
      </c>
      <c r="AE314" t="s">
        <v>6428</v>
      </c>
      <c r="AF314" t="s">
        <v>74</v>
      </c>
      <c r="AG314">
        <v>162</v>
      </c>
      <c r="AH314">
        <v>3</v>
      </c>
      <c r="AI314">
        <v>3</v>
      </c>
      <c r="AJ314">
        <v>6</v>
      </c>
      <c r="AK314">
        <v>8</v>
      </c>
      <c r="AL314" t="s">
        <v>6429</v>
      </c>
      <c r="AM314" t="s">
        <v>525</v>
      </c>
      <c r="AN314" t="s">
        <v>6430</v>
      </c>
      <c r="AO314" t="s">
        <v>6431</v>
      </c>
      <c r="AP314" t="s">
        <v>6432</v>
      </c>
      <c r="AQ314" t="s">
        <v>74</v>
      </c>
      <c r="AR314" t="s">
        <v>6416</v>
      </c>
      <c r="AS314" t="s">
        <v>6433</v>
      </c>
      <c r="AT314" t="s">
        <v>232</v>
      </c>
      <c r="AU314">
        <v>2023</v>
      </c>
      <c r="AV314">
        <v>33</v>
      </c>
      <c r="AW314">
        <v>6</v>
      </c>
      <c r="AX314" t="s">
        <v>74</v>
      </c>
      <c r="AY314" t="s">
        <v>74</v>
      </c>
      <c r="AZ314" t="s">
        <v>74</v>
      </c>
      <c r="BA314" t="s">
        <v>74</v>
      </c>
      <c r="BB314">
        <v>636</v>
      </c>
      <c r="BC314">
        <v>658</v>
      </c>
      <c r="BD314" t="s">
        <v>74</v>
      </c>
      <c r="BE314" t="s">
        <v>6434</v>
      </c>
      <c r="BF314" t="str">
        <f>HYPERLINK("http://dx.doi.org/10.1177/09596836231157059","http://dx.doi.org/10.1177/09596836231157059")</f>
        <v>http://dx.doi.org/10.1177/09596836231157059</v>
      </c>
      <c r="BG314" t="s">
        <v>74</v>
      </c>
      <c r="BH314" t="s">
        <v>6218</v>
      </c>
      <c r="BI314">
        <v>23</v>
      </c>
      <c r="BJ314" t="s">
        <v>801</v>
      </c>
      <c r="BK314" t="s">
        <v>103</v>
      </c>
      <c r="BL314" t="s">
        <v>802</v>
      </c>
      <c r="BM314" t="s">
        <v>6435</v>
      </c>
      <c r="BN314" t="s">
        <v>74</v>
      </c>
      <c r="BO314" t="s">
        <v>1389</v>
      </c>
      <c r="BP314" t="s">
        <v>74</v>
      </c>
      <c r="BQ314" t="s">
        <v>74</v>
      </c>
      <c r="BR314" t="s">
        <v>106</v>
      </c>
      <c r="BS314" t="s">
        <v>6436</v>
      </c>
      <c r="BT314" t="str">
        <f>HYPERLINK("https%3A%2F%2Fwww.webofscience.com%2Fwos%2Fwoscc%2Ffull-record%2FWOS:000960218300001","View Full Record in Web of Science")</f>
        <v>View Full Record in Web of Science</v>
      </c>
    </row>
    <row r="315" spans="1:72" x14ac:dyDescent="0.15">
      <c r="A315" t="s">
        <v>72</v>
      </c>
      <c r="B315" t="s">
        <v>6437</v>
      </c>
      <c r="C315" t="s">
        <v>74</v>
      </c>
      <c r="D315" t="s">
        <v>74</v>
      </c>
      <c r="E315" t="s">
        <v>74</v>
      </c>
      <c r="F315" t="s">
        <v>6438</v>
      </c>
      <c r="G315" t="s">
        <v>74</v>
      </c>
      <c r="H315" t="s">
        <v>74</v>
      </c>
      <c r="I315" t="s">
        <v>6439</v>
      </c>
      <c r="J315" t="s">
        <v>6440</v>
      </c>
      <c r="K315" t="s">
        <v>74</v>
      </c>
      <c r="L315" t="s">
        <v>74</v>
      </c>
      <c r="M315" t="s">
        <v>78</v>
      </c>
      <c r="N315" t="s">
        <v>112</v>
      </c>
      <c r="O315" t="s">
        <v>74</v>
      </c>
      <c r="P315" t="s">
        <v>74</v>
      </c>
      <c r="Q315" t="s">
        <v>74</v>
      </c>
      <c r="R315" t="s">
        <v>74</v>
      </c>
      <c r="S315" t="s">
        <v>74</v>
      </c>
      <c r="T315" t="s">
        <v>6441</v>
      </c>
      <c r="U315" t="s">
        <v>6442</v>
      </c>
      <c r="V315" t="s">
        <v>6443</v>
      </c>
      <c r="W315" t="s">
        <v>6444</v>
      </c>
      <c r="X315" t="s">
        <v>6445</v>
      </c>
      <c r="Y315" t="s">
        <v>6446</v>
      </c>
      <c r="Z315" t="s">
        <v>6447</v>
      </c>
      <c r="AA315" t="s">
        <v>6448</v>
      </c>
      <c r="AB315" t="s">
        <v>6449</v>
      </c>
      <c r="AC315" t="s">
        <v>6450</v>
      </c>
      <c r="AD315" t="s">
        <v>6450</v>
      </c>
      <c r="AE315" t="s">
        <v>6451</v>
      </c>
      <c r="AF315" t="s">
        <v>74</v>
      </c>
      <c r="AG315">
        <v>80</v>
      </c>
      <c r="AH315">
        <v>0</v>
      </c>
      <c r="AI315">
        <v>0</v>
      </c>
      <c r="AJ315">
        <v>3</v>
      </c>
      <c r="AK315">
        <v>5</v>
      </c>
      <c r="AL315" t="s">
        <v>1405</v>
      </c>
      <c r="AM315" t="s">
        <v>226</v>
      </c>
      <c r="AN315" t="s">
        <v>1406</v>
      </c>
      <c r="AO315" t="s">
        <v>6452</v>
      </c>
      <c r="AP315" t="s">
        <v>6453</v>
      </c>
      <c r="AQ315" t="s">
        <v>74</v>
      </c>
      <c r="AR315" t="s">
        <v>6454</v>
      </c>
      <c r="AS315" t="s">
        <v>6455</v>
      </c>
      <c r="AT315" t="s">
        <v>98</v>
      </c>
      <c r="AU315">
        <v>2023</v>
      </c>
      <c r="AV315">
        <v>151</v>
      </c>
      <c r="AW315" t="s">
        <v>74</v>
      </c>
      <c r="AX315" t="s">
        <v>74</v>
      </c>
      <c r="AY315" t="s">
        <v>74</v>
      </c>
      <c r="AZ315" t="s">
        <v>74</v>
      </c>
      <c r="BA315" t="s">
        <v>74</v>
      </c>
      <c r="BB315" t="s">
        <v>74</v>
      </c>
      <c r="BC315" t="s">
        <v>74</v>
      </c>
      <c r="BD315">
        <v>105596</v>
      </c>
      <c r="BE315" t="s">
        <v>6456</v>
      </c>
      <c r="BF315" t="str">
        <f>HYPERLINK("http://dx.doi.org/10.1016/j.marpol.2023.105596","http://dx.doi.org/10.1016/j.marpol.2023.105596")</f>
        <v>http://dx.doi.org/10.1016/j.marpol.2023.105596</v>
      </c>
      <c r="BG315" t="s">
        <v>74</v>
      </c>
      <c r="BH315" t="s">
        <v>6218</v>
      </c>
      <c r="BI315">
        <v>12</v>
      </c>
      <c r="BJ315" t="s">
        <v>6457</v>
      </c>
      <c r="BK315" t="s">
        <v>1440</v>
      </c>
      <c r="BL315" t="s">
        <v>6458</v>
      </c>
      <c r="BM315" t="s">
        <v>6459</v>
      </c>
      <c r="BN315" t="s">
        <v>74</v>
      </c>
      <c r="BO315" t="s">
        <v>387</v>
      </c>
      <c r="BP315" t="s">
        <v>74</v>
      </c>
      <c r="BQ315" t="s">
        <v>74</v>
      </c>
      <c r="BR315" t="s">
        <v>106</v>
      </c>
      <c r="BS315" t="s">
        <v>6460</v>
      </c>
      <c r="BT315" t="str">
        <f>HYPERLINK("https%3A%2F%2Fwww.webofscience.com%2Fwos%2Fwoscc%2Ffull-record%2FWOS:001055325900001","View Full Record in Web of Science")</f>
        <v>View Full Record in Web of Science</v>
      </c>
    </row>
    <row r="316" spans="1:72" x14ac:dyDescent="0.15">
      <c r="A316" t="s">
        <v>72</v>
      </c>
      <c r="B316" t="s">
        <v>6461</v>
      </c>
      <c r="C316" t="s">
        <v>74</v>
      </c>
      <c r="D316" t="s">
        <v>74</v>
      </c>
      <c r="E316" t="s">
        <v>74</v>
      </c>
      <c r="F316" t="s">
        <v>6462</v>
      </c>
      <c r="G316" t="s">
        <v>74</v>
      </c>
      <c r="H316" t="s">
        <v>74</v>
      </c>
      <c r="I316" t="s">
        <v>6463</v>
      </c>
      <c r="J316" t="s">
        <v>2389</v>
      </c>
      <c r="K316" t="s">
        <v>74</v>
      </c>
      <c r="L316" t="s">
        <v>74</v>
      </c>
      <c r="M316" t="s">
        <v>78</v>
      </c>
      <c r="N316" t="s">
        <v>112</v>
      </c>
      <c r="O316" t="s">
        <v>74</v>
      </c>
      <c r="P316" t="s">
        <v>74</v>
      </c>
      <c r="Q316" t="s">
        <v>74</v>
      </c>
      <c r="R316" t="s">
        <v>74</v>
      </c>
      <c r="S316" t="s">
        <v>74</v>
      </c>
      <c r="T316" t="s">
        <v>6464</v>
      </c>
      <c r="U316" t="s">
        <v>6465</v>
      </c>
      <c r="V316" t="s">
        <v>6466</v>
      </c>
      <c r="W316" t="s">
        <v>6467</v>
      </c>
      <c r="X316" t="s">
        <v>6468</v>
      </c>
      <c r="Y316" t="s">
        <v>6469</v>
      </c>
      <c r="Z316" t="s">
        <v>6470</v>
      </c>
      <c r="AA316" t="s">
        <v>6471</v>
      </c>
      <c r="AB316" t="s">
        <v>6472</v>
      </c>
      <c r="AC316" t="s">
        <v>6473</v>
      </c>
      <c r="AD316" t="s">
        <v>6474</v>
      </c>
      <c r="AE316" t="s">
        <v>6475</v>
      </c>
      <c r="AF316" t="s">
        <v>74</v>
      </c>
      <c r="AG316">
        <v>88</v>
      </c>
      <c r="AH316">
        <v>0</v>
      </c>
      <c r="AI316">
        <v>0</v>
      </c>
      <c r="AJ316">
        <v>3</v>
      </c>
      <c r="AK316">
        <v>8</v>
      </c>
      <c r="AL316" t="s">
        <v>2399</v>
      </c>
      <c r="AM316" t="s">
        <v>525</v>
      </c>
      <c r="AN316" t="s">
        <v>2400</v>
      </c>
      <c r="AO316" t="s">
        <v>2401</v>
      </c>
      <c r="AP316" t="s">
        <v>74</v>
      </c>
      <c r="AQ316" t="s">
        <v>74</v>
      </c>
      <c r="AR316" t="s">
        <v>2402</v>
      </c>
      <c r="AS316" t="s">
        <v>2403</v>
      </c>
      <c r="AT316" t="s">
        <v>6476</v>
      </c>
      <c r="AU316">
        <v>2023</v>
      </c>
      <c r="AV316">
        <v>10</v>
      </c>
      <c r="AW316">
        <v>3</v>
      </c>
      <c r="AX316" t="s">
        <v>74</v>
      </c>
      <c r="AY316" t="s">
        <v>74</v>
      </c>
      <c r="AZ316" t="s">
        <v>74</v>
      </c>
      <c r="BA316" t="s">
        <v>74</v>
      </c>
      <c r="BB316" t="s">
        <v>74</v>
      </c>
      <c r="BC316" t="s">
        <v>74</v>
      </c>
      <c r="BD316">
        <v>221237</v>
      </c>
      <c r="BE316" t="s">
        <v>6477</v>
      </c>
      <c r="BF316" t="str">
        <f>HYPERLINK("http://dx.doi.org/10.1098/rsos.221237","http://dx.doi.org/10.1098/rsos.221237")</f>
        <v>http://dx.doi.org/10.1098/rsos.221237</v>
      </c>
      <c r="BG316" t="s">
        <v>74</v>
      </c>
      <c r="BH316" t="s">
        <v>74</v>
      </c>
      <c r="BI316">
        <v>18</v>
      </c>
      <c r="BJ316" t="s">
        <v>210</v>
      </c>
      <c r="BK316" t="s">
        <v>103</v>
      </c>
      <c r="BL316" t="s">
        <v>211</v>
      </c>
      <c r="BM316" t="s">
        <v>6478</v>
      </c>
      <c r="BN316">
        <v>36998770</v>
      </c>
      <c r="BO316" t="s">
        <v>5068</v>
      </c>
      <c r="BP316" t="s">
        <v>74</v>
      </c>
      <c r="BQ316" t="s">
        <v>74</v>
      </c>
      <c r="BR316" t="s">
        <v>106</v>
      </c>
      <c r="BS316" t="s">
        <v>6479</v>
      </c>
      <c r="BT316" t="str">
        <f>HYPERLINK("https%3A%2F%2Fwww.webofscience.com%2Fwos%2Fwoscc%2Ffull-record%2FWOS:000968463200005","View Full Record in Web of Science")</f>
        <v>View Full Record in Web of Science</v>
      </c>
    </row>
    <row r="317" spans="1:72" x14ac:dyDescent="0.15">
      <c r="A317" t="s">
        <v>72</v>
      </c>
      <c r="B317" t="s">
        <v>6480</v>
      </c>
      <c r="C317" t="s">
        <v>74</v>
      </c>
      <c r="D317" t="s">
        <v>74</v>
      </c>
      <c r="E317" t="s">
        <v>74</v>
      </c>
      <c r="F317" t="s">
        <v>6481</v>
      </c>
      <c r="G317" t="s">
        <v>74</v>
      </c>
      <c r="H317" t="s">
        <v>74</v>
      </c>
      <c r="I317" t="s">
        <v>6482</v>
      </c>
      <c r="J317" t="s">
        <v>2389</v>
      </c>
      <c r="K317" t="s">
        <v>74</v>
      </c>
      <c r="L317" t="s">
        <v>74</v>
      </c>
      <c r="M317" t="s">
        <v>78</v>
      </c>
      <c r="N317" t="s">
        <v>112</v>
      </c>
      <c r="O317" t="s">
        <v>74</v>
      </c>
      <c r="P317" t="s">
        <v>74</v>
      </c>
      <c r="Q317" t="s">
        <v>74</v>
      </c>
      <c r="R317" t="s">
        <v>74</v>
      </c>
      <c r="S317" t="s">
        <v>74</v>
      </c>
      <c r="T317" t="s">
        <v>6483</v>
      </c>
      <c r="U317" t="s">
        <v>6484</v>
      </c>
      <c r="V317" t="s">
        <v>6485</v>
      </c>
      <c r="W317" t="s">
        <v>6486</v>
      </c>
      <c r="X317" t="s">
        <v>6487</v>
      </c>
      <c r="Y317" t="s">
        <v>6488</v>
      </c>
      <c r="Z317" t="s">
        <v>6489</v>
      </c>
      <c r="AA317" t="s">
        <v>6490</v>
      </c>
      <c r="AB317" t="s">
        <v>6491</v>
      </c>
      <c r="AC317" t="s">
        <v>6492</v>
      </c>
      <c r="AD317" t="s">
        <v>6493</v>
      </c>
      <c r="AE317" t="s">
        <v>6494</v>
      </c>
      <c r="AF317" t="s">
        <v>74</v>
      </c>
      <c r="AG317">
        <v>79</v>
      </c>
      <c r="AH317">
        <v>8</v>
      </c>
      <c r="AI317">
        <v>9</v>
      </c>
      <c r="AJ317">
        <v>7</v>
      </c>
      <c r="AK317">
        <v>20</v>
      </c>
      <c r="AL317" t="s">
        <v>2399</v>
      </c>
      <c r="AM317" t="s">
        <v>525</v>
      </c>
      <c r="AN317" t="s">
        <v>2400</v>
      </c>
      <c r="AO317" t="s">
        <v>2401</v>
      </c>
      <c r="AP317" t="s">
        <v>74</v>
      </c>
      <c r="AQ317" t="s">
        <v>74</v>
      </c>
      <c r="AR317" t="s">
        <v>2402</v>
      </c>
      <c r="AS317" t="s">
        <v>2403</v>
      </c>
      <c r="AT317" t="s">
        <v>6476</v>
      </c>
      <c r="AU317">
        <v>2023</v>
      </c>
      <c r="AV317">
        <v>10</v>
      </c>
      <c r="AW317">
        <v>3</v>
      </c>
      <c r="AX317" t="s">
        <v>74</v>
      </c>
      <c r="AY317" t="s">
        <v>74</v>
      </c>
      <c r="AZ317" t="s">
        <v>74</v>
      </c>
      <c r="BA317" t="s">
        <v>74</v>
      </c>
      <c r="BB317" t="s">
        <v>74</v>
      </c>
      <c r="BC317" t="s">
        <v>74</v>
      </c>
      <c r="BD317">
        <v>221421</v>
      </c>
      <c r="BE317" t="s">
        <v>6495</v>
      </c>
      <c r="BF317" t="str">
        <f>HYPERLINK("http://dx.doi.org/10.1098/rsos.221421","http://dx.doi.org/10.1098/rsos.221421")</f>
        <v>http://dx.doi.org/10.1098/rsos.221421</v>
      </c>
      <c r="BG317" t="s">
        <v>74</v>
      </c>
      <c r="BH317" t="s">
        <v>74</v>
      </c>
      <c r="BI317">
        <v>10</v>
      </c>
      <c r="BJ317" t="s">
        <v>210</v>
      </c>
      <c r="BK317" t="s">
        <v>103</v>
      </c>
      <c r="BL317" t="s">
        <v>211</v>
      </c>
      <c r="BM317" t="s">
        <v>6478</v>
      </c>
      <c r="BN317">
        <v>36998765</v>
      </c>
      <c r="BO317" t="s">
        <v>6496</v>
      </c>
      <c r="BP317" t="s">
        <v>74</v>
      </c>
      <c r="BQ317" t="s">
        <v>74</v>
      </c>
      <c r="BR317" t="s">
        <v>106</v>
      </c>
      <c r="BS317" t="s">
        <v>6497</v>
      </c>
      <c r="BT317" t="str">
        <f>HYPERLINK("https%3A%2F%2Fwww.webofscience.com%2Fwos%2Fwoscc%2Ffull-record%2FWOS:000968463200001","View Full Record in Web of Science")</f>
        <v>View Full Record in Web of Science</v>
      </c>
    </row>
    <row r="318" spans="1:72" x14ac:dyDescent="0.15">
      <c r="A318" t="s">
        <v>72</v>
      </c>
      <c r="B318" t="s">
        <v>6498</v>
      </c>
      <c r="C318" t="s">
        <v>74</v>
      </c>
      <c r="D318" t="s">
        <v>74</v>
      </c>
      <c r="E318" t="s">
        <v>74</v>
      </c>
      <c r="F318" t="s">
        <v>6499</v>
      </c>
      <c r="G318" t="s">
        <v>74</v>
      </c>
      <c r="H318" t="s">
        <v>74</v>
      </c>
      <c r="I318" t="s">
        <v>6500</v>
      </c>
      <c r="J318" t="s">
        <v>6501</v>
      </c>
      <c r="K318" t="s">
        <v>74</v>
      </c>
      <c r="L318" t="s">
        <v>74</v>
      </c>
      <c r="M318" t="s">
        <v>78</v>
      </c>
      <c r="N318" t="s">
        <v>112</v>
      </c>
      <c r="O318" t="s">
        <v>74</v>
      </c>
      <c r="P318" t="s">
        <v>74</v>
      </c>
      <c r="Q318" t="s">
        <v>74</v>
      </c>
      <c r="R318" t="s">
        <v>74</v>
      </c>
      <c r="S318" t="s">
        <v>74</v>
      </c>
      <c r="T318" t="s">
        <v>6502</v>
      </c>
      <c r="U318" t="s">
        <v>6503</v>
      </c>
      <c r="V318" t="s">
        <v>6504</v>
      </c>
      <c r="W318" t="s">
        <v>6505</v>
      </c>
      <c r="X318" t="s">
        <v>6506</v>
      </c>
      <c r="Y318" t="s">
        <v>6507</v>
      </c>
      <c r="Z318" t="s">
        <v>6508</v>
      </c>
      <c r="AA318" t="s">
        <v>6509</v>
      </c>
      <c r="AB318" t="s">
        <v>6510</v>
      </c>
      <c r="AC318" t="s">
        <v>6511</v>
      </c>
      <c r="AD318" t="s">
        <v>6512</v>
      </c>
      <c r="AE318" t="s">
        <v>6513</v>
      </c>
      <c r="AF318" t="s">
        <v>74</v>
      </c>
      <c r="AG318">
        <v>72</v>
      </c>
      <c r="AH318">
        <v>0</v>
      </c>
      <c r="AI318">
        <v>0</v>
      </c>
      <c r="AJ318">
        <v>6</v>
      </c>
      <c r="AK318">
        <v>19</v>
      </c>
      <c r="AL318" t="s">
        <v>768</v>
      </c>
      <c r="AM318" t="s">
        <v>2866</v>
      </c>
      <c r="AN318" t="s">
        <v>2867</v>
      </c>
      <c r="AO318" t="s">
        <v>6514</v>
      </c>
      <c r="AP318" t="s">
        <v>6515</v>
      </c>
      <c r="AQ318" t="s">
        <v>74</v>
      </c>
      <c r="AR318" t="s">
        <v>6501</v>
      </c>
      <c r="AS318" t="s">
        <v>6516</v>
      </c>
      <c r="AT318" t="s">
        <v>1437</v>
      </c>
      <c r="AU318">
        <v>2023</v>
      </c>
      <c r="AV318">
        <v>163</v>
      </c>
      <c r="AW318">
        <v>3</v>
      </c>
      <c r="AX318" t="s">
        <v>74</v>
      </c>
      <c r="AY318" t="s">
        <v>74</v>
      </c>
      <c r="AZ318" t="s">
        <v>74</v>
      </c>
      <c r="BA318" t="s">
        <v>74</v>
      </c>
      <c r="BB318">
        <v>311</v>
      </c>
      <c r="BC318">
        <v>325</v>
      </c>
      <c r="BD318" t="s">
        <v>74</v>
      </c>
      <c r="BE318" t="s">
        <v>6517</v>
      </c>
      <c r="BF318" t="str">
        <f>HYPERLINK("http://dx.doi.org/10.1007/s10533-023-01032-z","http://dx.doi.org/10.1007/s10533-023-01032-z")</f>
        <v>http://dx.doi.org/10.1007/s10533-023-01032-z</v>
      </c>
      <c r="BG318" t="s">
        <v>74</v>
      </c>
      <c r="BH318" t="s">
        <v>6218</v>
      </c>
      <c r="BI318">
        <v>15</v>
      </c>
      <c r="BJ318" t="s">
        <v>1363</v>
      </c>
      <c r="BK318" t="s">
        <v>103</v>
      </c>
      <c r="BL318" t="s">
        <v>1364</v>
      </c>
      <c r="BM318" t="s">
        <v>6518</v>
      </c>
      <c r="BN318" t="s">
        <v>74</v>
      </c>
      <c r="BO318" t="s">
        <v>74</v>
      </c>
      <c r="BP318" t="s">
        <v>74</v>
      </c>
      <c r="BQ318" t="s">
        <v>74</v>
      </c>
      <c r="BR318" t="s">
        <v>106</v>
      </c>
      <c r="BS318" t="s">
        <v>6519</v>
      </c>
      <c r="BT318" t="str">
        <f>HYPERLINK("https%3A%2F%2Fwww.webofscience.com%2Fwos%2Fwoscc%2Ffull-record%2FWOS:000967115800001","View Full Record in Web of Science")</f>
        <v>View Full Record in Web of Science</v>
      </c>
    </row>
    <row r="319" spans="1:72" x14ac:dyDescent="0.15">
      <c r="A319" t="s">
        <v>72</v>
      </c>
      <c r="B319" t="s">
        <v>6520</v>
      </c>
      <c r="C319" t="s">
        <v>74</v>
      </c>
      <c r="D319" t="s">
        <v>74</v>
      </c>
      <c r="E319" t="s">
        <v>74</v>
      </c>
      <c r="F319" t="s">
        <v>6521</v>
      </c>
      <c r="G319" t="s">
        <v>74</v>
      </c>
      <c r="H319" t="s">
        <v>74</v>
      </c>
      <c r="I319" t="s">
        <v>6522</v>
      </c>
      <c r="J319" t="s">
        <v>1215</v>
      </c>
      <c r="K319" t="s">
        <v>74</v>
      </c>
      <c r="L319" t="s">
        <v>74</v>
      </c>
      <c r="M319" t="s">
        <v>78</v>
      </c>
      <c r="N319" t="s">
        <v>112</v>
      </c>
      <c r="O319" t="s">
        <v>74</v>
      </c>
      <c r="P319" t="s">
        <v>74</v>
      </c>
      <c r="Q319" t="s">
        <v>74</v>
      </c>
      <c r="R319" t="s">
        <v>74</v>
      </c>
      <c r="S319" t="s">
        <v>74</v>
      </c>
      <c r="T319" t="s">
        <v>6523</v>
      </c>
      <c r="U319" t="s">
        <v>6524</v>
      </c>
      <c r="V319" t="s">
        <v>6525</v>
      </c>
      <c r="W319" t="s">
        <v>6526</v>
      </c>
      <c r="X319" t="s">
        <v>6527</v>
      </c>
      <c r="Y319" t="s">
        <v>6528</v>
      </c>
      <c r="Z319" t="s">
        <v>6529</v>
      </c>
      <c r="AA319" t="s">
        <v>6530</v>
      </c>
      <c r="AB319" t="s">
        <v>6531</v>
      </c>
      <c r="AC319" t="s">
        <v>6532</v>
      </c>
      <c r="AD319" t="s">
        <v>6533</v>
      </c>
      <c r="AE319" t="s">
        <v>6534</v>
      </c>
      <c r="AF319" t="s">
        <v>74</v>
      </c>
      <c r="AG319">
        <v>71</v>
      </c>
      <c r="AH319">
        <v>0</v>
      </c>
      <c r="AI319">
        <v>0</v>
      </c>
      <c r="AJ319">
        <v>13</v>
      </c>
      <c r="AK319">
        <v>23</v>
      </c>
      <c r="AL319" t="s">
        <v>700</v>
      </c>
      <c r="AM319" t="s">
        <v>701</v>
      </c>
      <c r="AN319" t="s">
        <v>702</v>
      </c>
      <c r="AO319" t="s">
        <v>74</v>
      </c>
      <c r="AP319" t="s">
        <v>1228</v>
      </c>
      <c r="AQ319" t="s">
        <v>74</v>
      </c>
      <c r="AR319" t="s">
        <v>1229</v>
      </c>
      <c r="AS319" t="s">
        <v>1230</v>
      </c>
      <c r="AT319" t="s">
        <v>6476</v>
      </c>
      <c r="AU319">
        <v>2023</v>
      </c>
      <c r="AV319">
        <v>10</v>
      </c>
      <c r="AW319" t="s">
        <v>74</v>
      </c>
      <c r="AX319" t="s">
        <v>74</v>
      </c>
      <c r="AY319" t="s">
        <v>74</v>
      </c>
      <c r="AZ319" t="s">
        <v>74</v>
      </c>
      <c r="BA319" t="s">
        <v>74</v>
      </c>
      <c r="BB319" t="s">
        <v>74</v>
      </c>
      <c r="BC319" t="s">
        <v>74</v>
      </c>
      <c r="BD319">
        <v>1142061</v>
      </c>
      <c r="BE319" t="s">
        <v>6535</v>
      </c>
      <c r="BF319" t="str">
        <f>HYPERLINK("http://dx.doi.org/10.3389/fmars.2023.1142061","http://dx.doi.org/10.3389/fmars.2023.1142061")</f>
        <v>http://dx.doi.org/10.3389/fmars.2023.1142061</v>
      </c>
      <c r="BG319" t="s">
        <v>74</v>
      </c>
      <c r="BH319" t="s">
        <v>74</v>
      </c>
      <c r="BI319">
        <v>12</v>
      </c>
      <c r="BJ319" t="s">
        <v>636</v>
      </c>
      <c r="BK319" t="s">
        <v>103</v>
      </c>
      <c r="BL319" t="s">
        <v>637</v>
      </c>
      <c r="BM319" t="s">
        <v>6536</v>
      </c>
      <c r="BN319" t="s">
        <v>74</v>
      </c>
      <c r="BO319" t="s">
        <v>359</v>
      </c>
      <c r="BP319" t="s">
        <v>74</v>
      </c>
      <c r="BQ319" t="s">
        <v>74</v>
      </c>
      <c r="BR319" t="s">
        <v>106</v>
      </c>
      <c r="BS319" t="s">
        <v>6537</v>
      </c>
      <c r="BT319" t="str">
        <f>HYPERLINK("https%3A%2F%2Fwww.webofscience.com%2Fwos%2Fwoscc%2Ffull-record%2FWOS:000967921700001","View Full Record in Web of Science")</f>
        <v>View Full Record in Web of Science</v>
      </c>
    </row>
    <row r="320" spans="1:72" x14ac:dyDescent="0.15">
      <c r="A320" t="s">
        <v>72</v>
      </c>
      <c r="B320" t="s">
        <v>6538</v>
      </c>
      <c r="C320" t="s">
        <v>74</v>
      </c>
      <c r="D320" t="s">
        <v>74</v>
      </c>
      <c r="E320" t="s">
        <v>74</v>
      </c>
      <c r="F320" t="s">
        <v>6539</v>
      </c>
      <c r="G320" t="s">
        <v>74</v>
      </c>
      <c r="H320" t="s">
        <v>74</v>
      </c>
      <c r="I320" t="s">
        <v>6540</v>
      </c>
      <c r="J320" t="s">
        <v>2541</v>
      </c>
      <c r="K320" t="s">
        <v>74</v>
      </c>
      <c r="L320" t="s">
        <v>74</v>
      </c>
      <c r="M320" t="s">
        <v>78</v>
      </c>
      <c r="N320" t="s">
        <v>112</v>
      </c>
      <c r="O320" t="s">
        <v>74</v>
      </c>
      <c r="P320" t="s">
        <v>74</v>
      </c>
      <c r="Q320" t="s">
        <v>74</v>
      </c>
      <c r="R320" t="s">
        <v>74</v>
      </c>
      <c r="S320" t="s">
        <v>74</v>
      </c>
      <c r="T320" t="s">
        <v>74</v>
      </c>
      <c r="U320" t="s">
        <v>6541</v>
      </c>
      <c r="V320" t="s">
        <v>6542</v>
      </c>
      <c r="W320" t="s">
        <v>6543</v>
      </c>
      <c r="X320" t="s">
        <v>6544</v>
      </c>
      <c r="Y320" t="s">
        <v>6545</v>
      </c>
      <c r="Z320" t="s">
        <v>6546</v>
      </c>
      <c r="AA320" t="s">
        <v>6547</v>
      </c>
      <c r="AB320" t="s">
        <v>6548</v>
      </c>
      <c r="AC320" t="s">
        <v>6549</v>
      </c>
      <c r="AD320" t="s">
        <v>6550</v>
      </c>
      <c r="AE320" t="s">
        <v>6551</v>
      </c>
      <c r="AF320" t="s">
        <v>74</v>
      </c>
      <c r="AG320">
        <v>95</v>
      </c>
      <c r="AH320">
        <v>4</v>
      </c>
      <c r="AI320">
        <v>5</v>
      </c>
      <c r="AJ320">
        <v>3</v>
      </c>
      <c r="AK320">
        <v>12</v>
      </c>
      <c r="AL320" t="s">
        <v>794</v>
      </c>
      <c r="AM320" t="s">
        <v>795</v>
      </c>
      <c r="AN320" t="s">
        <v>796</v>
      </c>
      <c r="AO320" t="s">
        <v>2553</v>
      </c>
      <c r="AP320" t="s">
        <v>2554</v>
      </c>
      <c r="AQ320" t="s">
        <v>74</v>
      </c>
      <c r="AR320" t="s">
        <v>2555</v>
      </c>
      <c r="AS320" t="s">
        <v>2556</v>
      </c>
      <c r="AT320" t="s">
        <v>6476</v>
      </c>
      <c r="AU320">
        <v>2023</v>
      </c>
      <c r="AV320">
        <v>23</v>
      </c>
      <c r="AW320">
        <v>6</v>
      </c>
      <c r="AX320" t="s">
        <v>74</v>
      </c>
      <c r="AY320" t="s">
        <v>74</v>
      </c>
      <c r="AZ320" t="s">
        <v>74</v>
      </c>
      <c r="BA320" t="s">
        <v>74</v>
      </c>
      <c r="BB320">
        <v>3749</v>
      </c>
      <c r="BC320">
        <v>3777</v>
      </c>
      <c r="BD320" t="s">
        <v>74</v>
      </c>
      <c r="BE320" t="s">
        <v>6552</v>
      </c>
      <c r="BF320" t="str">
        <f>HYPERLINK("http://dx.doi.org/10.5194/acp-23-3749-2023","http://dx.doi.org/10.5194/acp-23-3749-2023")</f>
        <v>http://dx.doi.org/10.5194/acp-23-3749-2023</v>
      </c>
      <c r="BG320" t="s">
        <v>74</v>
      </c>
      <c r="BH320" t="s">
        <v>74</v>
      </c>
      <c r="BI320">
        <v>29</v>
      </c>
      <c r="BJ320" t="s">
        <v>356</v>
      </c>
      <c r="BK320" t="s">
        <v>103</v>
      </c>
      <c r="BL320" t="s">
        <v>357</v>
      </c>
      <c r="BM320" t="s">
        <v>6553</v>
      </c>
      <c r="BN320" t="s">
        <v>74</v>
      </c>
      <c r="BO320" t="s">
        <v>2600</v>
      </c>
      <c r="BP320" t="s">
        <v>74</v>
      </c>
      <c r="BQ320" t="s">
        <v>74</v>
      </c>
      <c r="BR320" t="s">
        <v>106</v>
      </c>
      <c r="BS320" t="s">
        <v>6554</v>
      </c>
      <c r="BT320" t="str">
        <f>HYPERLINK("https%3A%2F%2Fwww.webofscience.com%2Fwos%2Fwoscc%2Ffull-record%2FWOS:000960166900001","View Full Record in Web of Science")</f>
        <v>View Full Record in Web of Science</v>
      </c>
    </row>
    <row r="321" spans="1:72" x14ac:dyDescent="0.15">
      <c r="A321" t="s">
        <v>72</v>
      </c>
      <c r="B321" t="s">
        <v>6555</v>
      </c>
      <c r="C321" t="s">
        <v>74</v>
      </c>
      <c r="D321" t="s">
        <v>74</v>
      </c>
      <c r="E321" t="s">
        <v>74</v>
      </c>
      <c r="F321" t="s">
        <v>6556</v>
      </c>
      <c r="G321" t="s">
        <v>74</v>
      </c>
      <c r="H321" t="s">
        <v>74</v>
      </c>
      <c r="I321" t="s">
        <v>6557</v>
      </c>
      <c r="J321" t="s">
        <v>6558</v>
      </c>
      <c r="K321" t="s">
        <v>74</v>
      </c>
      <c r="L321" t="s">
        <v>74</v>
      </c>
      <c r="M321" t="s">
        <v>78</v>
      </c>
      <c r="N321" t="s">
        <v>112</v>
      </c>
      <c r="O321" t="s">
        <v>74</v>
      </c>
      <c r="P321" t="s">
        <v>74</v>
      </c>
      <c r="Q321" t="s">
        <v>74</v>
      </c>
      <c r="R321" t="s">
        <v>74</v>
      </c>
      <c r="S321" t="s">
        <v>74</v>
      </c>
      <c r="T321" t="s">
        <v>6559</v>
      </c>
      <c r="U321" t="s">
        <v>6560</v>
      </c>
      <c r="V321" t="s">
        <v>6561</v>
      </c>
      <c r="W321" t="s">
        <v>6562</v>
      </c>
      <c r="X321" t="s">
        <v>6563</v>
      </c>
      <c r="Y321" t="s">
        <v>6564</v>
      </c>
      <c r="Z321" t="s">
        <v>6565</v>
      </c>
      <c r="AA321" t="s">
        <v>6566</v>
      </c>
      <c r="AB321" t="s">
        <v>6567</v>
      </c>
      <c r="AC321" t="s">
        <v>74</v>
      </c>
      <c r="AD321" t="s">
        <v>74</v>
      </c>
      <c r="AE321" t="s">
        <v>74</v>
      </c>
      <c r="AF321" t="s">
        <v>74</v>
      </c>
      <c r="AG321">
        <v>71</v>
      </c>
      <c r="AH321">
        <v>1</v>
      </c>
      <c r="AI321">
        <v>1</v>
      </c>
      <c r="AJ321">
        <v>0</v>
      </c>
      <c r="AK321">
        <v>2</v>
      </c>
      <c r="AL321" t="s">
        <v>2092</v>
      </c>
      <c r="AM321" t="s">
        <v>2093</v>
      </c>
      <c r="AN321" t="s">
        <v>2094</v>
      </c>
      <c r="AO321" t="s">
        <v>6568</v>
      </c>
      <c r="AP321" t="s">
        <v>6569</v>
      </c>
      <c r="AQ321" t="s">
        <v>74</v>
      </c>
      <c r="AR321" t="s">
        <v>6570</v>
      </c>
      <c r="AS321" t="s">
        <v>6571</v>
      </c>
      <c r="AT321" t="s">
        <v>1437</v>
      </c>
      <c r="AU321">
        <v>2023</v>
      </c>
      <c r="AV321">
        <v>44</v>
      </c>
      <c r="AW321">
        <v>2</v>
      </c>
      <c r="AX321" t="s">
        <v>74</v>
      </c>
      <c r="AY321" t="s">
        <v>74</v>
      </c>
      <c r="AZ321" t="s">
        <v>74</v>
      </c>
      <c r="BA321" t="s">
        <v>74</v>
      </c>
      <c r="BB321" t="s">
        <v>74</v>
      </c>
      <c r="BC321" t="s">
        <v>74</v>
      </c>
      <c r="BD321" t="s">
        <v>74</v>
      </c>
      <c r="BE321" t="s">
        <v>6572</v>
      </c>
      <c r="BF321" t="str">
        <f>HYPERLINK("http://dx.doi.org/10.1111/maec.12742","http://dx.doi.org/10.1111/maec.12742")</f>
        <v>http://dx.doi.org/10.1111/maec.12742</v>
      </c>
      <c r="BG321" t="s">
        <v>74</v>
      </c>
      <c r="BH321" t="s">
        <v>6218</v>
      </c>
      <c r="BI321">
        <v>8</v>
      </c>
      <c r="BJ321" t="s">
        <v>385</v>
      </c>
      <c r="BK321" t="s">
        <v>103</v>
      </c>
      <c r="BL321" t="s">
        <v>385</v>
      </c>
      <c r="BM321" t="s">
        <v>6573</v>
      </c>
      <c r="BN321" t="s">
        <v>74</v>
      </c>
      <c r="BO321" t="s">
        <v>928</v>
      </c>
      <c r="BP321" t="s">
        <v>74</v>
      </c>
      <c r="BQ321" t="s">
        <v>74</v>
      </c>
      <c r="BR321" t="s">
        <v>106</v>
      </c>
      <c r="BS321" t="s">
        <v>6574</v>
      </c>
      <c r="BT321" t="str">
        <f>HYPERLINK("https%3A%2F%2Fwww.webofscience.com%2Fwos%2Fwoscc%2Ffull-record%2FWOS:000956459900001","View Full Record in Web of Science")</f>
        <v>View Full Record in Web of Science</v>
      </c>
    </row>
    <row r="322" spans="1:72" x14ac:dyDescent="0.15">
      <c r="A322" t="s">
        <v>72</v>
      </c>
      <c r="B322" t="s">
        <v>6575</v>
      </c>
      <c r="C322" t="s">
        <v>74</v>
      </c>
      <c r="D322" t="s">
        <v>74</v>
      </c>
      <c r="E322" t="s">
        <v>74</v>
      </c>
      <c r="F322" t="s">
        <v>6576</v>
      </c>
      <c r="G322" t="s">
        <v>74</v>
      </c>
      <c r="H322" t="s">
        <v>74</v>
      </c>
      <c r="I322" t="s">
        <v>6577</v>
      </c>
      <c r="J322" t="s">
        <v>643</v>
      </c>
      <c r="K322" t="s">
        <v>74</v>
      </c>
      <c r="L322" t="s">
        <v>74</v>
      </c>
      <c r="M322" t="s">
        <v>78</v>
      </c>
      <c r="N322" t="s">
        <v>112</v>
      </c>
      <c r="O322" t="s">
        <v>74</v>
      </c>
      <c r="P322" t="s">
        <v>74</v>
      </c>
      <c r="Q322" t="s">
        <v>74</v>
      </c>
      <c r="R322" t="s">
        <v>74</v>
      </c>
      <c r="S322" t="s">
        <v>74</v>
      </c>
      <c r="T322" t="s">
        <v>74</v>
      </c>
      <c r="U322" t="s">
        <v>6578</v>
      </c>
      <c r="V322" t="s">
        <v>6579</v>
      </c>
      <c r="W322" t="s">
        <v>6580</v>
      </c>
      <c r="X322" t="s">
        <v>6581</v>
      </c>
      <c r="Y322" t="s">
        <v>833</v>
      </c>
      <c r="Z322" t="s">
        <v>674</v>
      </c>
      <c r="AA322" t="s">
        <v>74</v>
      </c>
      <c r="AB322" t="s">
        <v>6582</v>
      </c>
      <c r="AC322" t="s">
        <v>6583</v>
      </c>
      <c r="AD322" t="s">
        <v>6584</v>
      </c>
      <c r="AE322" t="s">
        <v>6585</v>
      </c>
      <c r="AF322" t="s">
        <v>74</v>
      </c>
      <c r="AG322">
        <v>36</v>
      </c>
      <c r="AH322">
        <v>1</v>
      </c>
      <c r="AI322">
        <v>1</v>
      </c>
      <c r="AJ322">
        <v>5</v>
      </c>
      <c r="AK322">
        <v>8</v>
      </c>
      <c r="AL322" t="s">
        <v>305</v>
      </c>
      <c r="AM322" t="s">
        <v>306</v>
      </c>
      <c r="AN322" t="s">
        <v>307</v>
      </c>
      <c r="AO322" t="s">
        <v>656</v>
      </c>
      <c r="AP322" t="s">
        <v>657</v>
      </c>
      <c r="AQ322" t="s">
        <v>74</v>
      </c>
      <c r="AR322" t="s">
        <v>658</v>
      </c>
      <c r="AS322" t="s">
        <v>659</v>
      </c>
      <c r="AT322" t="s">
        <v>6586</v>
      </c>
      <c r="AU322">
        <v>2023</v>
      </c>
      <c r="AV322">
        <v>50</v>
      </c>
      <c r="AW322">
        <v>5</v>
      </c>
      <c r="AX322" t="s">
        <v>74</v>
      </c>
      <c r="AY322" t="s">
        <v>74</v>
      </c>
      <c r="AZ322" t="s">
        <v>74</v>
      </c>
      <c r="BA322" t="s">
        <v>74</v>
      </c>
      <c r="BB322" t="s">
        <v>74</v>
      </c>
      <c r="BC322" t="s">
        <v>74</v>
      </c>
      <c r="BD322" t="s">
        <v>6587</v>
      </c>
      <c r="BE322" t="s">
        <v>6588</v>
      </c>
      <c r="BF322" t="str">
        <f>HYPERLINK("http://dx.doi.org/10.1029/2022GL101139","http://dx.doi.org/10.1029/2022GL101139")</f>
        <v>http://dx.doi.org/10.1029/2022GL101139</v>
      </c>
      <c r="BG322" t="s">
        <v>74</v>
      </c>
      <c r="BH322" t="s">
        <v>74</v>
      </c>
      <c r="BI322">
        <v>9</v>
      </c>
      <c r="BJ322" t="s">
        <v>261</v>
      </c>
      <c r="BK322" t="s">
        <v>103</v>
      </c>
      <c r="BL322" t="s">
        <v>262</v>
      </c>
      <c r="BM322" t="s">
        <v>6589</v>
      </c>
      <c r="BN322" t="s">
        <v>74</v>
      </c>
      <c r="BO322" t="s">
        <v>387</v>
      </c>
      <c r="BP322" t="s">
        <v>74</v>
      </c>
      <c r="BQ322" t="s">
        <v>74</v>
      </c>
      <c r="BR322" t="s">
        <v>106</v>
      </c>
      <c r="BS322" t="s">
        <v>6590</v>
      </c>
      <c r="BT322" t="str">
        <f>HYPERLINK("https%3A%2F%2Fwww.webofscience.com%2Fwos%2Fwoscc%2Ffull-record%2FWOS:000939722600001","View Full Record in Web of Science")</f>
        <v>View Full Record in Web of Science</v>
      </c>
    </row>
    <row r="323" spans="1:72" x14ac:dyDescent="0.15">
      <c r="A323" t="s">
        <v>72</v>
      </c>
      <c r="B323" t="s">
        <v>6591</v>
      </c>
      <c r="C323" t="s">
        <v>74</v>
      </c>
      <c r="D323" t="s">
        <v>74</v>
      </c>
      <c r="E323" t="s">
        <v>74</v>
      </c>
      <c r="F323" t="s">
        <v>6592</v>
      </c>
      <c r="G323" t="s">
        <v>74</v>
      </c>
      <c r="H323" t="s">
        <v>74</v>
      </c>
      <c r="I323" t="s">
        <v>6593</v>
      </c>
      <c r="J323" t="s">
        <v>6440</v>
      </c>
      <c r="K323" t="s">
        <v>74</v>
      </c>
      <c r="L323" t="s">
        <v>74</v>
      </c>
      <c r="M323" t="s">
        <v>78</v>
      </c>
      <c r="N323" t="s">
        <v>112</v>
      </c>
      <c r="O323" t="s">
        <v>74</v>
      </c>
      <c r="P323" t="s">
        <v>74</v>
      </c>
      <c r="Q323" t="s">
        <v>74</v>
      </c>
      <c r="R323" t="s">
        <v>74</v>
      </c>
      <c r="S323" t="s">
        <v>74</v>
      </c>
      <c r="T323" t="s">
        <v>6594</v>
      </c>
      <c r="U323" t="s">
        <v>6595</v>
      </c>
      <c r="V323" t="s">
        <v>6596</v>
      </c>
      <c r="W323" t="s">
        <v>6597</v>
      </c>
      <c r="X323" t="s">
        <v>6598</v>
      </c>
      <c r="Y323" t="s">
        <v>6599</v>
      </c>
      <c r="Z323" t="s">
        <v>6600</v>
      </c>
      <c r="AA323" t="s">
        <v>6601</v>
      </c>
      <c r="AB323" t="s">
        <v>6602</v>
      </c>
      <c r="AC323" t="s">
        <v>6603</v>
      </c>
      <c r="AD323" t="s">
        <v>6604</v>
      </c>
      <c r="AE323" t="s">
        <v>6605</v>
      </c>
      <c r="AF323" t="s">
        <v>74</v>
      </c>
      <c r="AG323">
        <v>59</v>
      </c>
      <c r="AH323">
        <v>0</v>
      </c>
      <c r="AI323">
        <v>0</v>
      </c>
      <c r="AJ323">
        <v>2</v>
      </c>
      <c r="AK323">
        <v>2</v>
      </c>
      <c r="AL323" t="s">
        <v>1405</v>
      </c>
      <c r="AM323" t="s">
        <v>6606</v>
      </c>
      <c r="AN323" t="s">
        <v>6607</v>
      </c>
      <c r="AO323" t="s">
        <v>6452</v>
      </c>
      <c r="AP323" t="s">
        <v>6453</v>
      </c>
      <c r="AQ323" t="s">
        <v>74</v>
      </c>
      <c r="AR323" t="s">
        <v>6454</v>
      </c>
      <c r="AS323" t="s">
        <v>6455</v>
      </c>
      <c r="AT323" t="s">
        <v>98</v>
      </c>
      <c r="AU323">
        <v>2023</v>
      </c>
      <c r="AV323">
        <v>151</v>
      </c>
      <c r="AW323" t="s">
        <v>74</v>
      </c>
      <c r="AX323" t="s">
        <v>74</v>
      </c>
      <c r="AY323" t="s">
        <v>74</v>
      </c>
      <c r="AZ323" t="s">
        <v>74</v>
      </c>
      <c r="BA323" t="s">
        <v>74</v>
      </c>
      <c r="BB323" t="s">
        <v>74</v>
      </c>
      <c r="BC323" t="s">
        <v>74</v>
      </c>
      <c r="BD323">
        <v>105588</v>
      </c>
      <c r="BE323" t="s">
        <v>6608</v>
      </c>
      <c r="BF323" t="str">
        <f>HYPERLINK("http://dx.doi.org/10.1016/j.marpol.2023.105588","http://dx.doi.org/10.1016/j.marpol.2023.105588")</f>
        <v>http://dx.doi.org/10.1016/j.marpol.2023.105588</v>
      </c>
      <c r="BG323" t="s">
        <v>74</v>
      </c>
      <c r="BH323" t="s">
        <v>6218</v>
      </c>
      <c r="BI323">
        <v>12</v>
      </c>
      <c r="BJ323" t="s">
        <v>6457</v>
      </c>
      <c r="BK323" t="s">
        <v>1440</v>
      </c>
      <c r="BL323" t="s">
        <v>6458</v>
      </c>
      <c r="BM323" t="s">
        <v>6609</v>
      </c>
      <c r="BN323" t="s">
        <v>74</v>
      </c>
      <c r="BO323" t="s">
        <v>1748</v>
      </c>
      <c r="BP323" t="s">
        <v>74</v>
      </c>
      <c r="BQ323" t="s">
        <v>74</v>
      </c>
      <c r="BR323" t="s">
        <v>106</v>
      </c>
      <c r="BS323" t="s">
        <v>6610</v>
      </c>
      <c r="BT323" t="str">
        <f>HYPERLINK("https%3A%2F%2Fwww.webofscience.com%2Fwos%2Fwoscc%2Ffull-record%2FWOS:001163406700001","View Full Record in Web of Science")</f>
        <v>View Full Record in Web of Science</v>
      </c>
    </row>
    <row r="324" spans="1:72" x14ac:dyDescent="0.15">
      <c r="A324" t="s">
        <v>72</v>
      </c>
      <c r="B324" t="s">
        <v>6611</v>
      </c>
      <c r="C324" t="s">
        <v>74</v>
      </c>
      <c r="D324" t="s">
        <v>74</v>
      </c>
      <c r="E324" t="s">
        <v>74</v>
      </c>
      <c r="F324" t="s">
        <v>6612</v>
      </c>
      <c r="G324" t="s">
        <v>74</v>
      </c>
      <c r="H324" t="s">
        <v>74</v>
      </c>
      <c r="I324" t="s">
        <v>6613</v>
      </c>
      <c r="J324" t="s">
        <v>6440</v>
      </c>
      <c r="K324" t="s">
        <v>74</v>
      </c>
      <c r="L324" t="s">
        <v>74</v>
      </c>
      <c r="M324" t="s">
        <v>78</v>
      </c>
      <c r="N324" t="s">
        <v>112</v>
      </c>
      <c r="O324" t="s">
        <v>74</v>
      </c>
      <c r="P324" t="s">
        <v>74</v>
      </c>
      <c r="Q324" t="s">
        <v>74</v>
      </c>
      <c r="R324" t="s">
        <v>74</v>
      </c>
      <c r="S324" t="s">
        <v>74</v>
      </c>
      <c r="T324" t="s">
        <v>6614</v>
      </c>
      <c r="U324" t="s">
        <v>6615</v>
      </c>
      <c r="V324" t="s">
        <v>6616</v>
      </c>
      <c r="W324" t="s">
        <v>6617</v>
      </c>
      <c r="X324" t="s">
        <v>6618</v>
      </c>
      <c r="Y324" t="s">
        <v>6619</v>
      </c>
      <c r="Z324" t="s">
        <v>6620</v>
      </c>
      <c r="AA324" t="s">
        <v>6621</v>
      </c>
      <c r="AB324" t="s">
        <v>6622</v>
      </c>
      <c r="AC324" t="s">
        <v>6623</v>
      </c>
      <c r="AD324" t="s">
        <v>6624</v>
      </c>
      <c r="AE324" t="s">
        <v>6625</v>
      </c>
      <c r="AF324" t="s">
        <v>74</v>
      </c>
      <c r="AG324">
        <v>64</v>
      </c>
      <c r="AH324">
        <v>4</v>
      </c>
      <c r="AI324">
        <v>4</v>
      </c>
      <c r="AJ324">
        <v>5</v>
      </c>
      <c r="AK324">
        <v>8</v>
      </c>
      <c r="AL324" t="s">
        <v>1405</v>
      </c>
      <c r="AM324" t="s">
        <v>226</v>
      </c>
      <c r="AN324" t="s">
        <v>1406</v>
      </c>
      <c r="AO324" t="s">
        <v>6452</v>
      </c>
      <c r="AP324" t="s">
        <v>6453</v>
      </c>
      <c r="AQ324" t="s">
        <v>74</v>
      </c>
      <c r="AR324" t="s">
        <v>6454</v>
      </c>
      <c r="AS324" t="s">
        <v>6455</v>
      </c>
      <c r="AT324" t="s">
        <v>98</v>
      </c>
      <c r="AU324">
        <v>2023</v>
      </c>
      <c r="AV324">
        <v>151</v>
      </c>
      <c r="AW324" t="s">
        <v>74</v>
      </c>
      <c r="AX324" t="s">
        <v>74</v>
      </c>
      <c r="AY324" t="s">
        <v>74</v>
      </c>
      <c r="AZ324" t="s">
        <v>74</v>
      </c>
      <c r="BA324" t="s">
        <v>74</v>
      </c>
      <c r="BB324" t="s">
        <v>74</v>
      </c>
      <c r="BC324" t="s">
        <v>74</v>
      </c>
      <c r="BD324">
        <v>105577</v>
      </c>
      <c r="BE324" t="s">
        <v>6626</v>
      </c>
      <c r="BF324" t="str">
        <f>HYPERLINK("http://dx.doi.org/10.1016/j.marpol.2023.105577","http://dx.doi.org/10.1016/j.marpol.2023.105577")</f>
        <v>http://dx.doi.org/10.1016/j.marpol.2023.105577</v>
      </c>
      <c r="BG324" t="s">
        <v>74</v>
      </c>
      <c r="BH324" t="s">
        <v>6218</v>
      </c>
      <c r="BI324">
        <v>8</v>
      </c>
      <c r="BJ324" t="s">
        <v>6457</v>
      </c>
      <c r="BK324" t="s">
        <v>1440</v>
      </c>
      <c r="BL324" t="s">
        <v>6458</v>
      </c>
      <c r="BM324" t="s">
        <v>6627</v>
      </c>
      <c r="BN324" t="s">
        <v>74</v>
      </c>
      <c r="BO324" t="s">
        <v>74</v>
      </c>
      <c r="BP324" t="s">
        <v>74</v>
      </c>
      <c r="BQ324" t="s">
        <v>74</v>
      </c>
      <c r="BR324" t="s">
        <v>106</v>
      </c>
      <c r="BS324" t="s">
        <v>6628</v>
      </c>
      <c r="BT324" t="str">
        <f>HYPERLINK("https%3A%2F%2Fwww.webofscience.com%2Fwos%2Fwoscc%2Ffull-record%2FWOS:001055242000001","View Full Record in Web of Science")</f>
        <v>View Full Record in Web of Science</v>
      </c>
    </row>
    <row r="325" spans="1:72" x14ac:dyDescent="0.15">
      <c r="A325" t="s">
        <v>72</v>
      </c>
      <c r="B325" t="s">
        <v>6629</v>
      </c>
      <c r="C325" t="s">
        <v>74</v>
      </c>
      <c r="D325" t="s">
        <v>74</v>
      </c>
      <c r="E325" t="s">
        <v>74</v>
      </c>
      <c r="F325" t="s">
        <v>6630</v>
      </c>
      <c r="G325" t="s">
        <v>74</v>
      </c>
      <c r="H325" t="s">
        <v>74</v>
      </c>
      <c r="I325" t="s">
        <v>6631</v>
      </c>
      <c r="J325" t="s">
        <v>619</v>
      </c>
      <c r="K325" t="s">
        <v>74</v>
      </c>
      <c r="L325" t="s">
        <v>74</v>
      </c>
      <c r="M325" t="s">
        <v>78</v>
      </c>
      <c r="N325" t="s">
        <v>112</v>
      </c>
      <c r="O325" t="s">
        <v>74</v>
      </c>
      <c r="P325" t="s">
        <v>74</v>
      </c>
      <c r="Q325" t="s">
        <v>74</v>
      </c>
      <c r="R325" t="s">
        <v>74</v>
      </c>
      <c r="S325" t="s">
        <v>74</v>
      </c>
      <c r="T325" t="s">
        <v>6632</v>
      </c>
      <c r="U325" t="s">
        <v>6633</v>
      </c>
      <c r="V325" t="s">
        <v>6634</v>
      </c>
      <c r="W325" t="s">
        <v>6635</v>
      </c>
      <c r="X325" t="s">
        <v>6636</v>
      </c>
      <c r="Y325" t="s">
        <v>6637</v>
      </c>
      <c r="Z325" t="s">
        <v>6638</v>
      </c>
      <c r="AA325" t="s">
        <v>74</v>
      </c>
      <c r="AB325" t="s">
        <v>74</v>
      </c>
      <c r="AC325" t="s">
        <v>6639</v>
      </c>
      <c r="AD325" t="s">
        <v>6640</v>
      </c>
      <c r="AE325" t="s">
        <v>6641</v>
      </c>
      <c r="AF325" t="s">
        <v>74</v>
      </c>
      <c r="AG325">
        <v>71</v>
      </c>
      <c r="AH325">
        <v>0</v>
      </c>
      <c r="AI325">
        <v>0</v>
      </c>
      <c r="AJ325">
        <v>4</v>
      </c>
      <c r="AK325">
        <v>6</v>
      </c>
      <c r="AL325" t="s">
        <v>225</v>
      </c>
      <c r="AM325" t="s">
        <v>226</v>
      </c>
      <c r="AN325" t="s">
        <v>227</v>
      </c>
      <c r="AO325" t="s">
        <v>631</v>
      </c>
      <c r="AP325" t="s">
        <v>632</v>
      </c>
      <c r="AQ325" t="s">
        <v>74</v>
      </c>
      <c r="AR325" t="s">
        <v>633</v>
      </c>
      <c r="AS325" t="s">
        <v>634</v>
      </c>
      <c r="AT325" t="s">
        <v>98</v>
      </c>
      <c r="AU325">
        <v>2023</v>
      </c>
      <c r="AV325">
        <v>190</v>
      </c>
      <c r="AW325" t="s">
        <v>74</v>
      </c>
      <c r="AX325" t="s">
        <v>74</v>
      </c>
      <c r="AY325" t="s">
        <v>74</v>
      </c>
      <c r="AZ325" t="s">
        <v>74</v>
      </c>
      <c r="BA325" t="s">
        <v>74</v>
      </c>
      <c r="BB325" t="s">
        <v>74</v>
      </c>
      <c r="BC325" t="s">
        <v>74</v>
      </c>
      <c r="BD325">
        <v>114833</v>
      </c>
      <c r="BE325" t="s">
        <v>6642</v>
      </c>
      <c r="BF325" t="str">
        <f>HYPERLINK("http://dx.doi.org/10.1016/j.marpolbul.2023.114833","http://dx.doi.org/10.1016/j.marpolbul.2023.114833")</f>
        <v>http://dx.doi.org/10.1016/j.marpolbul.2023.114833</v>
      </c>
      <c r="BG325" t="s">
        <v>74</v>
      </c>
      <c r="BH325" t="s">
        <v>6218</v>
      </c>
      <c r="BI325">
        <v>12</v>
      </c>
      <c r="BJ325" t="s">
        <v>636</v>
      </c>
      <c r="BK325" t="s">
        <v>103</v>
      </c>
      <c r="BL325" t="s">
        <v>637</v>
      </c>
      <c r="BM325" t="s">
        <v>6643</v>
      </c>
      <c r="BN325">
        <v>36989598</v>
      </c>
      <c r="BO325" t="s">
        <v>74</v>
      </c>
      <c r="BP325" t="s">
        <v>74</v>
      </c>
      <c r="BQ325" t="s">
        <v>74</v>
      </c>
      <c r="BR325" t="s">
        <v>106</v>
      </c>
      <c r="BS325" t="s">
        <v>6644</v>
      </c>
      <c r="BT325" t="str">
        <f>HYPERLINK("https%3A%2F%2Fwww.webofscience.com%2Fwos%2Fwoscc%2Ffull-record%2FWOS:001055157000001","View Full Record in Web of Science")</f>
        <v>View Full Record in Web of Science</v>
      </c>
    </row>
    <row r="326" spans="1:72" x14ac:dyDescent="0.15">
      <c r="A326" t="s">
        <v>72</v>
      </c>
      <c r="B326" t="s">
        <v>6645</v>
      </c>
      <c r="C326" t="s">
        <v>74</v>
      </c>
      <c r="D326" t="s">
        <v>74</v>
      </c>
      <c r="E326" t="s">
        <v>74</v>
      </c>
      <c r="F326" t="s">
        <v>6646</v>
      </c>
      <c r="G326" t="s">
        <v>74</v>
      </c>
      <c r="H326" t="s">
        <v>74</v>
      </c>
      <c r="I326" t="s">
        <v>6647</v>
      </c>
      <c r="J326" t="s">
        <v>6648</v>
      </c>
      <c r="K326" t="s">
        <v>74</v>
      </c>
      <c r="L326" t="s">
        <v>74</v>
      </c>
      <c r="M326" t="s">
        <v>78</v>
      </c>
      <c r="N326" t="s">
        <v>112</v>
      </c>
      <c r="O326" t="s">
        <v>74</v>
      </c>
      <c r="P326" t="s">
        <v>74</v>
      </c>
      <c r="Q326" t="s">
        <v>74</v>
      </c>
      <c r="R326" t="s">
        <v>74</v>
      </c>
      <c r="S326" t="s">
        <v>74</v>
      </c>
      <c r="T326" t="s">
        <v>6649</v>
      </c>
      <c r="U326" t="s">
        <v>6650</v>
      </c>
      <c r="V326" t="s">
        <v>6651</v>
      </c>
      <c r="W326" t="s">
        <v>6652</v>
      </c>
      <c r="X326" t="s">
        <v>6653</v>
      </c>
      <c r="Y326" t="s">
        <v>6654</v>
      </c>
      <c r="Z326" t="s">
        <v>6655</v>
      </c>
      <c r="AA326" t="s">
        <v>74</v>
      </c>
      <c r="AB326" t="s">
        <v>74</v>
      </c>
      <c r="AC326" t="s">
        <v>6656</v>
      </c>
      <c r="AD326" t="s">
        <v>6657</v>
      </c>
      <c r="AE326" t="s">
        <v>6658</v>
      </c>
      <c r="AF326" t="s">
        <v>74</v>
      </c>
      <c r="AG326">
        <v>74</v>
      </c>
      <c r="AH326">
        <v>1</v>
      </c>
      <c r="AI326">
        <v>1</v>
      </c>
      <c r="AJ326">
        <v>15</v>
      </c>
      <c r="AK326">
        <v>20</v>
      </c>
      <c r="AL326" t="s">
        <v>1405</v>
      </c>
      <c r="AM326" t="s">
        <v>226</v>
      </c>
      <c r="AN326" t="s">
        <v>1406</v>
      </c>
      <c r="AO326" t="s">
        <v>6659</v>
      </c>
      <c r="AP326" t="s">
        <v>6660</v>
      </c>
      <c r="AQ326" t="s">
        <v>74</v>
      </c>
      <c r="AR326" t="s">
        <v>6661</v>
      </c>
      <c r="AS326" t="s">
        <v>6662</v>
      </c>
      <c r="AT326" t="s">
        <v>232</v>
      </c>
      <c r="AU326">
        <v>2023</v>
      </c>
      <c r="AV326">
        <v>11</v>
      </c>
      <c r="AW326">
        <v>3</v>
      </c>
      <c r="AX326" t="s">
        <v>74</v>
      </c>
      <c r="AY326" t="s">
        <v>74</v>
      </c>
      <c r="AZ326" t="s">
        <v>74</v>
      </c>
      <c r="BA326" t="s">
        <v>74</v>
      </c>
      <c r="BB326" t="s">
        <v>74</v>
      </c>
      <c r="BC326" t="s">
        <v>74</v>
      </c>
      <c r="BD326">
        <v>109755</v>
      </c>
      <c r="BE326" t="s">
        <v>6663</v>
      </c>
      <c r="BF326" t="str">
        <f>HYPERLINK("http://dx.doi.org/10.1016/j.jece.2023.109755","http://dx.doi.org/10.1016/j.jece.2023.109755")</f>
        <v>http://dx.doi.org/10.1016/j.jece.2023.109755</v>
      </c>
      <c r="BG326" t="s">
        <v>74</v>
      </c>
      <c r="BH326" t="s">
        <v>6218</v>
      </c>
      <c r="BI326">
        <v>10</v>
      </c>
      <c r="BJ326" t="s">
        <v>6664</v>
      </c>
      <c r="BK326" t="s">
        <v>103</v>
      </c>
      <c r="BL326" t="s">
        <v>1348</v>
      </c>
      <c r="BM326" t="s">
        <v>6665</v>
      </c>
      <c r="BN326" t="s">
        <v>74</v>
      </c>
      <c r="BO326" t="s">
        <v>74</v>
      </c>
      <c r="BP326" t="s">
        <v>74</v>
      </c>
      <c r="BQ326" t="s">
        <v>74</v>
      </c>
      <c r="BR326" t="s">
        <v>106</v>
      </c>
      <c r="BS326" t="s">
        <v>6666</v>
      </c>
      <c r="BT326" t="str">
        <f>HYPERLINK("https%3A%2F%2Fwww.webofscience.com%2Fwos%2Fwoscc%2Ffull-record%2FWOS:001043928900001","View Full Record in Web of Science")</f>
        <v>View Full Record in Web of Science</v>
      </c>
    </row>
    <row r="327" spans="1:72" x14ac:dyDescent="0.15">
      <c r="A327" t="s">
        <v>72</v>
      </c>
      <c r="B327" t="s">
        <v>6667</v>
      </c>
      <c r="C327" t="s">
        <v>74</v>
      </c>
      <c r="D327" t="s">
        <v>74</v>
      </c>
      <c r="E327" t="s">
        <v>74</v>
      </c>
      <c r="F327" t="s">
        <v>6668</v>
      </c>
      <c r="G327" t="s">
        <v>74</v>
      </c>
      <c r="H327" t="s">
        <v>74</v>
      </c>
      <c r="I327" t="s">
        <v>6669</v>
      </c>
      <c r="J327" t="s">
        <v>3485</v>
      </c>
      <c r="K327" t="s">
        <v>74</v>
      </c>
      <c r="L327" t="s">
        <v>74</v>
      </c>
      <c r="M327" t="s">
        <v>78</v>
      </c>
      <c r="N327" t="s">
        <v>112</v>
      </c>
      <c r="O327" t="s">
        <v>74</v>
      </c>
      <c r="P327" t="s">
        <v>74</v>
      </c>
      <c r="Q327" t="s">
        <v>74</v>
      </c>
      <c r="R327" t="s">
        <v>74</v>
      </c>
      <c r="S327" t="s">
        <v>74</v>
      </c>
      <c r="T327" t="s">
        <v>6670</v>
      </c>
      <c r="U327" t="s">
        <v>6671</v>
      </c>
      <c r="V327" t="s">
        <v>6672</v>
      </c>
      <c r="W327" t="s">
        <v>6673</v>
      </c>
      <c r="X327" t="s">
        <v>6674</v>
      </c>
      <c r="Y327" t="s">
        <v>6675</v>
      </c>
      <c r="Z327" t="s">
        <v>6676</v>
      </c>
      <c r="AA327" t="s">
        <v>6677</v>
      </c>
      <c r="AB327" t="s">
        <v>6678</v>
      </c>
      <c r="AC327" t="s">
        <v>6679</v>
      </c>
      <c r="AD327" t="s">
        <v>6680</v>
      </c>
      <c r="AE327" t="s">
        <v>6681</v>
      </c>
      <c r="AF327" t="s">
        <v>74</v>
      </c>
      <c r="AG327">
        <v>15</v>
      </c>
      <c r="AH327">
        <v>2</v>
      </c>
      <c r="AI327">
        <v>2</v>
      </c>
      <c r="AJ327">
        <v>4</v>
      </c>
      <c r="AK327">
        <v>15</v>
      </c>
      <c r="AL327" t="s">
        <v>3498</v>
      </c>
      <c r="AM327" t="s">
        <v>306</v>
      </c>
      <c r="AN327" t="s">
        <v>3499</v>
      </c>
      <c r="AO327" t="s">
        <v>3500</v>
      </c>
      <c r="AP327" t="s">
        <v>3501</v>
      </c>
      <c r="AQ327" t="s">
        <v>74</v>
      </c>
      <c r="AR327" t="s">
        <v>3502</v>
      </c>
      <c r="AS327" t="s">
        <v>3503</v>
      </c>
      <c r="AT327" t="s">
        <v>6586</v>
      </c>
      <c r="AU327">
        <v>2023</v>
      </c>
      <c r="AV327">
        <v>120</v>
      </c>
      <c r="AW327">
        <v>13</v>
      </c>
      <c r="AX327" t="s">
        <v>74</v>
      </c>
      <c r="AY327" t="s">
        <v>74</v>
      </c>
      <c r="AZ327" t="s">
        <v>74</v>
      </c>
      <c r="BA327" t="s">
        <v>74</v>
      </c>
      <c r="BB327" t="s">
        <v>74</v>
      </c>
      <c r="BC327" t="s">
        <v>74</v>
      </c>
      <c r="BD327" t="s">
        <v>6682</v>
      </c>
      <c r="BE327" t="s">
        <v>6683</v>
      </c>
      <c r="BF327" t="str">
        <f>HYPERLINK("http://dx.doi.org/10.1073/pnas.2220728120","http://dx.doi.org/10.1073/pnas.2220728120")</f>
        <v>http://dx.doi.org/10.1073/pnas.2220728120</v>
      </c>
      <c r="BG327" t="s">
        <v>74</v>
      </c>
      <c r="BH327" t="s">
        <v>74</v>
      </c>
      <c r="BI327">
        <v>3</v>
      </c>
      <c r="BJ327" t="s">
        <v>210</v>
      </c>
      <c r="BK327" t="s">
        <v>103</v>
      </c>
      <c r="BL327" t="s">
        <v>211</v>
      </c>
      <c r="BM327" t="s">
        <v>6684</v>
      </c>
      <c r="BN327">
        <v>36943890</v>
      </c>
      <c r="BO327" t="s">
        <v>430</v>
      </c>
      <c r="BP327" t="s">
        <v>74</v>
      </c>
      <c r="BQ327" t="s">
        <v>74</v>
      </c>
      <c r="BR327" t="s">
        <v>106</v>
      </c>
      <c r="BS327" t="s">
        <v>6685</v>
      </c>
      <c r="BT327" t="str">
        <f>HYPERLINK("https%3A%2F%2Fwww.webofscience.com%2Fwos%2Fwoscc%2Ffull-record%2FWOS:001001376000006","View Full Record in Web of Science")</f>
        <v>View Full Record in Web of Science</v>
      </c>
    </row>
    <row r="328" spans="1:72" x14ac:dyDescent="0.15">
      <c r="A328" t="s">
        <v>72</v>
      </c>
      <c r="B328" t="s">
        <v>6686</v>
      </c>
      <c r="C328" t="s">
        <v>74</v>
      </c>
      <c r="D328" t="s">
        <v>74</v>
      </c>
      <c r="E328" t="s">
        <v>74</v>
      </c>
      <c r="F328" t="s">
        <v>6687</v>
      </c>
      <c r="G328" t="s">
        <v>74</v>
      </c>
      <c r="H328" t="s">
        <v>74</v>
      </c>
      <c r="I328" t="s">
        <v>6688</v>
      </c>
      <c r="J328" t="s">
        <v>643</v>
      </c>
      <c r="K328" t="s">
        <v>74</v>
      </c>
      <c r="L328" t="s">
        <v>74</v>
      </c>
      <c r="M328" t="s">
        <v>78</v>
      </c>
      <c r="N328" t="s">
        <v>112</v>
      </c>
      <c r="O328" t="s">
        <v>74</v>
      </c>
      <c r="P328" t="s">
        <v>74</v>
      </c>
      <c r="Q328" t="s">
        <v>74</v>
      </c>
      <c r="R328" t="s">
        <v>74</v>
      </c>
      <c r="S328" t="s">
        <v>74</v>
      </c>
      <c r="T328" t="s">
        <v>6689</v>
      </c>
      <c r="U328" t="s">
        <v>6690</v>
      </c>
      <c r="V328" t="s">
        <v>6691</v>
      </c>
      <c r="W328" t="s">
        <v>6692</v>
      </c>
      <c r="X328" t="s">
        <v>2244</v>
      </c>
      <c r="Y328" t="s">
        <v>6693</v>
      </c>
      <c r="Z328" t="s">
        <v>6694</v>
      </c>
      <c r="AA328" t="s">
        <v>6695</v>
      </c>
      <c r="AB328" t="s">
        <v>6696</v>
      </c>
      <c r="AC328" t="s">
        <v>6697</v>
      </c>
      <c r="AD328" t="s">
        <v>6698</v>
      </c>
      <c r="AE328" t="s">
        <v>6699</v>
      </c>
      <c r="AF328" t="s">
        <v>74</v>
      </c>
      <c r="AG328">
        <v>55</v>
      </c>
      <c r="AH328">
        <v>3</v>
      </c>
      <c r="AI328">
        <v>3</v>
      </c>
      <c r="AJ328">
        <v>1</v>
      </c>
      <c r="AK328">
        <v>2</v>
      </c>
      <c r="AL328" t="s">
        <v>305</v>
      </c>
      <c r="AM328" t="s">
        <v>306</v>
      </c>
      <c r="AN328" t="s">
        <v>307</v>
      </c>
      <c r="AO328" t="s">
        <v>656</v>
      </c>
      <c r="AP328" t="s">
        <v>657</v>
      </c>
      <c r="AQ328" t="s">
        <v>74</v>
      </c>
      <c r="AR328" t="s">
        <v>658</v>
      </c>
      <c r="AS328" t="s">
        <v>659</v>
      </c>
      <c r="AT328" t="s">
        <v>6586</v>
      </c>
      <c r="AU328">
        <v>2023</v>
      </c>
      <c r="AV328">
        <v>50</v>
      </c>
      <c r="AW328">
        <v>6</v>
      </c>
      <c r="AX328" t="s">
        <v>74</v>
      </c>
      <c r="AY328" t="s">
        <v>74</v>
      </c>
      <c r="AZ328" t="s">
        <v>74</v>
      </c>
      <c r="BA328" t="s">
        <v>74</v>
      </c>
      <c r="BB328" t="s">
        <v>74</v>
      </c>
      <c r="BC328" t="s">
        <v>74</v>
      </c>
      <c r="BD328" t="s">
        <v>6700</v>
      </c>
      <c r="BE328" t="s">
        <v>6701</v>
      </c>
      <c r="BF328" t="str">
        <f>HYPERLINK("http://dx.doi.org/10.1029/2023GL102978","http://dx.doi.org/10.1029/2023GL102978")</f>
        <v>http://dx.doi.org/10.1029/2023GL102978</v>
      </c>
      <c r="BG328" t="s">
        <v>74</v>
      </c>
      <c r="BH328" t="s">
        <v>74</v>
      </c>
      <c r="BI328">
        <v>11</v>
      </c>
      <c r="BJ328" t="s">
        <v>261</v>
      </c>
      <c r="BK328" t="s">
        <v>103</v>
      </c>
      <c r="BL328" t="s">
        <v>262</v>
      </c>
      <c r="BM328" t="s">
        <v>6702</v>
      </c>
      <c r="BN328" t="s">
        <v>74</v>
      </c>
      <c r="BO328" t="s">
        <v>387</v>
      </c>
      <c r="BP328" t="s">
        <v>74</v>
      </c>
      <c r="BQ328" t="s">
        <v>74</v>
      </c>
      <c r="BR328" t="s">
        <v>106</v>
      </c>
      <c r="BS328" t="s">
        <v>6703</v>
      </c>
      <c r="BT328" t="str">
        <f>HYPERLINK("https%3A%2F%2Fwww.webofscience.com%2Fwos%2Fwoscc%2Ffull-record%2FWOS:000953672900001","View Full Record in Web of Science")</f>
        <v>View Full Record in Web of Science</v>
      </c>
    </row>
    <row r="329" spans="1:72" x14ac:dyDescent="0.15">
      <c r="A329" t="s">
        <v>72</v>
      </c>
      <c r="B329" t="s">
        <v>6704</v>
      </c>
      <c r="C329" t="s">
        <v>74</v>
      </c>
      <c r="D329" t="s">
        <v>74</v>
      </c>
      <c r="E329" t="s">
        <v>74</v>
      </c>
      <c r="F329" t="s">
        <v>6705</v>
      </c>
      <c r="G329" t="s">
        <v>74</v>
      </c>
      <c r="H329" t="s">
        <v>74</v>
      </c>
      <c r="I329" t="s">
        <v>6706</v>
      </c>
      <c r="J329" t="s">
        <v>643</v>
      </c>
      <c r="K329" t="s">
        <v>74</v>
      </c>
      <c r="L329" t="s">
        <v>74</v>
      </c>
      <c r="M329" t="s">
        <v>78</v>
      </c>
      <c r="N329" t="s">
        <v>112</v>
      </c>
      <c r="O329" t="s">
        <v>74</v>
      </c>
      <c r="P329" t="s">
        <v>74</v>
      </c>
      <c r="Q329" t="s">
        <v>74</v>
      </c>
      <c r="R329" t="s">
        <v>74</v>
      </c>
      <c r="S329" t="s">
        <v>74</v>
      </c>
      <c r="T329" t="s">
        <v>6707</v>
      </c>
      <c r="U329" t="s">
        <v>6708</v>
      </c>
      <c r="V329" t="s">
        <v>6709</v>
      </c>
      <c r="W329" t="s">
        <v>6710</v>
      </c>
      <c r="X329" t="s">
        <v>6711</v>
      </c>
      <c r="Y329" t="s">
        <v>6712</v>
      </c>
      <c r="Z329" t="s">
        <v>6713</v>
      </c>
      <c r="AA329" t="s">
        <v>6714</v>
      </c>
      <c r="AB329" t="s">
        <v>6715</v>
      </c>
      <c r="AC329" t="s">
        <v>6716</v>
      </c>
      <c r="AD329" t="s">
        <v>6717</v>
      </c>
      <c r="AE329" t="s">
        <v>6718</v>
      </c>
      <c r="AF329" t="s">
        <v>74</v>
      </c>
      <c r="AG329">
        <v>33</v>
      </c>
      <c r="AH329">
        <v>4</v>
      </c>
      <c r="AI329">
        <v>4</v>
      </c>
      <c r="AJ329">
        <v>2</v>
      </c>
      <c r="AK329">
        <v>4</v>
      </c>
      <c r="AL329" t="s">
        <v>305</v>
      </c>
      <c r="AM329" t="s">
        <v>306</v>
      </c>
      <c r="AN329" t="s">
        <v>307</v>
      </c>
      <c r="AO329" t="s">
        <v>656</v>
      </c>
      <c r="AP329" t="s">
        <v>657</v>
      </c>
      <c r="AQ329" t="s">
        <v>74</v>
      </c>
      <c r="AR329" t="s">
        <v>658</v>
      </c>
      <c r="AS329" t="s">
        <v>659</v>
      </c>
      <c r="AT329" t="s">
        <v>6586</v>
      </c>
      <c r="AU329">
        <v>2023</v>
      </c>
      <c r="AV329">
        <v>50</v>
      </c>
      <c r="AW329">
        <v>6</v>
      </c>
      <c r="AX329" t="s">
        <v>74</v>
      </c>
      <c r="AY329" t="s">
        <v>74</v>
      </c>
      <c r="AZ329" t="s">
        <v>74</v>
      </c>
      <c r="BA329" t="s">
        <v>74</v>
      </c>
      <c r="BB329" t="s">
        <v>74</v>
      </c>
      <c r="BC329" t="s">
        <v>74</v>
      </c>
      <c r="BD329" t="s">
        <v>6719</v>
      </c>
      <c r="BE329" t="s">
        <v>6720</v>
      </c>
      <c r="BF329" t="str">
        <f>HYPERLINK("http://dx.doi.org/10.1029/2022GL102055","http://dx.doi.org/10.1029/2022GL102055")</f>
        <v>http://dx.doi.org/10.1029/2022GL102055</v>
      </c>
      <c r="BG329" t="s">
        <v>74</v>
      </c>
      <c r="BH329" t="s">
        <v>74</v>
      </c>
      <c r="BI329">
        <v>9</v>
      </c>
      <c r="BJ329" t="s">
        <v>261</v>
      </c>
      <c r="BK329" t="s">
        <v>103</v>
      </c>
      <c r="BL329" t="s">
        <v>262</v>
      </c>
      <c r="BM329" t="s">
        <v>6721</v>
      </c>
      <c r="BN329" t="s">
        <v>74</v>
      </c>
      <c r="BO329" t="s">
        <v>1748</v>
      </c>
      <c r="BP329" t="s">
        <v>74</v>
      </c>
      <c r="BQ329" t="s">
        <v>74</v>
      </c>
      <c r="BR329" t="s">
        <v>106</v>
      </c>
      <c r="BS329" t="s">
        <v>6722</v>
      </c>
      <c r="BT329" t="str">
        <f>HYPERLINK("https%3A%2F%2Fwww.webofscience.com%2Fwos%2Fwoscc%2Ffull-record%2FWOS:000953777400001","View Full Record in Web of Science")</f>
        <v>View Full Record in Web of Science</v>
      </c>
    </row>
    <row r="330" spans="1:72" x14ac:dyDescent="0.15">
      <c r="A330" t="s">
        <v>72</v>
      </c>
      <c r="B330" t="s">
        <v>6723</v>
      </c>
      <c r="C330" t="s">
        <v>74</v>
      </c>
      <c r="D330" t="s">
        <v>74</v>
      </c>
      <c r="E330" t="s">
        <v>74</v>
      </c>
      <c r="F330" t="s">
        <v>6724</v>
      </c>
      <c r="G330" t="s">
        <v>74</v>
      </c>
      <c r="H330" t="s">
        <v>74</v>
      </c>
      <c r="I330" t="s">
        <v>6725</v>
      </c>
      <c r="J330" t="s">
        <v>955</v>
      </c>
      <c r="K330" t="s">
        <v>74</v>
      </c>
      <c r="L330" t="s">
        <v>74</v>
      </c>
      <c r="M330" t="s">
        <v>78</v>
      </c>
      <c r="N330" t="s">
        <v>112</v>
      </c>
      <c r="O330" t="s">
        <v>74</v>
      </c>
      <c r="P330" t="s">
        <v>74</v>
      </c>
      <c r="Q330" t="s">
        <v>74</v>
      </c>
      <c r="R330" t="s">
        <v>74</v>
      </c>
      <c r="S330" t="s">
        <v>74</v>
      </c>
      <c r="T330" t="s">
        <v>6726</v>
      </c>
      <c r="U330" t="s">
        <v>6727</v>
      </c>
      <c r="V330" t="s">
        <v>6728</v>
      </c>
      <c r="W330" t="s">
        <v>6729</v>
      </c>
      <c r="X330" t="s">
        <v>6730</v>
      </c>
      <c r="Y330" t="s">
        <v>6731</v>
      </c>
      <c r="Z330" t="s">
        <v>6732</v>
      </c>
      <c r="AA330" t="s">
        <v>6733</v>
      </c>
      <c r="AB330" t="s">
        <v>6734</v>
      </c>
      <c r="AC330" t="s">
        <v>6735</v>
      </c>
      <c r="AD330" t="s">
        <v>6736</v>
      </c>
      <c r="AE330" t="s">
        <v>6737</v>
      </c>
      <c r="AF330" t="s">
        <v>74</v>
      </c>
      <c r="AG330">
        <v>71</v>
      </c>
      <c r="AH330">
        <v>1</v>
      </c>
      <c r="AI330">
        <v>1</v>
      </c>
      <c r="AJ330">
        <v>5</v>
      </c>
      <c r="AK330">
        <v>10</v>
      </c>
      <c r="AL330" t="s">
        <v>447</v>
      </c>
      <c r="AM330" t="s">
        <v>448</v>
      </c>
      <c r="AN330" t="s">
        <v>449</v>
      </c>
      <c r="AO330" t="s">
        <v>968</v>
      </c>
      <c r="AP330" t="s">
        <v>969</v>
      </c>
      <c r="AQ330" t="s">
        <v>74</v>
      </c>
      <c r="AR330" t="s">
        <v>970</v>
      </c>
      <c r="AS330" t="s">
        <v>971</v>
      </c>
      <c r="AT330" t="s">
        <v>98</v>
      </c>
      <c r="AU330">
        <v>2023</v>
      </c>
      <c r="AV330">
        <v>240</v>
      </c>
      <c r="AW330" t="s">
        <v>74</v>
      </c>
      <c r="AX330" t="s">
        <v>74</v>
      </c>
      <c r="AY330" t="s">
        <v>74</v>
      </c>
      <c r="AZ330" t="s">
        <v>74</v>
      </c>
      <c r="BA330" t="s">
        <v>74</v>
      </c>
      <c r="BB330" t="s">
        <v>74</v>
      </c>
      <c r="BC330" t="s">
        <v>74</v>
      </c>
      <c r="BD330">
        <v>103880</v>
      </c>
      <c r="BE330" t="s">
        <v>6738</v>
      </c>
      <c r="BF330" t="str">
        <f>HYPERLINK("http://dx.doi.org/10.1016/j.jmarsys.2023.103880","http://dx.doi.org/10.1016/j.jmarsys.2023.103880")</f>
        <v>http://dx.doi.org/10.1016/j.jmarsys.2023.103880</v>
      </c>
      <c r="BG330" t="s">
        <v>74</v>
      </c>
      <c r="BH330" t="s">
        <v>6218</v>
      </c>
      <c r="BI330">
        <v>15</v>
      </c>
      <c r="BJ330" t="s">
        <v>974</v>
      </c>
      <c r="BK330" t="s">
        <v>103</v>
      </c>
      <c r="BL330" t="s">
        <v>975</v>
      </c>
      <c r="BM330" t="s">
        <v>6739</v>
      </c>
      <c r="BN330" t="s">
        <v>74</v>
      </c>
      <c r="BO330" t="s">
        <v>74</v>
      </c>
      <c r="BP330" t="s">
        <v>74</v>
      </c>
      <c r="BQ330" t="s">
        <v>74</v>
      </c>
      <c r="BR330" t="s">
        <v>106</v>
      </c>
      <c r="BS330" t="s">
        <v>6740</v>
      </c>
      <c r="BT330" t="str">
        <f>HYPERLINK("https%3A%2F%2Fwww.webofscience.com%2Fwos%2Fwoscc%2Ffull-record%2FWOS:000970167300001","View Full Record in Web of Science")</f>
        <v>View Full Record in Web of Science</v>
      </c>
    </row>
    <row r="331" spans="1:72" x14ac:dyDescent="0.15">
      <c r="A331" t="s">
        <v>72</v>
      </c>
      <c r="B331" t="s">
        <v>6741</v>
      </c>
      <c r="C331" t="s">
        <v>74</v>
      </c>
      <c r="D331" t="s">
        <v>74</v>
      </c>
      <c r="E331" t="s">
        <v>74</v>
      </c>
      <c r="F331" t="s">
        <v>6742</v>
      </c>
      <c r="G331" t="s">
        <v>74</v>
      </c>
      <c r="H331" t="s">
        <v>74</v>
      </c>
      <c r="I331" t="s">
        <v>6743</v>
      </c>
      <c r="J331" t="s">
        <v>1193</v>
      </c>
      <c r="K331" t="s">
        <v>74</v>
      </c>
      <c r="L331" t="s">
        <v>74</v>
      </c>
      <c r="M331" t="s">
        <v>78</v>
      </c>
      <c r="N331" t="s">
        <v>365</v>
      </c>
      <c r="O331" t="s">
        <v>74</v>
      </c>
      <c r="P331" t="s">
        <v>74</v>
      </c>
      <c r="Q331" t="s">
        <v>74</v>
      </c>
      <c r="R331" t="s">
        <v>74</v>
      </c>
      <c r="S331" t="s">
        <v>74</v>
      </c>
      <c r="T331" t="s">
        <v>6744</v>
      </c>
      <c r="U331" t="s">
        <v>6745</v>
      </c>
      <c r="V331" t="s">
        <v>6746</v>
      </c>
      <c r="W331" t="s">
        <v>6747</v>
      </c>
      <c r="X331" t="s">
        <v>6748</v>
      </c>
      <c r="Y331" t="s">
        <v>6749</v>
      </c>
      <c r="Z331" t="s">
        <v>6750</v>
      </c>
      <c r="AA331" t="s">
        <v>6751</v>
      </c>
      <c r="AB331" t="s">
        <v>6752</v>
      </c>
      <c r="AC331" t="s">
        <v>6753</v>
      </c>
      <c r="AD331" t="s">
        <v>6754</v>
      </c>
      <c r="AE331" t="s">
        <v>6755</v>
      </c>
      <c r="AF331" t="s">
        <v>74</v>
      </c>
      <c r="AG331">
        <v>203</v>
      </c>
      <c r="AH331">
        <v>1</v>
      </c>
      <c r="AI331">
        <v>1</v>
      </c>
      <c r="AJ331">
        <v>18</v>
      </c>
      <c r="AK331">
        <v>48</v>
      </c>
      <c r="AL331" t="s">
        <v>447</v>
      </c>
      <c r="AM331" t="s">
        <v>448</v>
      </c>
      <c r="AN331" t="s">
        <v>449</v>
      </c>
      <c r="AO331" t="s">
        <v>1204</v>
      </c>
      <c r="AP331" t="s">
        <v>1205</v>
      </c>
      <c r="AQ331" t="s">
        <v>74</v>
      </c>
      <c r="AR331" t="s">
        <v>1206</v>
      </c>
      <c r="AS331" t="s">
        <v>1207</v>
      </c>
      <c r="AT331" t="s">
        <v>2534</v>
      </c>
      <c r="AU331">
        <v>2023</v>
      </c>
      <c r="AV331">
        <v>879</v>
      </c>
      <c r="AW331" t="s">
        <v>74</v>
      </c>
      <c r="AX331" t="s">
        <v>74</v>
      </c>
      <c r="AY331" t="s">
        <v>74</v>
      </c>
      <c r="AZ331" t="s">
        <v>74</v>
      </c>
      <c r="BA331" t="s">
        <v>74</v>
      </c>
      <c r="BB331" t="s">
        <v>74</v>
      </c>
      <c r="BC331" t="s">
        <v>74</v>
      </c>
      <c r="BD331">
        <v>163046</v>
      </c>
      <c r="BE331" t="s">
        <v>6756</v>
      </c>
      <c r="BF331" t="str">
        <f>HYPERLINK("http://dx.doi.org/10.1016/j.scitotenv.2023.163046","http://dx.doi.org/10.1016/j.scitotenv.2023.163046")</f>
        <v>http://dx.doi.org/10.1016/j.scitotenv.2023.163046</v>
      </c>
      <c r="BG331" t="s">
        <v>74</v>
      </c>
      <c r="BH331" t="s">
        <v>6218</v>
      </c>
      <c r="BI331">
        <v>13</v>
      </c>
      <c r="BJ331" t="s">
        <v>1163</v>
      </c>
      <c r="BK331" t="s">
        <v>103</v>
      </c>
      <c r="BL331" t="s">
        <v>1164</v>
      </c>
      <c r="BM331" t="s">
        <v>6757</v>
      </c>
      <c r="BN331">
        <v>36965736</v>
      </c>
      <c r="BO331" t="s">
        <v>74</v>
      </c>
      <c r="BP331" t="s">
        <v>74</v>
      </c>
      <c r="BQ331" t="s">
        <v>74</v>
      </c>
      <c r="BR331" t="s">
        <v>106</v>
      </c>
      <c r="BS331" t="s">
        <v>6758</v>
      </c>
      <c r="BT331" t="str">
        <f>HYPERLINK("https%3A%2F%2Fwww.webofscience.com%2Fwos%2Fwoscc%2Ffull-record%2FWOS:000969142100001","View Full Record in Web of Science")</f>
        <v>View Full Record in Web of Science</v>
      </c>
    </row>
    <row r="332" spans="1:72" x14ac:dyDescent="0.15">
      <c r="A332" t="s">
        <v>72</v>
      </c>
      <c r="B332" t="s">
        <v>6759</v>
      </c>
      <c r="C332" t="s">
        <v>74</v>
      </c>
      <c r="D332" t="s">
        <v>74</v>
      </c>
      <c r="E332" t="s">
        <v>74</v>
      </c>
      <c r="F332" t="s">
        <v>6760</v>
      </c>
      <c r="G332" t="s">
        <v>74</v>
      </c>
      <c r="H332" t="s">
        <v>74</v>
      </c>
      <c r="I332" t="s">
        <v>6761</v>
      </c>
      <c r="J332" t="s">
        <v>6762</v>
      </c>
      <c r="K332" t="s">
        <v>74</v>
      </c>
      <c r="L332" t="s">
        <v>74</v>
      </c>
      <c r="M332" t="s">
        <v>78</v>
      </c>
      <c r="N332" t="s">
        <v>112</v>
      </c>
      <c r="O332" t="s">
        <v>74</v>
      </c>
      <c r="P332" t="s">
        <v>74</v>
      </c>
      <c r="Q332" t="s">
        <v>74</v>
      </c>
      <c r="R332" t="s">
        <v>74</v>
      </c>
      <c r="S332" t="s">
        <v>74</v>
      </c>
      <c r="T332" t="s">
        <v>6763</v>
      </c>
      <c r="U332" t="s">
        <v>6764</v>
      </c>
      <c r="V332" t="s">
        <v>6765</v>
      </c>
      <c r="W332" t="s">
        <v>6766</v>
      </c>
      <c r="X332" t="s">
        <v>6767</v>
      </c>
      <c r="Y332" t="s">
        <v>6768</v>
      </c>
      <c r="Z332" t="s">
        <v>6769</v>
      </c>
      <c r="AA332" t="s">
        <v>74</v>
      </c>
      <c r="AB332" t="s">
        <v>6770</v>
      </c>
      <c r="AC332" t="s">
        <v>6771</v>
      </c>
      <c r="AD332" t="s">
        <v>6772</v>
      </c>
      <c r="AE332" t="s">
        <v>6773</v>
      </c>
      <c r="AF332" t="s">
        <v>74</v>
      </c>
      <c r="AG332">
        <v>49</v>
      </c>
      <c r="AH332">
        <v>1</v>
      </c>
      <c r="AI332">
        <v>1</v>
      </c>
      <c r="AJ332">
        <v>3</v>
      </c>
      <c r="AK332">
        <v>4</v>
      </c>
      <c r="AL332" t="s">
        <v>1405</v>
      </c>
      <c r="AM332" t="s">
        <v>226</v>
      </c>
      <c r="AN332" t="s">
        <v>1406</v>
      </c>
      <c r="AO332" t="s">
        <v>6774</v>
      </c>
      <c r="AP332" t="s">
        <v>74</v>
      </c>
      <c r="AQ332" t="s">
        <v>74</v>
      </c>
      <c r="AR332" t="s">
        <v>6775</v>
      </c>
      <c r="AS332" t="s">
        <v>6776</v>
      </c>
      <c r="AT332" t="s">
        <v>1437</v>
      </c>
      <c r="AU332">
        <v>2023</v>
      </c>
      <c r="AV332">
        <v>54</v>
      </c>
      <c r="AW332" t="s">
        <v>74</v>
      </c>
      <c r="AX332" t="s">
        <v>74</v>
      </c>
      <c r="AY332" t="s">
        <v>74</v>
      </c>
      <c r="AZ332" t="s">
        <v>74</v>
      </c>
      <c r="BA332" t="s">
        <v>74</v>
      </c>
      <c r="BB332" t="s">
        <v>74</v>
      </c>
      <c r="BC332" t="s">
        <v>74</v>
      </c>
      <c r="BD332">
        <v>100742</v>
      </c>
      <c r="BE332" t="s">
        <v>6777</v>
      </c>
      <c r="BF332" t="str">
        <f>HYPERLINK("http://dx.doi.org/10.1016/j.spasta.2023.100742","http://dx.doi.org/10.1016/j.spasta.2023.100742")</f>
        <v>http://dx.doi.org/10.1016/j.spasta.2023.100742</v>
      </c>
      <c r="BG332" t="s">
        <v>74</v>
      </c>
      <c r="BH332" t="s">
        <v>6218</v>
      </c>
      <c r="BI332">
        <v>16</v>
      </c>
      <c r="BJ332" t="s">
        <v>6778</v>
      </c>
      <c r="BK332" t="s">
        <v>103</v>
      </c>
      <c r="BL332" t="s">
        <v>6779</v>
      </c>
      <c r="BM332" t="s">
        <v>6780</v>
      </c>
      <c r="BN332" t="s">
        <v>74</v>
      </c>
      <c r="BO332" t="s">
        <v>1389</v>
      </c>
      <c r="BP332" t="s">
        <v>74</v>
      </c>
      <c r="BQ332" t="s">
        <v>74</v>
      </c>
      <c r="BR332" t="s">
        <v>106</v>
      </c>
      <c r="BS332" t="s">
        <v>6781</v>
      </c>
      <c r="BT332" t="str">
        <f>HYPERLINK("https%3A%2F%2Fwww.webofscience.com%2Fwos%2Fwoscc%2Ffull-record%2FWOS:000971130200001","View Full Record in Web of Science")</f>
        <v>View Full Record in Web of Science</v>
      </c>
    </row>
    <row r="333" spans="1:72" x14ac:dyDescent="0.15">
      <c r="A333" t="s">
        <v>72</v>
      </c>
      <c r="B333" t="s">
        <v>6782</v>
      </c>
      <c r="C333" t="s">
        <v>74</v>
      </c>
      <c r="D333" t="s">
        <v>74</v>
      </c>
      <c r="E333" t="s">
        <v>74</v>
      </c>
      <c r="F333" t="s">
        <v>6783</v>
      </c>
      <c r="G333" t="s">
        <v>74</v>
      </c>
      <c r="H333" t="s">
        <v>74</v>
      </c>
      <c r="I333" t="s">
        <v>6784</v>
      </c>
      <c r="J333" t="s">
        <v>643</v>
      </c>
      <c r="K333" t="s">
        <v>74</v>
      </c>
      <c r="L333" t="s">
        <v>74</v>
      </c>
      <c r="M333" t="s">
        <v>78</v>
      </c>
      <c r="N333" t="s">
        <v>112</v>
      </c>
      <c r="O333" t="s">
        <v>74</v>
      </c>
      <c r="P333" t="s">
        <v>74</v>
      </c>
      <c r="Q333" t="s">
        <v>74</v>
      </c>
      <c r="R333" t="s">
        <v>74</v>
      </c>
      <c r="S333" t="s">
        <v>74</v>
      </c>
      <c r="T333" t="s">
        <v>6785</v>
      </c>
      <c r="U333" t="s">
        <v>6786</v>
      </c>
      <c r="V333" t="s">
        <v>6787</v>
      </c>
      <c r="W333" t="s">
        <v>6788</v>
      </c>
      <c r="X333" t="s">
        <v>6789</v>
      </c>
      <c r="Y333" t="s">
        <v>6790</v>
      </c>
      <c r="Z333" t="s">
        <v>6791</v>
      </c>
      <c r="AA333" t="s">
        <v>6792</v>
      </c>
      <c r="AB333" t="s">
        <v>6793</v>
      </c>
      <c r="AC333" t="s">
        <v>6794</v>
      </c>
      <c r="AD333" t="s">
        <v>6795</v>
      </c>
      <c r="AE333" t="s">
        <v>6796</v>
      </c>
      <c r="AF333" t="s">
        <v>74</v>
      </c>
      <c r="AG333">
        <v>32</v>
      </c>
      <c r="AH333">
        <v>1</v>
      </c>
      <c r="AI333">
        <v>3</v>
      </c>
      <c r="AJ333">
        <v>4</v>
      </c>
      <c r="AK333">
        <v>8</v>
      </c>
      <c r="AL333" t="s">
        <v>305</v>
      </c>
      <c r="AM333" t="s">
        <v>306</v>
      </c>
      <c r="AN333" t="s">
        <v>307</v>
      </c>
      <c r="AO333" t="s">
        <v>656</v>
      </c>
      <c r="AP333" t="s">
        <v>657</v>
      </c>
      <c r="AQ333" t="s">
        <v>74</v>
      </c>
      <c r="AR333" t="s">
        <v>658</v>
      </c>
      <c r="AS333" t="s">
        <v>659</v>
      </c>
      <c r="AT333" t="s">
        <v>6586</v>
      </c>
      <c r="AU333">
        <v>2023</v>
      </c>
      <c r="AV333">
        <v>50</v>
      </c>
      <c r="AW333">
        <v>6</v>
      </c>
      <c r="AX333" t="s">
        <v>74</v>
      </c>
      <c r="AY333" t="s">
        <v>74</v>
      </c>
      <c r="AZ333" t="s">
        <v>74</v>
      </c>
      <c r="BA333" t="s">
        <v>74</v>
      </c>
      <c r="BB333" t="s">
        <v>74</v>
      </c>
      <c r="BC333" t="s">
        <v>74</v>
      </c>
      <c r="BD333" t="s">
        <v>6797</v>
      </c>
      <c r="BE333" t="s">
        <v>6798</v>
      </c>
      <c r="BF333" t="str">
        <f>HYPERLINK("http://dx.doi.org/10.1029/2022GL101294","http://dx.doi.org/10.1029/2022GL101294")</f>
        <v>http://dx.doi.org/10.1029/2022GL101294</v>
      </c>
      <c r="BG333" t="s">
        <v>74</v>
      </c>
      <c r="BH333" t="s">
        <v>74</v>
      </c>
      <c r="BI333">
        <v>10</v>
      </c>
      <c r="BJ333" t="s">
        <v>261</v>
      </c>
      <c r="BK333" t="s">
        <v>103</v>
      </c>
      <c r="BL333" t="s">
        <v>262</v>
      </c>
      <c r="BM333" t="s">
        <v>6799</v>
      </c>
      <c r="BN333" t="s">
        <v>74</v>
      </c>
      <c r="BO333" t="s">
        <v>387</v>
      </c>
      <c r="BP333" t="s">
        <v>74</v>
      </c>
      <c r="BQ333" t="s">
        <v>74</v>
      </c>
      <c r="BR333" t="s">
        <v>106</v>
      </c>
      <c r="BS333" t="s">
        <v>6800</v>
      </c>
      <c r="BT333" t="str">
        <f>HYPERLINK("https%3A%2F%2Fwww.webofscience.com%2Fwos%2Fwoscc%2Ffull-record%2FWOS:000973594400001","View Full Record in Web of Science")</f>
        <v>View Full Record in Web of Science</v>
      </c>
    </row>
    <row r="334" spans="1:72" x14ac:dyDescent="0.15">
      <c r="A334" t="s">
        <v>72</v>
      </c>
      <c r="B334" t="s">
        <v>6801</v>
      </c>
      <c r="C334" t="s">
        <v>74</v>
      </c>
      <c r="D334" t="s">
        <v>74</v>
      </c>
      <c r="E334" t="s">
        <v>74</v>
      </c>
      <c r="F334" t="s">
        <v>6802</v>
      </c>
      <c r="G334" t="s">
        <v>74</v>
      </c>
      <c r="H334" t="s">
        <v>74</v>
      </c>
      <c r="I334" t="s">
        <v>6803</v>
      </c>
      <c r="J334" t="s">
        <v>6804</v>
      </c>
      <c r="K334" t="s">
        <v>74</v>
      </c>
      <c r="L334" t="s">
        <v>74</v>
      </c>
      <c r="M334" t="s">
        <v>78</v>
      </c>
      <c r="N334" t="s">
        <v>112</v>
      </c>
      <c r="O334" t="s">
        <v>74</v>
      </c>
      <c r="P334" t="s">
        <v>74</v>
      </c>
      <c r="Q334" t="s">
        <v>74</v>
      </c>
      <c r="R334" t="s">
        <v>74</v>
      </c>
      <c r="S334" t="s">
        <v>74</v>
      </c>
      <c r="T334" t="s">
        <v>6805</v>
      </c>
      <c r="U334" t="s">
        <v>6806</v>
      </c>
      <c r="V334" t="s">
        <v>6807</v>
      </c>
      <c r="W334" t="s">
        <v>6808</v>
      </c>
      <c r="X334" t="s">
        <v>6809</v>
      </c>
      <c r="Y334" t="s">
        <v>6810</v>
      </c>
      <c r="Z334" t="s">
        <v>6811</v>
      </c>
      <c r="AA334" t="s">
        <v>74</v>
      </c>
      <c r="AB334" t="s">
        <v>6812</v>
      </c>
      <c r="AC334" t="s">
        <v>6813</v>
      </c>
      <c r="AD334" t="s">
        <v>6814</v>
      </c>
      <c r="AE334" t="s">
        <v>6815</v>
      </c>
      <c r="AF334" t="s">
        <v>74</v>
      </c>
      <c r="AG334">
        <v>218</v>
      </c>
      <c r="AH334">
        <v>1</v>
      </c>
      <c r="AI334">
        <v>2</v>
      </c>
      <c r="AJ334">
        <v>4</v>
      </c>
      <c r="AK334">
        <v>10</v>
      </c>
      <c r="AL334" t="s">
        <v>1405</v>
      </c>
      <c r="AM334" t="s">
        <v>226</v>
      </c>
      <c r="AN334" t="s">
        <v>1406</v>
      </c>
      <c r="AO334" t="s">
        <v>6816</v>
      </c>
      <c r="AP334" t="s">
        <v>6817</v>
      </c>
      <c r="AQ334" t="s">
        <v>74</v>
      </c>
      <c r="AR334" t="s">
        <v>6818</v>
      </c>
      <c r="AS334" t="s">
        <v>6819</v>
      </c>
      <c r="AT334" t="s">
        <v>1790</v>
      </c>
      <c r="AU334">
        <v>2023</v>
      </c>
      <c r="AV334">
        <v>239</v>
      </c>
      <c r="AW334" t="s">
        <v>74</v>
      </c>
      <c r="AX334" t="s">
        <v>74</v>
      </c>
      <c r="AY334" t="s">
        <v>74</v>
      </c>
      <c r="AZ334" t="s">
        <v>74</v>
      </c>
      <c r="BA334" t="s">
        <v>74</v>
      </c>
      <c r="BB334" t="s">
        <v>74</v>
      </c>
      <c r="BC334" t="s">
        <v>74</v>
      </c>
      <c r="BD334">
        <v>106580</v>
      </c>
      <c r="BE334" t="s">
        <v>6820</v>
      </c>
      <c r="BF334" t="str">
        <f>HYPERLINK("http://dx.doi.org/10.1016/j.ocecoaman.2023.106580","http://dx.doi.org/10.1016/j.ocecoaman.2023.106580")</f>
        <v>http://dx.doi.org/10.1016/j.ocecoaman.2023.106580</v>
      </c>
      <c r="BG334" t="s">
        <v>74</v>
      </c>
      <c r="BH334" t="s">
        <v>6218</v>
      </c>
      <c r="BI334">
        <v>17</v>
      </c>
      <c r="BJ334" t="s">
        <v>6821</v>
      </c>
      <c r="BK334" t="s">
        <v>103</v>
      </c>
      <c r="BL334" t="s">
        <v>6821</v>
      </c>
      <c r="BM334" t="s">
        <v>6822</v>
      </c>
      <c r="BN334" t="s">
        <v>74</v>
      </c>
      <c r="BO334" t="s">
        <v>315</v>
      </c>
      <c r="BP334" t="s">
        <v>74</v>
      </c>
      <c r="BQ334" t="s">
        <v>74</v>
      </c>
      <c r="BR334" t="s">
        <v>106</v>
      </c>
      <c r="BS334" t="s">
        <v>6823</v>
      </c>
      <c r="BT334" t="str">
        <f>HYPERLINK("https%3A%2F%2Fwww.webofscience.com%2Fwos%2Fwoscc%2Ffull-record%2FWOS:000967563600001","View Full Record in Web of Science")</f>
        <v>View Full Record in Web of Science</v>
      </c>
    </row>
    <row r="335" spans="1:72" x14ac:dyDescent="0.15">
      <c r="A335" t="s">
        <v>72</v>
      </c>
      <c r="B335" t="s">
        <v>6824</v>
      </c>
      <c r="C335" t="s">
        <v>74</v>
      </c>
      <c r="D335" t="s">
        <v>74</v>
      </c>
      <c r="E335" t="s">
        <v>74</v>
      </c>
      <c r="F335" t="s">
        <v>6825</v>
      </c>
      <c r="G335" t="s">
        <v>74</v>
      </c>
      <c r="H335" t="s">
        <v>74</v>
      </c>
      <c r="I335" t="s">
        <v>6826</v>
      </c>
      <c r="J335" t="s">
        <v>6827</v>
      </c>
      <c r="K335" t="s">
        <v>74</v>
      </c>
      <c r="L335" t="s">
        <v>74</v>
      </c>
      <c r="M335" t="s">
        <v>78</v>
      </c>
      <c r="N335" t="s">
        <v>365</v>
      </c>
      <c r="O335" t="s">
        <v>74</v>
      </c>
      <c r="P335" t="s">
        <v>74</v>
      </c>
      <c r="Q335" t="s">
        <v>74</v>
      </c>
      <c r="R335" t="s">
        <v>74</v>
      </c>
      <c r="S335" t="s">
        <v>74</v>
      </c>
      <c r="T335" t="s">
        <v>6828</v>
      </c>
      <c r="U335" t="s">
        <v>6829</v>
      </c>
      <c r="V335" t="s">
        <v>6830</v>
      </c>
      <c r="W335" t="s">
        <v>6831</v>
      </c>
      <c r="X335" t="s">
        <v>6832</v>
      </c>
      <c r="Y335" t="s">
        <v>6833</v>
      </c>
      <c r="Z335" t="s">
        <v>6834</v>
      </c>
      <c r="AA335" t="s">
        <v>6835</v>
      </c>
      <c r="AB335" t="s">
        <v>6836</v>
      </c>
      <c r="AC335" t="s">
        <v>74</v>
      </c>
      <c r="AD335" t="s">
        <v>74</v>
      </c>
      <c r="AE335" t="s">
        <v>74</v>
      </c>
      <c r="AF335" t="s">
        <v>74</v>
      </c>
      <c r="AG335">
        <v>111</v>
      </c>
      <c r="AH335">
        <v>2</v>
      </c>
      <c r="AI335">
        <v>2</v>
      </c>
      <c r="AJ335">
        <v>18</v>
      </c>
      <c r="AK335">
        <v>31</v>
      </c>
      <c r="AL335" t="s">
        <v>768</v>
      </c>
      <c r="AM335" t="s">
        <v>179</v>
      </c>
      <c r="AN335" t="s">
        <v>769</v>
      </c>
      <c r="AO335" t="s">
        <v>6837</v>
      </c>
      <c r="AP335" t="s">
        <v>6838</v>
      </c>
      <c r="AQ335" t="s">
        <v>74</v>
      </c>
      <c r="AR335" t="s">
        <v>6839</v>
      </c>
      <c r="AS335" t="s">
        <v>6840</v>
      </c>
      <c r="AT335" t="s">
        <v>1108</v>
      </c>
      <c r="AU335">
        <v>2023</v>
      </c>
      <c r="AV335">
        <v>54</v>
      </c>
      <c r="AW335">
        <v>3</v>
      </c>
      <c r="AX335" t="s">
        <v>74</v>
      </c>
      <c r="AY335" t="s">
        <v>74</v>
      </c>
      <c r="AZ335" t="s">
        <v>74</v>
      </c>
      <c r="BA335" t="s">
        <v>74</v>
      </c>
      <c r="BB335">
        <v>2011</v>
      </c>
      <c r="BC335">
        <v>2026</v>
      </c>
      <c r="BD335" t="s">
        <v>74</v>
      </c>
      <c r="BE335" t="s">
        <v>6841</v>
      </c>
      <c r="BF335" t="str">
        <f>HYPERLINK("http://dx.doi.org/10.1007/s42770-023-00949-9","http://dx.doi.org/10.1007/s42770-023-00949-9")</f>
        <v>http://dx.doi.org/10.1007/s42770-023-00949-9</v>
      </c>
      <c r="BG335" t="s">
        <v>74</v>
      </c>
      <c r="BH335" t="s">
        <v>6218</v>
      </c>
      <c r="BI335">
        <v>16</v>
      </c>
      <c r="BJ335" t="s">
        <v>1387</v>
      </c>
      <c r="BK335" t="s">
        <v>103</v>
      </c>
      <c r="BL335" t="s">
        <v>1387</v>
      </c>
      <c r="BM335" t="s">
        <v>6842</v>
      </c>
      <c r="BN335">
        <v>36973583</v>
      </c>
      <c r="BO335" t="s">
        <v>74</v>
      </c>
      <c r="BP335" t="s">
        <v>74</v>
      </c>
      <c r="BQ335" t="s">
        <v>74</v>
      </c>
      <c r="BR335" t="s">
        <v>106</v>
      </c>
      <c r="BS335" t="s">
        <v>6843</v>
      </c>
      <c r="BT335" t="str">
        <f>HYPERLINK("https%3A%2F%2Fwww.webofscience.com%2Fwos%2Fwoscc%2Ffull-record%2FWOS:000959690200001","View Full Record in Web of Science")</f>
        <v>View Full Record in Web of Science</v>
      </c>
    </row>
    <row r="336" spans="1:72" x14ac:dyDescent="0.15">
      <c r="A336" t="s">
        <v>72</v>
      </c>
      <c r="B336" t="s">
        <v>6844</v>
      </c>
      <c r="C336" t="s">
        <v>74</v>
      </c>
      <c r="D336" t="s">
        <v>74</v>
      </c>
      <c r="E336" t="s">
        <v>74</v>
      </c>
      <c r="F336" t="s">
        <v>6845</v>
      </c>
      <c r="G336" t="s">
        <v>74</v>
      </c>
      <c r="H336" t="s">
        <v>74</v>
      </c>
      <c r="I336" t="s">
        <v>6846</v>
      </c>
      <c r="J336" t="s">
        <v>6847</v>
      </c>
      <c r="K336" t="s">
        <v>74</v>
      </c>
      <c r="L336" t="s">
        <v>74</v>
      </c>
      <c r="M336" t="s">
        <v>78</v>
      </c>
      <c r="N336" t="s">
        <v>1754</v>
      </c>
      <c r="O336" t="s">
        <v>74</v>
      </c>
      <c r="P336" t="s">
        <v>74</v>
      </c>
      <c r="Q336" t="s">
        <v>74</v>
      </c>
      <c r="R336" t="s">
        <v>74</v>
      </c>
      <c r="S336" t="s">
        <v>74</v>
      </c>
      <c r="T336" t="s">
        <v>6848</v>
      </c>
      <c r="U336" t="s">
        <v>6849</v>
      </c>
      <c r="V336" t="s">
        <v>6850</v>
      </c>
      <c r="W336" t="s">
        <v>6851</v>
      </c>
      <c r="X336" t="s">
        <v>6852</v>
      </c>
      <c r="Y336" t="s">
        <v>6853</v>
      </c>
      <c r="Z336" t="s">
        <v>3848</v>
      </c>
      <c r="AA336" t="s">
        <v>6854</v>
      </c>
      <c r="AB336" t="s">
        <v>6855</v>
      </c>
      <c r="AC336" t="s">
        <v>6856</v>
      </c>
      <c r="AD336" t="s">
        <v>6857</v>
      </c>
      <c r="AE336" t="s">
        <v>6858</v>
      </c>
      <c r="AF336" t="s">
        <v>74</v>
      </c>
      <c r="AG336">
        <v>74</v>
      </c>
      <c r="AH336">
        <v>4</v>
      </c>
      <c r="AI336">
        <v>4</v>
      </c>
      <c r="AJ336">
        <v>7</v>
      </c>
      <c r="AK336">
        <v>15</v>
      </c>
      <c r="AL336" t="s">
        <v>1599</v>
      </c>
      <c r="AM336" t="s">
        <v>306</v>
      </c>
      <c r="AN336" t="s">
        <v>1600</v>
      </c>
      <c r="AO336" t="s">
        <v>6859</v>
      </c>
      <c r="AP336" t="s">
        <v>6860</v>
      </c>
      <c r="AQ336" t="s">
        <v>74</v>
      </c>
      <c r="AR336" t="s">
        <v>6861</v>
      </c>
      <c r="AS336" t="s">
        <v>6862</v>
      </c>
      <c r="AT336" t="s">
        <v>6863</v>
      </c>
      <c r="AU336">
        <v>2023</v>
      </c>
      <c r="AV336" t="s">
        <v>74</v>
      </c>
      <c r="AW336" t="s">
        <v>74</v>
      </c>
      <c r="AX336" t="s">
        <v>74</v>
      </c>
      <c r="AY336" t="s">
        <v>74</v>
      </c>
      <c r="AZ336" t="s">
        <v>74</v>
      </c>
      <c r="BA336" t="s">
        <v>74</v>
      </c>
      <c r="BB336" t="s">
        <v>74</v>
      </c>
      <c r="BC336" t="s">
        <v>74</v>
      </c>
      <c r="BD336" t="s">
        <v>74</v>
      </c>
      <c r="BE336" t="s">
        <v>6864</v>
      </c>
      <c r="BF336" t="str">
        <f>HYPERLINK("http://dx.doi.org/10.1128/aem.01896-22","http://dx.doi.org/10.1128/aem.01896-22")</f>
        <v>http://dx.doi.org/10.1128/aem.01896-22</v>
      </c>
      <c r="BG336" t="s">
        <v>74</v>
      </c>
      <c r="BH336" t="s">
        <v>6218</v>
      </c>
      <c r="BI336">
        <v>14</v>
      </c>
      <c r="BJ336" t="s">
        <v>6865</v>
      </c>
      <c r="BK336" t="s">
        <v>103</v>
      </c>
      <c r="BL336" t="s">
        <v>6865</v>
      </c>
      <c r="BM336" t="s">
        <v>6866</v>
      </c>
      <c r="BN336">
        <v>36975807</v>
      </c>
      <c r="BO336" t="s">
        <v>1748</v>
      </c>
      <c r="BP336" t="s">
        <v>74</v>
      </c>
      <c r="BQ336" t="s">
        <v>74</v>
      </c>
      <c r="BR336" t="s">
        <v>106</v>
      </c>
      <c r="BS336" t="s">
        <v>6867</v>
      </c>
      <c r="BT336" t="str">
        <f>HYPERLINK("https%3A%2F%2Fwww.webofscience.com%2Fwos%2Fwoscc%2Ffull-record%2FWOS:000957541900001","View Full Record in Web of Science")</f>
        <v>View Full Record in Web of Science</v>
      </c>
    </row>
    <row r="337" spans="1:72" x14ac:dyDescent="0.15">
      <c r="A337" t="s">
        <v>72</v>
      </c>
      <c r="B337" t="s">
        <v>6868</v>
      </c>
      <c r="C337" t="s">
        <v>74</v>
      </c>
      <c r="D337" t="s">
        <v>74</v>
      </c>
      <c r="E337" t="s">
        <v>74</v>
      </c>
      <c r="F337" t="s">
        <v>6869</v>
      </c>
      <c r="G337" t="s">
        <v>74</v>
      </c>
      <c r="H337" t="s">
        <v>74</v>
      </c>
      <c r="I337" t="s">
        <v>6870</v>
      </c>
      <c r="J337" t="s">
        <v>643</v>
      </c>
      <c r="K337" t="s">
        <v>74</v>
      </c>
      <c r="L337" t="s">
        <v>74</v>
      </c>
      <c r="M337" t="s">
        <v>78</v>
      </c>
      <c r="N337" t="s">
        <v>112</v>
      </c>
      <c r="O337" t="s">
        <v>74</v>
      </c>
      <c r="P337" t="s">
        <v>74</v>
      </c>
      <c r="Q337" t="s">
        <v>74</v>
      </c>
      <c r="R337" t="s">
        <v>74</v>
      </c>
      <c r="S337" t="s">
        <v>74</v>
      </c>
      <c r="T337" t="s">
        <v>6871</v>
      </c>
      <c r="U337" t="s">
        <v>6872</v>
      </c>
      <c r="V337" t="s">
        <v>6873</v>
      </c>
      <c r="W337" t="s">
        <v>6874</v>
      </c>
      <c r="X337" t="s">
        <v>6875</v>
      </c>
      <c r="Y337" t="s">
        <v>6876</v>
      </c>
      <c r="Z337" t="s">
        <v>6877</v>
      </c>
      <c r="AA337" t="s">
        <v>6878</v>
      </c>
      <c r="AB337" t="s">
        <v>6879</v>
      </c>
      <c r="AC337" t="s">
        <v>6880</v>
      </c>
      <c r="AD337" t="s">
        <v>6881</v>
      </c>
      <c r="AE337" t="s">
        <v>6882</v>
      </c>
      <c r="AF337" t="s">
        <v>74</v>
      </c>
      <c r="AG337">
        <v>23</v>
      </c>
      <c r="AH337">
        <v>0</v>
      </c>
      <c r="AI337">
        <v>0</v>
      </c>
      <c r="AJ337">
        <v>1</v>
      </c>
      <c r="AK337">
        <v>7</v>
      </c>
      <c r="AL337" t="s">
        <v>305</v>
      </c>
      <c r="AM337" t="s">
        <v>306</v>
      </c>
      <c r="AN337" t="s">
        <v>307</v>
      </c>
      <c r="AO337" t="s">
        <v>656</v>
      </c>
      <c r="AP337" t="s">
        <v>657</v>
      </c>
      <c r="AQ337" t="s">
        <v>74</v>
      </c>
      <c r="AR337" t="s">
        <v>658</v>
      </c>
      <c r="AS337" t="s">
        <v>659</v>
      </c>
      <c r="AT337" t="s">
        <v>6586</v>
      </c>
      <c r="AU337">
        <v>2023</v>
      </c>
      <c r="AV337">
        <v>50</v>
      </c>
      <c r="AW337">
        <v>6</v>
      </c>
      <c r="AX337" t="s">
        <v>74</v>
      </c>
      <c r="AY337" t="s">
        <v>74</v>
      </c>
      <c r="AZ337" t="s">
        <v>74</v>
      </c>
      <c r="BA337" t="s">
        <v>74</v>
      </c>
      <c r="BB337" t="s">
        <v>74</v>
      </c>
      <c r="BC337" t="s">
        <v>74</v>
      </c>
      <c r="BD337" t="s">
        <v>6883</v>
      </c>
      <c r="BE337" t="s">
        <v>6884</v>
      </c>
      <c r="BF337" t="str">
        <f>HYPERLINK("http://dx.doi.org/10.1029/2022GL101687","http://dx.doi.org/10.1029/2022GL101687")</f>
        <v>http://dx.doi.org/10.1029/2022GL101687</v>
      </c>
      <c r="BG337" t="s">
        <v>74</v>
      </c>
      <c r="BH337" t="s">
        <v>74</v>
      </c>
      <c r="BI337">
        <v>9</v>
      </c>
      <c r="BJ337" t="s">
        <v>261</v>
      </c>
      <c r="BK337" t="s">
        <v>103</v>
      </c>
      <c r="BL337" t="s">
        <v>262</v>
      </c>
      <c r="BM337" t="s">
        <v>6885</v>
      </c>
      <c r="BN337" t="s">
        <v>74</v>
      </c>
      <c r="BO337" t="s">
        <v>387</v>
      </c>
      <c r="BP337" t="s">
        <v>74</v>
      </c>
      <c r="BQ337" t="s">
        <v>74</v>
      </c>
      <c r="BR337" t="s">
        <v>106</v>
      </c>
      <c r="BS337" t="s">
        <v>6886</v>
      </c>
      <c r="BT337" t="str">
        <f>HYPERLINK("https%3A%2F%2Fwww.webofscience.com%2Fwos%2Fwoscc%2Ffull-record%2FWOS:000949061000001","View Full Record in Web of Science")</f>
        <v>View Full Record in Web of Science</v>
      </c>
    </row>
    <row r="338" spans="1:72" x14ac:dyDescent="0.15">
      <c r="A338" t="s">
        <v>72</v>
      </c>
      <c r="B338" t="s">
        <v>6887</v>
      </c>
      <c r="C338" t="s">
        <v>74</v>
      </c>
      <c r="D338" t="s">
        <v>74</v>
      </c>
      <c r="E338" t="s">
        <v>74</v>
      </c>
      <c r="F338" t="s">
        <v>6888</v>
      </c>
      <c r="G338" t="s">
        <v>74</v>
      </c>
      <c r="H338" t="s">
        <v>74</v>
      </c>
      <c r="I338" t="s">
        <v>6889</v>
      </c>
      <c r="J338" t="s">
        <v>2665</v>
      </c>
      <c r="K338" t="s">
        <v>74</v>
      </c>
      <c r="L338" t="s">
        <v>74</v>
      </c>
      <c r="M338" t="s">
        <v>78</v>
      </c>
      <c r="N338" t="s">
        <v>112</v>
      </c>
      <c r="O338" t="s">
        <v>74</v>
      </c>
      <c r="P338" t="s">
        <v>74</v>
      </c>
      <c r="Q338" t="s">
        <v>74</v>
      </c>
      <c r="R338" t="s">
        <v>74</v>
      </c>
      <c r="S338" t="s">
        <v>74</v>
      </c>
      <c r="T338" t="s">
        <v>6890</v>
      </c>
      <c r="U338" t="s">
        <v>6891</v>
      </c>
      <c r="V338" t="s">
        <v>6892</v>
      </c>
      <c r="W338" t="s">
        <v>6893</v>
      </c>
      <c r="X338" t="s">
        <v>6894</v>
      </c>
      <c r="Y338" t="s">
        <v>6895</v>
      </c>
      <c r="Z338" t="s">
        <v>6896</v>
      </c>
      <c r="AA338" t="s">
        <v>74</v>
      </c>
      <c r="AB338" t="s">
        <v>74</v>
      </c>
      <c r="AC338" t="s">
        <v>6897</v>
      </c>
      <c r="AD338" t="s">
        <v>6898</v>
      </c>
      <c r="AE338" t="s">
        <v>6899</v>
      </c>
      <c r="AF338" t="s">
        <v>74</v>
      </c>
      <c r="AG338">
        <v>95</v>
      </c>
      <c r="AH338">
        <v>0</v>
      </c>
      <c r="AI338">
        <v>0</v>
      </c>
      <c r="AJ338">
        <v>3</v>
      </c>
      <c r="AK338">
        <v>4</v>
      </c>
      <c r="AL338" t="s">
        <v>700</v>
      </c>
      <c r="AM338" t="s">
        <v>701</v>
      </c>
      <c r="AN338" t="s">
        <v>702</v>
      </c>
      <c r="AO338" t="s">
        <v>74</v>
      </c>
      <c r="AP338" t="s">
        <v>2676</v>
      </c>
      <c r="AQ338" t="s">
        <v>74</v>
      </c>
      <c r="AR338" t="s">
        <v>2677</v>
      </c>
      <c r="AS338" t="s">
        <v>2678</v>
      </c>
      <c r="AT338" t="s">
        <v>6900</v>
      </c>
      <c r="AU338">
        <v>2023</v>
      </c>
      <c r="AV338">
        <v>4</v>
      </c>
      <c r="AW338" t="s">
        <v>74</v>
      </c>
      <c r="AX338" t="s">
        <v>74</v>
      </c>
      <c r="AY338" t="s">
        <v>74</v>
      </c>
      <c r="AZ338" t="s">
        <v>74</v>
      </c>
      <c r="BA338" t="s">
        <v>74</v>
      </c>
      <c r="BB338" t="s">
        <v>74</v>
      </c>
      <c r="BC338" t="s">
        <v>74</v>
      </c>
      <c r="BD338">
        <v>940627</v>
      </c>
      <c r="BE338" t="s">
        <v>6901</v>
      </c>
      <c r="BF338" t="str">
        <f>HYPERLINK("http://dx.doi.org/10.3389/frsen.2023.940627","http://dx.doi.org/10.3389/frsen.2023.940627")</f>
        <v>http://dx.doi.org/10.3389/frsen.2023.940627</v>
      </c>
      <c r="BG338" t="s">
        <v>74</v>
      </c>
      <c r="BH338" t="s">
        <v>74</v>
      </c>
      <c r="BI338">
        <v>16</v>
      </c>
      <c r="BJ338" t="s">
        <v>2681</v>
      </c>
      <c r="BK338" t="s">
        <v>160</v>
      </c>
      <c r="BL338" t="s">
        <v>2681</v>
      </c>
      <c r="BM338" t="s">
        <v>6902</v>
      </c>
      <c r="BN338" t="s">
        <v>74</v>
      </c>
      <c r="BO338" t="s">
        <v>359</v>
      </c>
      <c r="BP338" t="s">
        <v>74</v>
      </c>
      <c r="BQ338" t="s">
        <v>74</v>
      </c>
      <c r="BR338" t="s">
        <v>106</v>
      </c>
      <c r="BS338" t="s">
        <v>6903</v>
      </c>
      <c r="BT338" t="str">
        <f>HYPERLINK("https%3A%2F%2Fwww.webofscience.com%2Fwos%2Fwoscc%2Ffull-record%2FWOS:001065864200001","View Full Record in Web of Science")</f>
        <v>View Full Record in Web of Science</v>
      </c>
    </row>
    <row r="339" spans="1:72" x14ac:dyDescent="0.15">
      <c r="A339" t="s">
        <v>72</v>
      </c>
      <c r="B339" t="s">
        <v>6904</v>
      </c>
      <c r="C339" t="s">
        <v>74</v>
      </c>
      <c r="D339" t="s">
        <v>74</v>
      </c>
      <c r="E339" t="s">
        <v>74</v>
      </c>
      <c r="F339" t="s">
        <v>6905</v>
      </c>
      <c r="G339" t="s">
        <v>74</v>
      </c>
      <c r="H339" t="s">
        <v>74</v>
      </c>
      <c r="I339" t="s">
        <v>6906</v>
      </c>
      <c r="J339" t="s">
        <v>6907</v>
      </c>
      <c r="K339" t="s">
        <v>74</v>
      </c>
      <c r="L339" t="s">
        <v>74</v>
      </c>
      <c r="M339" t="s">
        <v>78</v>
      </c>
      <c r="N339" t="s">
        <v>112</v>
      </c>
      <c r="O339" t="s">
        <v>74</v>
      </c>
      <c r="P339" t="s">
        <v>74</v>
      </c>
      <c r="Q339" t="s">
        <v>74</v>
      </c>
      <c r="R339" t="s">
        <v>74</v>
      </c>
      <c r="S339" t="s">
        <v>74</v>
      </c>
      <c r="T339" t="s">
        <v>6908</v>
      </c>
      <c r="U339" t="s">
        <v>6909</v>
      </c>
      <c r="V339" t="s">
        <v>6910</v>
      </c>
      <c r="W339" t="s">
        <v>6911</v>
      </c>
      <c r="X339" t="s">
        <v>6912</v>
      </c>
      <c r="Y339" t="s">
        <v>6913</v>
      </c>
      <c r="Z339" t="s">
        <v>6914</v>
      </c>
      <c r="AA339" t="s">
        <v>6915</v>
      </c>
      <c r="AB339" t="s">
        <v>6916</v>
      </c>
      <c r="AC339" t="s">
        <v>6917</v>
      </c>
      <c r="AD339" t="s">
        <v>6918</v>
      </c>
      <c r="AE339" t="s">
        <v>6919</v>
      </c>
      <c r="AF339" t="s">
        <v>74</v>
      </c>
      <c r="AG339">
        <v>63</v>
      </c>
      <c r="AH339">
        <v>2</v>
      </c>
      <c r="AI339">
        <v>2</v>
      </c>
      <c r="AJ339">
        <v>4</v>
      </c>
      <c r="AK339">
        <v>8</v>
      </c>
      <c r="AL339" t="s">
        <v>447</v>
      </c>
      <c r="AM339" t="s">
        <v>448</v>
      </c>
      <c r="AN339" t="s">
        <v>449</v>
      </c>
      <c r="AO339" t="s">
        <v>6920</v>
      </c>
      <c r="AP339" t="s">
        <v>6921</v>
      </c>
      <c r="AQ339" t="s">
        <v>74</v>
      </c>
      <c r="AR339" t="s">
        <v>6922</v>
      </c>
      <c r="AS339" t="s">
        <v>6923</v>
      </c>
      <c r="AT339" t="s">
        <v>232</v>
      </c>
      <c r="AU339">
        <v>2023</v>
      </c>
      <c r="AV339">
        <v>195</v>
      </c>
      <c r="AW339" t="s">
        <v>74</v>
      </c>
      <c r="AX339" t="s">
        <v>74</v>
      </c>
      <c r="AY339" t="s">
        <v>74</v>
      </c>
      <c r="AZ339" t="s">
        <v>74</v>
      </c>
      <c r="BA339" t="s">
        <v>74</v>
      </c>
      <c r="BB339" t="s">
        <v>74</v>
      </c>
      <c r="BC339" t="s">
        <v>74</v>
      </c>
      <c r="BD339">
        <v>108900</v>
      </c>
      <c r="BE339" t="s">
        <v>6924</v>
      </c>
      <c r="BF339" t="str">
        <f>HYPERLINK("http://dx.doi.org/10.1016/j.bej.2023.108900","http://dx.doi.org/10.1016/j.bej.2023.108900")</f>
        <v>http://dx.doi.org/10.1016/j.bej.2023.108900</v>
      </c>
      <c r="BG339" t="s">
        <v>74</v>
      </c>
      <c r="BH339" t="s">
        <v>6218</v>
      </c>
      <c r="BI339">
        <v>13</v>
      </c>
      <c r="BJ339" t="s">
        <v>6925</v>
      </c>
      <c r="BK339" t="s">
        <v>103</v>
      </c>
      <c r="BL339" t="s">
        <v>6926</v>
      </c>
      <c r="BM339" t="s">
        <v>6927</v>
      </c>
      <c r="BN339" t="s">
        <v>74</v>
      </c>
      <c r="BO339" t="s">
        <v>74</v>
      </c>
      <c r="BP339" t="s">
        <v>74</v>
      </c>
      <c r="BQ339" t="s">
        <v>74</v>
      </c>
      <c r="BR339" t="s">
        <v>106</v>
      </c>
      <c r="BS339" t="s">
        <v>6928</v>
      </c>
      <c r="BT339" t="str">
        <f>HYPERLINK("https%3A%2F%2Fwww.webofscience.com%2Fwos%2Fwoscc%2Ffull-record%2FWOS:001034336300001","View Full Record in Web of Science")</f>
        <v>View Full Record in Web of Science</v>
      </c>
    </row>
    <row r="340" spans="1:72" x14ac:dyDescent="0.15">
      <c r="A340" t="s">
        <v>72</v>
      </c>
      <c r="B340" t="s">
        <v>6929</v>
      </c>
      <c r="C340" t="s">
        <v>74</v>
      </c>
      <c r="D340" t="s">
        <v>74</v>
      </c>
      <c r="E340" t="s">
        <v>74</v>
      </c>
      <c r="F340" t="s">
        <v>6930</v>
      </c>
      <c r="G340" t="s">
        <v>74</v>
      </c>
      <c r="H340" t="s">
        <v>74</v>
      </c>
      <c r="I340" t="s">
        <v>6931</v>
      </c>
      <c r="J340" t="s">
        <v>6932</v>
      </c>
      <c r="K340" t="s">
        <v>74</v>
      </c>
      <c r="L340" t="s">
        <v>74</v>
      </c>
      <c r="M340" t="s">
        <v>78</v>
      </c>
      <c r="N340" t="s">
        <v>5861</v>
      </c>
      <c r="O340" t="s">
        <v>74</v>
      </c>
      <c r="P340" t="s">
        <v>74</v>
      </c>
      <c r="Q340" t="s">
        <v>74</v>
      </c>
      <c r="R340" t="s">
        <v>74</v>
      </c>
      <c r="S340" t="s">
        <v>74</v>
      </c>
      <c r="T340" t="s">
        <v>74</v>
      </c>
      <c r="U340" t="s">
        <v>74</v>
      </c>
      <c r="V340" t="s">
        <v>74</v>
      </c>
      <c r="W340" t="s">
        <v>74</v>
      </c>
      <c r="X340" t="s">
        <v>74</v>
      </c>
      <c r="Y340" t="s">
        <v>74</v>
      </c>
      <c r="Z340" t="s">
        <v>6933</v>
      </c>
      <c r="AA340" t="s">
        <v>74</v>
      </c>
      <c r="AB340" t="s">
        <v>74</v>
      </c>
      <c r="AC340" t="s">
        <v>74</v>
      </c>
      <c r="AD340" t="s">
        <v>74</v>
      </c>
      <c r="AE340" t="s">
        <v>74</v>
      </c>
      <c r="AF340" t="s">
        <v>74</v>
      </c>
      <c r="AG340">
        <v>1</v>
      </c>
      <c r="AH340">
        <v>0</v>
      </c>
      <c r="AI340">
        <v>0</v>
      </c>
      <c r="AJ340">
        <v>0</v>
      </c>
      <c r="AK340">
        <v>0</v>
      </c>
      <c r="AL340" t="s">
        <v>1101</v>
      </c>
      <c r="AM340" t="s">
        <v>179</v>
      </c>
      <c r="AN340" t="s">
        <v>1543</v>
      </c>
      <c r="AO340" t="s">
        <v>6934</v>
      </c>
      <c r="AP340" t="s">
        <v>6935</v>
      </c>
      <c r="AQ340" t="s">
        <v>74</v>
      </c>
      <c r="AR340" t="s">
        <v>6936</v>
      </c>
      <c r="AS340" t="s">
        <v>6937</v>
      </c>
      <c r="AT340" t="s">
        <v>6900</v>
      </c>
      <c r="AU340">
        <v>2023</v>
      </c>
      <c r="AV340">
        <v>59</v>
      </c>
      <c r="AW340" t="s">
        <v>74</v>
      </c>
      <c r="AX340" t="s">
        <v>74</v>
      </c>
      <c r="AY340" t="s">
        <v>74</v>
      </c>
      <c r="AZ340" t="s">
        <v>74</v>
      </c>
      <c r="BA340" t="s">
        <v>74</v>
      </c>
      <c r="BB340" t="s">
        <v>74</v>
      </c>
      <c r="BC340" t="s">
        <v>74</v>
      </c>
      <c r="BD340" t="s">
        <v>74</v>
      </c>
      <c r="BE340" t="s">
        <v>6938</v>
      </c>
      <c r="BF340" t="str">
        <f>HYPERLINK("http://dx.doi.org/10.1017/S0032247423000025","http://dx.doi.org/10.1017/S0032247423000025")</f>
        <v>http://dx.doi.org/10.1017/S0032247423000025</v>
      </c>
      <c r="BG340" t="s">
        <v>74</v>
      </c>
      <c r="BH340" t="s">
        <v>74</v>
      </c>
      <c r="BI340">
        <v>2</v>
      </c>
      <c r="BJ340" t="s">
        <v>3766</v>
      </c>
      <c r="BK340" t="s">
        <v>103</v>
      </c>
      <c r="BL340" t="s">
        <v>1164</v>
      </c>
      <c r="BM340" t="s">
        <v>6939</v>
      </c>
      <c r="BN340" t="s">
        <v>74</v>
      </c>
      <c r="BO340" t="s">
        <v>334</v>
      </c>
      <c r="BP340" t="s">
        <v>74</v>
      </c>
      <c r="BQ340" t="s">
        <v>74</v>
      </c>
      <c r="BR340" t="s">
        <v>106</v>
      </c>
      <c r="BS340" t="s">
        <v>6940</v>
      </c>
      <c r="BT340" t="str">
        <f>HYPERLINK("https%3A%2F%2Fwww.webofscience.com%2Fwos%2Fwoscc%2Ffull-record%2FWOS:001010919800001","View Full Record in Web of Science")</f>
        <v>View Full Record in Web of Science</v>
      </c>
    </row>
    <row r="341" spans="1:72" x14ac:dyDescent="0.15">
      <c r="A341" t="s">
        <v>72</v>
      </c>
      <c r="B341" t="s">
        <v>6941</v>
      </c>
      <c r="C341" t="s">
        <v>74</v>
      </c>
      <c r="D341" t="s">
        <v>74</v>
      </c>
      <c r="E341" t="s">
        <v>74</v>
      </c>
      <c r="F341" t="s">
        <v>6942</v>
      </c>
      <c r="G341" t="s">
        <v>74</v>
      </c>
      <c r="H341" t="s">
        <v>74</v>
      </c>
      <c r="I341" t="s">
        <v>6943</v>
      </c>
      <c r="J341" t="s">
        <v>194</v>
      </c>
      <c r="K341" t="s">
        <v>74</v>
      </c>
      <c r="L341" t="s">
        <v>74</v>
      </c>
      <c r="M341" t="s">
        <v>78</v>
      </c>
      <c r="N341" t="s">
        <v>3844</v>
      </c>
      <c r="O341" t="s">
        <v>74</v>
      </c>
      <c r="P341" t="s">
        <v>74</v>
      </c>
      <c r="Q341" t="s">
        <v>74</v>
      </c>
      <c r="R341" t="s">
        <v>74</v>
      </c>
      <c r="S341" t="s">
        <v>74</v>
      </c>
      <c r="T341" t="s">
        <v>74</v>
      </c>
      <c r="U341" t="s">
        <v>74</v>
      </c>
      <c r="V341" t="s">
        <v>74</v>
      </c>
      <c r="W341" t="s">
        <v>74</v>
      </c>
      <c r="X341" t="s">
        <v>74</v>
      </c>
      <c r="Y341" t="s">
        <v>74</v>
      </c>
      <c r="Z341" t="s">
        <v>6944</v>
      </c>
      <c r="AA341" t="s">
        <v>6945</v>
      </c>
      <c r="AB341" t="s">
        <v>6946</v>
      </c>
      <c r="AC341" t="s">
        <v>6947</v>
      </c>
      <c r="AD341" t="s">
        <v>6948</v>
      </c>
      <c r="AE341" t="s">
        <v>6949</v>
      </c>
      <c r="AF341" t="s">
        <v>74</v>
      </c>
      <c r="AG341">
        <v>1</v>
      </c>
      <c r="AH341">
        <v>0</v>
      </c>
      <c r="AI341">
        <v>0</v>
      </c>
      <c r="AJ341">
        <v>1</v>
      </c>
      <c r="AK341">
        <v>1</v>
      </c>
      <c r="AL341" t="s">
        <v>203</v>
      </c>
      <c r="AM341" t="s">
        <v>204</v>
      </c>
      <c r="AN341" t="s">
        <v>205</v>
      </c>
      <c r="AO341" t="s">
        <v>206</v>
      </c>
      <c r="AP341" t="s">
        <v>74</v>
      </c>
      <c r="AQ341" t="s">
        <v>74</v>
      </c>
      <c r="AR341" t="s">
        <v>207</v>
      </c>
      <c r="AS341" t="s">
        <v>208</v>
      </c>
      <c r="AT341" t="s">
        <v>6900</v>
      </c>
      <c r="AU341">
        <v>2023</v>
      </c>
      <c r="AV341">
        <v>13</v>
      </c>
      <c r="AW341">
        <v>1</v>
      </c>
      <c r="AX341" t="s">
        <v>74</v>
      </c>
      <c r="AY341" t="s">
        <v>74</v>
      </c>
      <c r="AZ341" t="s">
        <v>74</v>
      </c>
      <c r="BA341" t="s">
        <v>74</v>
      </c>
      <c r="BB341" t="s">
        <v>74</v>
      </c>
      <c r="BC341" t="s">
        <v>74</v>
      </c>
      <c r="BD341">
        <v>4984</v>
      </c>
      <c r="BE341" t="s">
        <v>6950</v>
      </c>
      <c r="BF341" t="str">
        <f>HYPERLINK("http://dx.doi.org/10.1038/s41598-023-32101-w","http://dx.doi.org/10.1038/s41598-023-32101-w")</f>
        <v>http://dx.doi.org/10.1038/s41598-023-32101-w</v>
      </c>
      <c r="BG341" t="s">
        <v>74</v>
      </c>
      <c r="BH341" t="s">
        <v>74</v>
      </c>
      <c r="BI341">
        <v>1</v>
      </c>
      <c r="BJ341" t="s">
        <v>210</v>
      </c>
      <c r="BK341" t="s">
        <v>103</v>
      </c>
      <c r="BL341" t="s">
        <v>211</v>
      </c>
      <c r="BM341" t="s">
        <v>6951</v>
      </c>
      <c r="BN341">
        <v>36973290</v>
      </c>
      <c r="BO341" t="s">
        <v>6065</v>
      </c>
      <c r="BP341" t="s">
        <v>74</v>
      </c>
      <c r="BQ341" t="s">
        <v>74</v>
      </c>
      <c r="BR341" t="s">
        <v>106</v>
      </c>
      <c r="BS341" t="s">
        <v>6952</v>
      </c>
      <c r="BT341" t="str">
        <f>HYPERLINK("https%3A%2F%2Fwww.webofscience.com%2Fwos%2Fwoscc%2Ffull-record%2FWOS:000984110600048","View Full Record in Web of Science")</f>
        <v>View Full Record in Web of Science</v>
      </c>
    </row>
    <row r="342" spans="1:72" x14ac:dyDescent="0.15">
      <c r="A342" t="s">
        <v>72</v>
      </c>
      <c r="B342" t="s">
        <v>6953</v>
      </c>
      <c r="C342" t="s">
        <v>74</v>
      </c>
      <c r="D342" t="s">
        <v>74</v>
      </c>
      <c r="E342" t="s">
        <v>74</v>
      </c>
      <c r="F342" t="s">
        <v>6954</v>
      </c>
      <c r="G342" t="s">
        <v>74</v>
      </c>
      <c r="H342" t="s">
        <v>74</v>
      </c>
      <c r="I342" t="s">
        <v>6955</v>
      </c>
      <c r="J342" t="s">
        <v>6956</v>
      </c>
      <c r="K342" t="s">
        <v>74</v>
      </c>
      <c r="L342" t="s">
        <v>74</v>
      </c>
      <c r="M342" t="s">
        <v>78</v>
      </c>
      <c r="N342" t="s">
        <v>112</v>
      </c>
      <c r="O342" t="s">
        <v>74</v>
      </c>
      <c r="P342" t="s">
        <v>74</v>
      </c>
      <c r="Q342" t="s">
        <v>74</v>
      </c>
      <c r="R342" t="s">
        <v>74</v>
      </c>
      <c r="S342" t="s">
        <v>74</v>
      </c>
      <c r="T342" t="s">
        <v>6957</v>
      </c>
      <c r="U342" t="s">
        <v>6958</v>
      </c>
      <c r="V342" t="s">
        <v>6959</v>
      </c>
      <c r="W342" t="s">
        <v>6960</v>
      </c>
      <c r="X342" t="s">
        <v>74</v>
      </c>
      <c r="Y342" t="s">
        <v>6961</v>
      </c>
      <c r="Z342" t="s">
        <v>6962</v>
      </c>
      <c r="AA342" t="s">
        <v>74</v>
      </c>
      <c r="AB342" t="s">
        <v>74</v>
      </c>
      <c r="AC342" t="s">
        <v>74</v>
      </c>
      <c r="AD342" t="s">
        <v>74</v>
      </c>
      <c r="AE342" t="s">
        <v>74</v>
      </c>
      <c r="AF342" t="s">
        <v>74</v>
      </c>
      <c r="AG342">
        <v>78</v>
      </c>
      <c r="AH342">
        <v>1</v>
      </c>
      <c r="AI342">
        <v>1</v>
      </c>
      <c r="AJ342">
        <v>2</v>
      </c>
      <c r="AK342">
        <v>2</v>
      </c>
      <c r="AL342" t="s">
        <v>6963</v>
      </c>
      <c r="AM342" t="s">
        <v>6964</v>
      </c>
      <c r="AN342" t="s">
        <v>6965</v>
      </c>
      <c r="AO342" t="s">
        <v>6966</v>
      </c>
      <c r="AP342" t="s">
        <v>6967</v>
      </c>
      <c r="AQ342" t="s">
        <v>74</v>
      </c>
      <c r="AR342" t="s">
        <v>6968</v>
      </c>
      <c r="AS342" t="s">
        <v>6969</v>
      </c>
      <c r="AT342" t="s">
        <v>98</v>
      </c>
      <c r="AU342">
        <v>2023</v>
      </c>
      <c r="AV342">
        <v>101</v>
      </c>
      <c r="AW342">
        <v>5</v>
      </c>
      <c r="AX342" t="s">
        <v>74</v>
      </c>
      <c r="AY342" t="s">
        <v>74</v>
      </c>
      <c r="AZ342" t="s">
        <v>74</v>
      </c>
      <c r="BA342" t="s">
        <v>74</v>
      </c>
      <c r="BB342">
        <v>327</v>
      </c>
      <c r="BC342">
        <v>375</v>
      </c>
      <c r="BD342" t="s">
        <v>74</v>
      </c>
      <c r="BE342" t="s">
        <v>6970</v>
      </c>
      <c r="BF342" t="str">
        <f>HYPERLINK("http://dx.doi.org/10.1139/cjz-2022-0114","http://dx.doi.org/10.1139/cjz-2022-0114")</f>
        <v>http://dx.doi.org/10.1139/cjz-2022-0114</v>
      </c>
      <c r="BG342" t="s">
        <v>74</v>
      </c>
      <c r="BH342" t="s">
        <v>6218</v>
      </c>
      <c r="BI342">
        <v>49</v>
      </c>
      <c r="BJ342" t="s">
        <v>2582</v>
      </c>
      <c r="BK342" t="s">
        <v>103</v>
      </c>
      <c r="BL342" t="s">
        <v>2582</v>
      </c>
      <c r="BM342" t="s">
        <v>6971</v>
      </c>
      <c r="BN342" t="s">
        <v>74</v>
      </c>
      <c r="BO342" t="s">
        <v>74</v>
      </c>
      <c r="BP342" t="s">
        <v>74</v>
      </c>
      <c r="BQ342" t="s">
        <v>74</v>
      </c>
      <c r="BR342" t="s">
        <v>106</v>
      </c>
      <c r="BS342" t="s">
        <v>6972</v>
      </c>
      <c r="BT342" t="str">
        <f>HYPERLINK("https%3A%2F%2Fwww.webofscience.com%2Fwos%2Fwoscc%2Ffull-record%2FWOS:000962856900001","View Full Record in Web of Science")</f>
        <v>View Full Record in Web of Science</v>
      </c>
    </row>
    <row r="343" spans="1:72" x14ac:dyDescent="0.15">
      <c r="A343" t="s">
        <v>72</v>
      </c>
      <c r="B343" t="s">
        <v>6973</v>
      </c>
      <c r="C343" t="s">
        <v>74</v>
      </c>
      <c r="D343" t="s">
        <v>74</v>
      </c>
      <c r="E343" t="s">
        <v>74</v>
      </c>
      <c r="F343" t="s">
        <v>6974</v>
      </c>
      <c r="G343" t="s">
        <v>74</v>
      </c>
      <c r="H343" t="s">
        <v>74</v>
      </c>
      <c r="I343" t="s">
        <v>6975</v>
      </c>
      <c r="J343" t="s">
        <v>1089</v>
      </c>
      <c r="K343" t="s">
        <v>74</v>
      </c>
      <c r="L343" t="s">
        <v>74</v>
      </c>
      <c r="M343" t="s">
        <v>78</v>
      </c>
      <c r="N343" t="s">
        <v>112</v>
      </c>
      <c r="O343" t="s">
        <v>74</v>
      </c>
      <c r="P343" t="s">
        <v>74</v>
      </c>
      <c r="Q343" t="s">
        <v>74</v>
      </c>
      <c r="R343" t="s">
        <v>74</v>
      </c>
      <c r="S343" t="s">
        <v>74</v>
      </c>
      <c r="T343" t="s">
        <v>6976</v>
      </c>
      <c r="U343" t="s">
        <v>6977</v>
      </c>
      <c r="V343" t="s">
        <v>6978</v>
      </c>
      <c r="W343" t="s">
        <v>6979</v>
      </c>
      <c r="X343" t="s">
        <v>1591</v>
      </c>
      <c r="Y343" t="s">
        <v>6980</v>
      </c>
      <c r="Z343" t="s">
        <v>6981</v>
      </c>
      <c r="AA343" t="s">
        <v>74</v>
      </c>
      <c r="AB343" t="s">
        <v>6982</v>
      </c>
      <c r="AC343" t="s">
        <v>6983</v>
      </c>
      <c r="AD343" t="s">
        <v>2317</v>
      </c>
      <c r="AE343" t="s">
        <v>74</v>
      </c>
      <c r="AF343" t="s">
        <v>74</v>
      </c>
      <c r="AG343">
        <v>59</v>
      </c>
      <c r="AH343">
        <v>0</v>
      </c>
      <c r="AI343">
        <v>0</v>
      </c>
      <c r="AJ343">
        <v>5</v>
      </c>
      <c r="AK343">
        <v>6</v>
      </c>
      <c r="AL343" t="s">
        <v>1101</v>
      </c>
      <c r="AM343" t="s">
        <v>1102</v>
      </c>
      <c r="AN343" t="s">
        <v>1103</v>
      </c>
      <c r="AO343" t="s">
        <v>1104</v>
      </c>
      <c r="AP343" t="s">
        <v>1105</v>
      </c>
      <c r="AQ343" t="s">
        <v>74</v>
      </c>
      <c r="AR343" t="s">
        <v>1106</v>
      </c>
      <c r="AS343" t="s">
        <v>1107</v>
      </c>
      <c r="AT343" t="s">
        <v>1108</v>
      </c>
      <c r="AU343">
        <v>2022</v>
      </c>
      <c r="AV343">
        <v>63</v>
      </c>
      <c r="AW343" t="s">
        <v>1109</v>
      </c>
      <c r="AX343" t="s">
        <v>74</v>
      </c>
      <c r="AY343" t="s">
        <v>74</v>
      </c>
      <c r="AZ343" t="s">
        <v>74</v>
      </c>
      <c r="BA343" t="s">
        <v>74</v>
      </c>
      <c r="BB343">
        <v>67</v>
      </c>
      <c r="BC343">
        <v>72</v>
      </c>
      <c r="BD343" t="s">
        <v>6984</v>
      </c>
      <c r="BE343" t="s">
        <v>6985</v>
      </c>
      <c r="BF343" t="str">
        <f>HYPERLINK("http://dx.doi.org/10.1017/aog.2023.13","http://dx.doi.org/10.1017/aog.2023.13")</f>
        <v>http://dx.doi.org/10.1017/aog.2023.13</v>
      </c>
      <c r="BG343" t="s">
        <v>74</v>
      </c>
      <c r="BH343" t="s">
        <v>6218</v>
      </c>
      <c r="BI343">
        <v>6</v>
      </c>
      <c r="BJ343" t="s">
        <v>801</v>
      </c>
      <c r="BK343" t="s">
        <v>103</v>
      </c>
      <c r="BL343" t="s">
        <v>802</v>
      </c>
      <c r="BM343" t="s">
        <v>1112</v>
      </c>
      <c r="BN343" t="s">
        <v>74</v>
      </c>
      <c r="BO343" t="s">
        <v>3241</v>
      </c>
      <c r="BP343" t="s">
        <v>74</v>
      </c>
      <c r="BQ343" t="s">
        <v>74</v>
      </c>
      <c r="BR343" t="s">
        <v>106</v>
      </c>
      <c r="BS343" t="s">
        <v>6986</v>
      </c>
      <c r="BT343" t="str">
        <f>HYPERLINK("https%3A%2F%2Fwww.webofscience.com%2Fwos%2Fwoscc%2Ffull-record%2FWOS:000956668500001","View Full Record in Web of Science")</f>
        <v>View Full Record in Web of Science</v>
      </c>
    </row>
    <row r="344" spans="1:72" x14ac:dyDescent="0.15">
      <c r="A344" t="s">
        <v>72</v>
      </c>
      <c r="B344" t="s">
        <v>6987</v>
      </c>
      <c r="C344" t="s">
        <v>74</v>
      </c>
      <c r="D344" t="s">
        <v>74</v>
      </c>
      <c r="E344" t="s">
        <v>74</v>
      </c>
      <c r="F344" t="s">
        <v>6988</v>
      </c>
      <c r="G344" t="s">
        <v>74</v>
      </c>
      <c r="H344" t="s">
        <v>74</v>
      </c>
      <c r="I344" t="s">
        <v>6989</v>
      </c>
      <c r="J344" t="s">
        <v>869</v>
      </c>
      <c r="K344" t="s">
        <v>74</v>
      </c>
      <c r="L344" t="s">
        <v>74</v>
      </c>
      <c r="M344" t="s">
        <v>78</v>
      </c>
      <c r="N344" t="s">
        <v>112</v>
      </c>
      <c r="O344" t="s">
        <v>74</v>
      </c>
      <c r="P344" t="s">
        <v>74</v>
      </c>
      <c r="Q344" t="s">
        <v>74</v>
      </c>
      <c r="R344" t="s">
        <v>74</v>
      </c>
      <c r="S344" t="s">
        <v>74</v>
      </c>
      <c r="T344" t="s">
        <v>6990</v>
      </c>
      <c r="U344" t="s">
        <v>6991</v>
      </c>
      <c r="V344" t="s">
        <v>6992</v>
      </c>
      <c r="W344" t="s">
        <v>6993</v>
      </c>
      <c r="X344" t="s">
        <v>6994</v>
      </c>
      <c r="Y344" t="s">
        <v>6995</v>
      </c>
      <c r="Z344" t="s">
        <v>6996</v>
      </c>
      <c r="AA344" t="s">
        <v>6997</v>
      </c>
      <c r="AB344" t="s">
        <v>6998</v>
      </c>
      <c r="AC344" t="s">
        <v>6999</v>
      </c>
      <c r="AD344" t="s">
        <v>7000</v>
      </c>
      <c r="AE344" t="s">
        <v>7001</v>
      </c>
      <c r="AF344" t="s">
        <v>74</v>
      </c>
      <c r="AG344">
        <v>48</v>
      </c>
      <c r="AH344">
        <v>1</v>
      </c>
      <c r="AI344">
        <v>1</v>
      </c>
      <c r="AJ344">
        <v>1</v>
      </c>
      <c r="AK344">
        <v>2</v>
      </c>
      <c r="AL344" t="s">
        <v>305</v>
      </c>
      <c r="AM344" t="s">
        <v>306</v>
      </c>
      <c r="AN344" t="s">
        <v>307</v>
      </c>
      <c r="AO344" t="s">
        <v>882</v>
      </c>
      <c r="AP344" t="s">
        <v>883</v>
      </c>
      <c r="AQ344" t="s">
        <v>74</v>
      </c>
      <c r="AR344" t="s">
        <v>884</v>
      </c>
      <c r="AS344" t="s">
        <v>885</v>
      </c>
      <c r="AT344" t="s">
        <v>6900</v>
      </c>
      <c r="AU344">
        <v>2023</v>
      </c>
      <c r="AV344">
        <v>128</v>
      </c>
      <c r="AW344">
        <v>6</v>
      </c>
      <c r="AX344" t="s">
        <v>74</v>
      </c>
      <c r="AY344" t="s">
        <v>74</v>
      </c>
      <c r="AZ344" t="s">
        <v>74</v>
      </c>
      <c r="BA344" t="s">
        <v>74</v>
      </c>
      <c r="BB344" t="s">
        <v>74</v>
      </c>
      <c r="BC344" t="s">
        <v>74</v>
      </c>
      <c r="BD344" t="s">
        <v>7002</v>
      </c>
      <c r="BE344" t="s">
        <v>7003</v>
      </c>
      <c r="BF344" t="str">
        <f>HYPERLINK("http://dx.doi.org/10.1029/2022JD037751","http://dx.doi.org/10.1029/2022JD037751")</f>
        <v>http://dx.doi.org/10.1029/2022JD037751</v>
      </c>
      <c r="BG344" t="s">
        <v>74</v>
      </c>
      <c r="BH344" t="s">
        <v>74</v>
      </c>
      <c r="BI344">
        <v>14</v>
      </c>
      <c r="BJ344" t="s">
        <v>102</v>
      </c>
      <c r="BK344" t="s">
        <v>103</v>
      </c>
      <c r="BL344" t="s">
        <v>102</v>
      </c>
      <c r="BM344" t="s">
        <v>7004</v>
      </c>
      <c r="BN344" t="s">
        <v>74</v>
      </c>
      <c r="BO344" t="s">
        <v>74</v>
      </c>
      <c r="BP344" t="s">
        <v>74</v>
      </c>
      <c r="BQ344" t="s">
        <v>74</v>
      </c>
      <c r="BR344" t="s">
        <v>106</v>
      </c>
      <c r="BS344" t="s">
        <v>7005</v>
      </c>
      <c r="BT344" t="str">
        <f>HYPERLINK("https%3A%2F%2Fwww.webofscience.com%2Fwos%2Fwoscc%2Ffull-record%2FWOS:000949729900001","View Full Record in Web of Science")</f>
        <v>View Full Record in Web of Science</v>
      </c>
    </row>
    <row r="345" spans="1:72" x14ac:dyDescent="0.15">
      <c r="A345" t="s">
        <v>72</v>
      </c>
      <c r="B345" t="s">
        <v>7006</v>
      </c>
      <c r="C345" t="s">
        <v>74</v>
      </c>
      <c r="D345" t="s">
        <v>74</v>
      </c>
      <c r="E345" t="s">
        <v>74</v>
      </c>
      <c r="F345" t="s">
        <v>7007</v>
      </c>
      <c r="G345" t="s">
        <v>74</v>
      </c>
      <c r="H345" t="s">
        <v>74</v>
      </c>
      <c r="I345" t="s">
        <v>7008</v>
      </c>
      <c r="J345" t="s">
        <v>869</v>
      </c>
      <c r="K345" t="s">
        <v>74</v>
      </c>
      <c r="L345" t="s">
        <v>74</v>
      </c>
      <c r="M345" t="s">
        <v>78</v>
      </c>
      <c r="N345" t="s">
        <v>112</v>
      </c>
      <c r="O345" t="s">
        <v>74</v>
      </c>
      <c r="P345" t="s">
        <v>74</v>
      </c>
      <c r="Q345" t="s">
        <v>74</v>
      </c>
      <c r="R345" t="s">
        <v>74</v>
      </c>
      <c r="S345" t="s">
        <v>74</v>
      </c>
      <c r="T345" t="s">
        <v>7009</v>
      </c>
      <c r="U345" t="s">
        <v>7010</v>
      </c>
      <c r="V345" t="s">
        <v>7011</v>
      </c>
      <c r="W345" t="s">
        <v>7012</v>
      </c>
      <c r="X345" t="s">
        <v>7013</v>
      </c>
      <c r="Y345" t="s">
        <v>7014</v>
      </c>
      <c r="Z345" t="s">
        <v>7015</v>
      </c>
      <c r="AA345" t="s">
        <v>7016</v>
      </c>
      <c r="AB345" t="s">
        <v>7017</v>
      </c>
      <c r="AC345" t="s">
        <v>7018</v>
      </c>
      <c r="AD345" t="s">
        <v>7019</v>
      </c>
      <c r="AE345" t="s">
        <v>7020</v>
      </c>
      <c r="AF345" t="s">
        <v>74</v>
      </c>
      <c r="AG345">
        <v>121</v>
      </c>
      <c r="AH345">
        <v>3</v>
      </c>
      <c r="AI345">
        <v>4</v>
      </c>
      <c r="AJ345">
        <v>14</v>
      </c>
      <c r="AK345">
        <v>26</v>
      </c>
      <c r="AL345" t="s">
        <v>305</v>
      </c>
      <c r="AM345" t="s">
        <v>306</v>
      </c>
      <c r="AN345" t="s">
        <v>307</v>
      </c>
      <c r="AO345" t="s">
        <v>882</v>
      </c>
      <c r="AP345" t="s">
        <v>883</v>
      </c>
      <c r="AQ345" t="s">
        <v>74</v>
      </c>
      <c r="AR345" t="s">
        <v>884</v>
      </c>
      <c r="AS345" t="s">
        <v>885</v>
      </c>
      <c r="AT345" t="s">
        <v>6900</v>
      </c>
      <c r="AU345">
        <v>2023</v>
      </c>
      <c r="AV345">
        <v>128</v>
      </c>
      <c r="AW345">
        <v>6</v>
      </c>
      <c r="AX345" t="s">
        <v>74</v>
      </c>
      <c r="AY345" t="s">
        <v>74</v>
      </c>
      <c r="AZ345" t="s">
        <v>74</v>
      </c>
      <c r="BA345" t="s">
        <v>74</v>
      </c>
      <c r="BB345" t="s">
        <v>74</v>
      </c>
      <c r="BC345" t="s">
        <v>74</v>
      </c>
      <c r="BD345" t="s">
        <v>7021</v>
      </c>
      <c r="BE345" t="s">
        <v>7022</v>
      </c>
      <c r="BF345" t="str">
        <f>HYPERLINK("http://dx.doi.org/10.1029/2022JD038235","http://dx.doi.org/10.1029/2022JD038235")</f>
        <v>http://dx.doi.org/10.1029/2022JD038235</v>
      </c>
      <c r="BG345" t="s">
        <v>74</v>
      </c>
      <c r="BH345" t="s">
        <v>74</v>
      </c>
      <c r="BI345">
        <v>36</v>
      </c>
      <c r="BJ345" t="s">
        <v>102</v>
      </c>
      <c r="BK345" t="s">
        <v>103</v>
      </c>
      <c r="BL345" t="s">
        <v>102</v>
      </c>
      <c r="BM345" t="s">
        <v>7023</v>
      </c>
      <c r="BN345" t="s">
        <v>74</v>
      </c>
      <c r="BO345" t="s">
        <v>7024</v>
      </c>
      <c r="BP345" t="s">
        <v>74</v>
      </c>
      <c r="BQ345" t="s">
        <v>74</v>
      </c>
      <c r="BR345" t="s">
        <v>106</v>
      </c>
      <c r="BS345" t="s">
        <v>7025</v>
      </c>
      <c r="BT345" t="str">
        <f>HYPERLINK("https%3A%2F%2Fwww.webofscience.com%2Fwos%2Fwoscc%2Ffull-record%2FWOS:000949203000001","View Full Record in Web of Science")</f>
        <v>View Full Record in Web of Science</v>
      </c>
    </row>
    <row r="346" spans="1:72" x14ac:dyDescent="0.15">
      <c r="A346" t="s">
        <v>72</v>
      </c>
      <c r="B346" t="s">
        <v>7026</v>
      </c>
      <c r="C346" t="s">
        <v>74</v>
      </c>
      <c r="D346" t="s">
        <v>74</v>
      </c>
      <c r="E346" t="s">
        <v>74</v>
      </c>
      <c r="F346" t="s">
        <v>7027</v>
      </c>
      <c r="G346" t="s">
        <v>74</v>
      </c>
      <c r="H346" t="s">
        <v>74</v>
      </c>
      <c r="I346" t="s">
        <v>7028</v>
      </c>
      <c r="J346" t="s">
        <v>7029</v>
      </c>
      <c r="K346" t="s">
        <v>74</v>
      </c>
      <c r="L346" t="s">
        <v>74</v>
      </c>
      <c r="M346" t="s">
        <v>78</v>
      </c>
      <c r="N346" t="s">
        <v>365</v>
      </c>
      <c r="O346" t="s">
        <v>74</v>
      </c>
      <c r="P346" t="s">
        <v>74</v>
      </c>
      <c r="Q346" t="s">
        <v>74</v>
      </c>
      <c r="R346" t="s">
        <v>74</v>
      </c>
      <c r="S346" t="s">
        <v>74</v>
      </c>
      <c r="T346" t="s">
        <v>74</v>
      </c>
      <c r="U346" t="s">
        <v>7030</v>
      </c>
      <c r="V346" t="s">
        <v>7031</v>
      </c>
      <c r="W346" t="s">
        <v>7032</v>
      </c>
      <c r="X346" t="s">
        <v>7033</v>
      </c>
      <c r="Y346" t="s">
        <v>7034</v>
      </c>
      <c r="Z346" t="s">
        <v>7035</v>
      </c>
      <c r="AA346" t="s">
        <v>7036</v>
      </c>
      <c r="AB346" t="s">
        <v>7037</v>
      </c>
      <c r="AC346" t="s">
        <v>7038</v>
      </c>
      <c r="AD346" t="s">
        <v>7039</v>
      </c>
      <c r="AE346" t="s">
        <v>7040</v>
      </c>
      <c r="AF346" t="s">
        <v>74</v>
      </c>
      <c r="AG346">
        <v>65</v>
      </c>
      <c r="AH346">
        <v>1</v>
      </c>
      <c r="AI346">
        <v>2</v>
      </c>
      <c r="AJ346">
        <v>1</v>
      </c>
      <c r="AK346">
        <v>7</v>
      </c>
      <c r="AL346" t="s">
        <v>1405</v>
      </c>
      <c r="AM346" t="s">
        <v>226</v>
      </c>
      <c r="AN346" t="s">
        <v>1406</v>
      </c>
      <c r="AO346" t="s">
        <v>7041</v>
      </c>
      <c r="AP346" t="s">
        <v>7042</v>
      </c>
      <c r="AQ346" t="s">
        <v>74</v>
      </c>
      <c r="AR346" t="s">
        <v>7043</v>
      </c>
      <c r="AS346" t="s">
        <v>7044</v>
      </c>
      <c r="AT346" t="s">
        <v>232</v>
      </c>
      <c r="AU346">
        <v>2023</v>
      </c>
      <c r="AV346">
        <v>81</v>
      </c>
      <c r="AW346" t="s">
        <v>74</v>
      </c>
      <c r="AX346" t="s">
        <v>74</v>
      </c>
      <c r="AY346" t="s">
        <v>74</v>
      </c>
      <c r="AZ346" t="s">
        <v>74</v>
      </c>
      <c r="BA346" t="s">
        <v>74</v>
      </c>
      <c r="BB346" t="s">
        <v>74</v>
      </c>
      <c r="BC346" t="s">
        <v>74</v>
      </c>
      <c r="BD346">
        <v>102918</v>
      </c>
      <c r="BE346" t="s">
        <v>7045</v>
      </c>
      <c r="BF346" t="str">
        <f>HYPERLINK("http://dx.doi.org/10.1016/j.copbio.2023.102918","http://dx.doi.org/10.1016/j.copbio.2023.102918")</f>
        <v>http://dx.doi.org/10.1016/j.copbio.2023.102918</v>
      </c>
      <c r="BG346" t="s">
        <v>74</v>
      </c>
      <c r="BH346" t="s">
        <v>6218</v>
      </c>
      <c r="BI346">
        <v>9</v>
      </c>
      <c r="BJ346" t="s">
        <v>7046</v>
      </c>
      <c r="BK346" t="s">
        <v>103</v>
      </c>
      <c r="BL346" t="s">
        <v>7047</v>
      </c>
      <c r="BM346" t="s">
        <v>7048</v>
      </c>
      <c r="BN346">
        <v>36972633</v>
      </c>
      <c r="BO346" t="s">
        <v>74</v>
      </c>
      <c r="BP346" t="s">
        <v>74</v>
      </c>
      <c r="BQ346" t="s">
        <v>74</v>
      </c>
      <c r="BR346" t="s">
        <v>106</v>
      </c>
      <c r="BS346" t="s">
        <v>7049</v>
      </c>
      <c r="BT346" t="str">
        <f>HYPERLINK("https%3A%2F%2Fwww.webofscience.com%2Fwos%2Fwoscc%2Ffull-record%2FWOS:000965242800001","View Full Record in Web of Science")</f>
        <v>View Full Record in Web of Science</v>
      </c>
    </row>
    <row r="347" spans="1:72" x14ac:dyDescent="0.15">
      <c r="A347" t="s">
        <v>72</v>
      </c>
      <c r="B347" t="s">
        <v>7050</v>
      </c>
      <c r="C347" t="s">
        <v>74</v>
      </c>
      <c r="D347" t="s">
        <v>74</v>
      </c>
      <c r="E347" t="s">
        <v>74</v>
      </c>
      <c r="F347" t="s">
        <v>7051</v>
      </c>
      <c r="G347" t="s">
        <v>74</v>
      </c>
      <c r="H347" t="s">
        <v>74</v>
      </c>
      <c r="I347" t="s">
        <v>7052</v>
      </c>
      <c r="J347" t="s">
        <v>7053</v>
      </c>
      <c r="K347" t="s">
        <v>74</v>
      </c>
      <c r="L347" t="s">
        <v>74</v>
      </c>
      <c r="M347" t="s">
        <v>78</v>
      </c>
      <c r="N347" t="s">
        <v>112</v>
      </c>
      <c r="O347" t="s">
        <v>74</v>
      </c>
      <c r="P347" t="s">
        <v>74</v>
      </c>
      <c r="Q347" t="s">
        <v>74</v>
      </c>
      <c r="R347" t="s">
        <v>74</v>
      </c>
      <c r="S347" t="s">
        <v>74</v>
      </c>
      <c r="T347" t="s">
        <v>74</v>
      </c>
      <c r="U347" t="s">
        <v>7054</v>
      </c>
      <c r="V347" t="s">
        <v>7055</v>
      </c>
      <c r="W347" t="s">
        <v>7056</v>
      </c>
      <c r="X347" t="s">
        <v>7057</v>
      </c>
      <c r="Y347" t="s">
        <v>7058</v>
      </c>
      <c r="Z347" t="s">
        <v>7059</v>
      </c>
      <c r="AA347" t="s">
        <v>74</v>
      </c>
      <c r="AB347" t="s">
        <v>7060</v>
      </c>
      <c r="AC347" t="s">
        <v>7061</v>
      </c>
      <c r="AD347" t="s">
        <v>7062</v>
      </c>
      <c r="AE347" t="s">
        <v>7063</v>
      </c>
      <c r="AF347" t="s">
        <v>74</v>
      </c>
      <c r="AG347">
        <v>45</v>
      </c>
      <c r="AH347">
        <v>0</v>
      </c>
      <c r="AI347">
        <v>0</v>
      </c>
      <c r="AJ347">
        <v>9</v>
      </c>
      <c r="AK347">
        <v>13</v>
      </c>
      <c r="AL347" t="s">
        <v>7064</v>
      </c>
      <c r="AM347" t="s">
        <v>7065</v>
      </c>
      <c r="AN347" t="s">
        <v>7066</v>
      </c>
      <c r="AO347" t="s">
        <v>7067</v>
      </c>
      <c r="AP347" t="s">
        <v>7068</v>
      </c>
      <c r="AQ347" t="s">
        <v>74</v>
      </c>
      <c r="AR347" t="s">
        <v>7069</v>
      </c>
      <c r="AS347" t="s">
        <v>7070</v>
      </c>
      <c r="AT347" t="s">
        <v>98</v>
      </c>
      <c r="AU347">
        <v>2023</v>
      </c>
      <c r="AV347">
        <v>152</v>
      </c>
      <c r="AW347" t="s">
        <v>7071</v>
      </c>
      <c r="AX347" t="s">
        <v>74</v>
      </c>
      <c r="AY347" t="s">
        <v>74</v>
      </c>
      <c r="AZ347" t="s">
        <v>74</v>
      </c>
      <c r="BA347" t="s">
        <v>74</v>
      </c>
      <c r="BB347">
        <v>1129</v>
      </c>
      <c r="BC347">
        <v>1145</v>
      </c>
      <c r="BD347" t="s">
        <v>74</v>
      </c>
      <c r="BE347" t="s">
        <v>7072</v>
      </c>
      <c r="BF347" t="str">
        <f>HYPERLINK("http://dx.doi.org/10.1007/s00704-023-04429-w","http://dx.doi.org/10.1007/s00704-023-04429-w")</f>
        <v>http://dx.doi.org/10.1007/s00704-023-04429-w</v>
      </c>
      <c r="BG347" t="s">
        <v>74</v>
      </c>
      <c r="BH347" t="s">
        <v>6218</v>
      </c>
      <c r="BI347">
        <v>17</v>
      </c>
      <c r="BJ347" t="s">
        <v>102</v>
      </c>
      <c r="BK347" t="s">
        <v>103</v>
      </c>
      <c r="BL347" t="s">
        <v>102</v>
      </c>
      <c r="BM347" t="s">
        <v>7073</v>
      </c>
      <c r="BN347" t="s">
        <v>74</v>
      </c>
      <c r="BO347" t="s">
        <v>74</v>
      </c>
      <c r="BP347" t="s">
        <v>74</v>
      </c>
      <c r="BQ347" t="s">
        <v>74</v>
      </c>
      <c r="BR347" t="s">
        <v>106</v>
      </c>
      <c r="BS347" t="s">
        <v>7074</v>
      </c>
      <c r="BT347" t="str">
        <f>HYPERLINK("https%3A%2F%2Fwww.webofscience.com%2Fwos%2Fwoscc%2Ffull-record%2FWOS:000958744300002","View Full Record in Web of Science")</f>
        <v>View Full Record in Web of Science</v>
      </c>
    </row>
    <row r="348" spans="1:72" x14ac:dyDescent="0.15">
      <c r="A348" t="s">
        <v>72</v>
      </c>
      <c r="B348" t="s">
        <v>7075</v>
      </c>
      <c r="C348" t="s">
        <v>74</v>
      </c>
      <c r="D348" t="s">
        <v>74</v>
      </c>
      <c r="E348" t="s">
        <v>74</v>
      </c>
      <c r="F348" t="s">
        <v>7076</v>
      </c>
      <c r="G348" t="s">
        <v>74</v>
      </c>
      <c r="H348" t="s">
        <v>74</v>
      </c>
      <c r="I348" t="s">
        <v>7077</v>
      </c>
      <c r="J348" t="s">
        <v>7078</v>
      </c>
      <c r="K348" t="s">
        <v>74</v>
      </c>
      <c r="L348" t="s">
        <v>74</v>
      </c>
      <c r="M348" t="s">
        <v>78</v>
      </c>
      <c r="N348" t="s">
        <v>112</v>
      </c>
      <c r="O348" t="s">
        <v>74</v>
      </c>
      <c r="P348" t="s">
        <v>74</v>
      </c>
      <c r="Q348" t="s">
        <v>74</v>
      </c>
      <c r="R348" t="s">
        <v>74</v>
      </c>
      <c r="S348" t="s">
        <v>74</v>
      </c>
      <c r="T348" t="s">
        <v>7079</v>
      </c>
      <c r="U348" t="s">
        <v>7080</v>
      </c>
      <c r="V348" t="s">
        <v>7081</v>
      </c>
      <c r="W348" t="s">
        <v>7082</v>
      </c>
      <c r="X348" t="s">
        <v>7083</v>
      </c>
      <c r="Y348" t="s">
        <v>7084</v>
      </c>
      <c r="Z348" t="s">
        <v>7085</v>
      </c>
      <c r="AA348" t="s">
        <v>7086</v>
      </c>
      <c r="AB348" t="s">
        <v>7087</v>
      </c>
      <c r="AC348" t="s">
        <v>7088</v>
      </c>
      <c r="AD348" t="s">
        <v>7089</v>
      </c>
      <c r="AE348" t="s">
        <v>7090</v>
      </c>
      <c r="AF348" t="s">
        <v>74</v>
      </c>
      <c r="AG348">
        <v>68</v>
      </c>
      <c r="AH348">
        <v>1</v>
      </c>
      <c r="AI348">
        <v>1</v>
      </c>
      <c r="AJ348">
        <v>0</v>
      </c>
      <c r="AK348">
        <v>1</v>
      </c>
      <c r="AL348" t="s">
        <v>2939</v>
      </c>
      <c r="AM348" t="s">
        <v>2940</v>
      </c>
      <c r="AN348" t="s">
        <v>2941</v>
      </c>
      <c r="AO348" t="s">
        <v>7091</v>
      </c>
      <c r="AP348" t="s">
        <v>74</v>
      </c>
      <c r="AQ348" t="s">
        <v>74</v>
      </c>
      <c r="AR348" t="s">
        <v>7092</v>
      </c>
      <c r="AS348" t="s">
        <v>7093</v>
      </c>
      <c r="AT348" t="s">
        <v>98</v>
      </c>
      <c r="AU348">
        <v>2023</v>
      </c>
      <c r="AV348">
        <v>304</v>
      </c>
      <c r="AW348" t="s">
        <v>74</v>
      </c>
      <c r="AX348" t="s">
        <v>74</v>
      </c>
      <c r="AY348" t="s">
        <v>74</v>
      </c>
      <c r="AZ348" t="s">
        <v>74</v>
      </c>
      <c r="BA348" t="s">
        <v>74</v>
      </c>
      <c r="BB348">
        <v>49</v>
      </c>
      <c r="BC348">
        <v>60</v>
      </c>
      <c r="BD348" t="s">
        <v>74</v>
      </c>
      <c r="BE348" t="s">
        <v>7094</v>
      </c>
      <c r="BF348" t="str">
        <f>HYPERLINK("http://dx.doi.org/10.1016/j.jcz.2023.02.004","http://dx.doi.org/10.1016/j.jcz.2023.02.004")</f>
        <v>http://dx.doi.org/10.1016/j.jcz.2023.02.004</v>
      </c>
      <c r="BG348" t="s">
        <v>74</v>
      </c>
      <c r="BH348" t="s">
        <v>6218</v>
      </c>
      <c r="BI348">
        <v>12</v>
      </c>
      <c r="BJ348" t="s">
        <v>2582</v>
      </c>
      <c r="BK348" t="s">
        <v>103</v>
      </c>
      <c r="BL348" t="s">
        <v>2582</v>
      </c>
      <c r="BM348" t="s">
        <v>7095</v>
      </c>
      <c r="BN348" t="s">
        <v>74</v>
      </c>
      <c r="BO348" t="s">
        <v>387</v>
      </c>
      <c r="BP348" t="s">
        <v>74</v>
      </c>
      <c r="BQ348" t="s">
        <v>74</v>
      </c>
      <c r="BR348" t="s">
        <v>106</v>
      </c>
      <c r="BS348" t="s">
        <v>7096</v>
      </c>
      <c r="BT348" t="str">
        <f>HYPERLINK("https%3A%2F%2Fwww.webofscience.com%2Fwos%2Fwoscc%2Ffull-record%2FWOS:000973019900001","View Full Record in Web of Science")</f>
        <v>View Full Record in Web of Science</v>
      </c>
    </row>
    <row r="349" spans="1:72" x14ac:dyDescent="0.15">
      <c r="A349" t="s">
        <v>72</v>
      </c>
      <c r="B349" t="s">
        <v>7097</v>
      </c>
      <c r="C349" t="s">
        <v>74</v>
      </c>
      <c r="D349" t="s">
        <v>74</v>
      </c>
      <c r="E349" t="s">
        <v>74</v>
      </c>
      <c r="F349" t="s">
        <v>7098</v>
      </c>
      <c r="G349" t="s">
        <v>74</v>
      </c>
      <c r="H349" t="s">
        <v>74</v>
      </c>
      <c r="I349" t="s">
        <v>7099</v>
      </c>
      <c r="J349" t="s">
        <v>2541</v>
      </c>
      <c r="K349" t="s">
        <v>74</v>
      </c>
      <c r="L349" t="s">
        <v>74</v>
      </c>
      <c r="M349" t="s">
        <v>78</v>
      </c>
      <c r="N349" t="s">
        <v>112</v>
      </c>
      <c r="O349" t="s">
        <v>74</v>
      </c>
      <c r="P349" t="s">
        <v>74</v>
      </c>
      <c r="Q349" t="s">
        <v>74</v>
      </c>
      <c r="R349" t="s">
        <v>74</v>
      </c>
      <c r="S349" t="s">
        <v>74</v>
      </c>
      <c r="T349" t="s">
        <v>74</v>
      </c>
      <c r="U349" t="s">
        <v>7100</v>
      </c>
      <c r="V349" t="s">
        <v>7101</v>
      </c>
      <c r="W349" t="s">
        <v>7102</v>
      </c>
      <c r="X349" t="s">
        <v>7103</v>
      </c>
      <c r="Y349" t="s">
        <v>7104</v>
      </c>
      <c r="Z349" t="s">
        <v>7105</v>
      </c>
      <c r="AA349" t="s">
        <v>74</v>
      </c>
      <c r="AB349" t="s">
        <v>7106</v>
      </c>
      <c r="AC349" t="s">
        <v>7107</v>
      </c>
      <c r="AD349" t="s">
        <v>7108</v>
      </c>
      <c r="AE349" t="s">
        <v>7109</v>
      </c>
      <c r="AF349" t="s">
        <v>74</v>
      </c>
      <c r="AG349">
        <v>65</v>
      </c>
      <c r="AH349">
        <v>0</v>
      </c>
      <c r="AI349">
        <v>0</v>
      </c>
      <c r="AJ349">
        <v>2</v>
      </c>
      <c r="AK349">
        <v>5</v>
      </c>
      <c r="AL349" t="s">
        <v>794</v>
      </c>
      <c r="AM349" t="s">
        <v>795</v>
      </c>
      <c r="AN349" t="s">
        <v>796</v>
      </c>
      <c r="AO349" t="s">
        <v>2553</v>
      </c>
      <c r="AP349" t="s">
        <v>2554</v>
      </c>
      <c r="AQ349" t="s">
        <v>74</v>
      </c>
      <c r="AR349" t="s">
        <v>2555</v>
      </c>
      <c r="AS349" t="s">
        <v>2556</v>
      </c>
      <c r="AT349" t="s">
        <v>7110</v>
      </c>
      <c r="AU349">
        <v>2023</v>
      </c>
      <c r="AV349">
        <v>23</v>
      </c>
      <c r="AW349">
        <v>6</v>
      </c>
      <c r="AX349" t="s">
        <v>74</v>
      </c>
      <c r="AY349" t="s">
        <v>74</v>
      </c>
      <c r="AZ349" t="s">
        <v>74</v>
      </c>
      <c r="BA349" t="s">
        <v>74</v>
      </c>
      <c r="BB349">
        <v>3609</v>
      </c>
      <c r="BC349">
        <v>3627</v>
      </c>
      <c r="BD349" t="s">
        <v>74</v>
      </c>
      <c r="BE349" t="s">
        <v>7111</v>
      </c>
      <c r="BF349" t="str">
        <f>HYPERLINK("http://dx.doi.org/10.5194/acp-23-3609-2023","http://dx.doi.org/10.5194/acp-23-3609-2023")</f>
        <v>http://dx.doi.org/10.5194/acp-23-3609-2023</v>
      </c>
      <c r="BG349" t="s">
        <v>74</v>
      </c>
      <c r="BH349" t="s">
        <v>74</v>
      </c>
      <c r="BI349">
        <v>19</v>
      </c>
      <c r="BJ349" t="s">
        <v>356</v>
      </c>
      <c r="BK349" t="s">
        <v>103</v>
      </c>
      <c r="BL349" t="s">
        <v>357</v>
      </c>
      <c r="BM349" t="s">
        <v>7112</v>
      </c>
      <c r="BN349" t="s">
        <v>74</v>
      </c>
      <c r="BO349" t="s">
        <v>162</v>
      </c>
      <c r="BP349" t="s">
        <v>74</v>
      </c>
      <c r="BQ349" t="s">
        <v>74</v>
      </c>
      <c r="BR349" t="s">
        <v>106</v>
      </c>
      <c r="BS349" t="s">
        <v>7113</v>
      </c>
      <c r="BT349" t="str">
        <f>HYPERLINK("https%3A%2F%2Fwww.webofscience.com%2Fwos%2Fwoscc%2Ffull-record%2FWOS:000958016600001","View Full Record in Web of Science")</f>
        <v>View Full Record in Web of Science</v>
      </c>
    </row>
    <row r="350" spans="1:72" x14ac:dyDescent="0.15">
      <c r="A350" t="s">
        <v>72</v>
      </c>
      <c r="B350" t="s">
        <v>7114</v>
      </c>
      <c r="C350" t="s">
        <v>74</v>
      </c>
      <c r="D350" t="s">
        <v>74</v>
      </c>
      <c r="E350" t="s">
        <v>74</v>
      </c>
      <c r="F350" t="s">
        <v>7115</v>
      </c>
      <c r="G350" t="s">
        <v>74</v>
      </c>
      <c r="H350" t="s">
        <v>74</v>
      </c>
      <c r="I350" t="s">
        <v>7116</v>
      </c>
      <c r="J350" t="s">
        <v>7117</v>
      </c>
      <c r="K350" t="s">
        <v>74</v>
      </c>
      <c r="L350" t="s">
        <v>74</v>
      </c>
      <c r="M350" t="s">
        <v>78</v>
      </c>
      <c r="N350" t="s">
        <v>112</v>
      </c>
      <c r="O350" t="s">
        <v>74</v>
      </c>
      <c r="P350" t="s">
        <v>74</v>
      </c>
      <c r="Q350" t="s">
        <v>74</v>
      </c>
      <c r="R350" t="s">
        <v>74</v>
      </c>
      <c r="S350" t="s">
        <v>74</v>
      </c>
      <c r="T350" t="s">
        <v>7118</v>
      </c>
      <c r="U350" t="s">
        <v>7119</v>
      </c>
      <c r="V350" t="s">
        <v>7120</v>
      </c>
      <c r="W350" t="s">
        <v>7121</v>
      </c>
      <c r="X350" t="s">
        <v>7122</v>
      </c>
      <c r="Y350" t="s">
        <v>7123</v>
      </c>
      <c r="Z350" t="s">
        <v>7124</v>
      </c>
      <c r="AA350" t="s">
        <v>7125</v>
      </c>
      <c r="AB350" t="s">
        <v>74</v>
      </c>
      <c r="AC350" t="s">
        <v>7126</v>
      </c>
      <c r="AD350" t="s">
        <v>3117</v>
      </c>
      <c r="AE350" t="s">
        <v>7127</v>
      </c>
      <c r="AF350" t="s">
        <v>74</v>
      </c>
      <c r="AG350">
        <v>49</v>
      </c>
      <c r="AH350">
        <v>2</v>
      </c>
      <c r="AI350">
        <v>3</v>
      </c>
      <c r="AJ350">
        <v>3</v>
      </c>
      <c r="AK350">
        <v>20</v>
      </c>
      <c r="AL350" t="s">
        <v>2116</v>
      </c>
      <c r="AM350" t="s">
        <v>226</v>
      </c>
      <c r="AN350" t="s">
        <v>2117</v>
      </c>
      <c r="AO350" t="s">
        <v>7128</v>
      </c>
      <c r="AP350" t="s">
        <v>7129</v>
      </c>
      <c r="AQ350" t="s">
        <v>74</v>
      </c>
      <c r="AR350" t="s">
        <v>7130</v>
      </c>
      <c r="AS350" t="s">
        <v>7131</v>
      </c>
      <c r="AT350" t="s">
        <v>7110</v>
      </c>
      <c r="AU350">
        <v>2023</v>
      </c>
      <c r="AV350">
        <v>234</v>
      </c>
      <c r="AW350">
        <v>2</v>
      </c>
      <c r="AX350" t="s">
        <v>74</v>
      </c>
      <c r="AY350" t="s">
        <v>74</v>
      </c>
      <c r="AZ350" t="s">
        <v>74</v>
      </c>
      <c r="BA350" t="s">
        <v>74</v>
      </c>
      <c r="BB350">
        <v>852</v>
      </c>
      <c r="BC350">
        <v>869</v>
      </c>
      <c r="BD350" t="s">
        <v>74</v>
      </c>
      <c r="BE350" t="s">
        <v>7132</v>
      </c>
      <c r="BF350" t="str">
        <f>HYPERLINK("http://dx.doi.org/10.1093/gji/ggad107","http://dx.doi.org/10.1093/gji/ggad107")</f>
        <v>http://dx.doi.org/10.1093/gji/ggad107</v>
      </c>
      <c r="BG350" t="s">
        <v>74</v>
      </c>
      <c r="BH350" t="s">
        <v>74</v>
      </c>
      <c r="BI350">
        <v>18</v>
      </c>
      <c r="BJ350" t="s">
        <v>313</v>
      </c>
      <c r="BK350" t="s">
        <v>103</v>
      </c>
      <c r="BL350" t="s">
        <v>313</v>
      </c>
      <c r="BM350" t="s">
        <v>7133</v>
      </c>
      <c r="BN350" t="s">
        <v>74</v>
      </c>
      <c r="BO350" t="s">
        <v>74</v>
      </c>
      <c r="BP350" t="s">
        <v>74</v>
      </c>
      <c r="BQ350" t="s">
        <v>74</v>
      </c>
      <c r="BR350" t="s">
        <v>106</v>
      </c>
      <c r="BS350" t="s">
        <v>7134</v>
      </c>
      <c r="BT350" t="str">
        <f>HYPERLINK("https%3A%2F%2Fwww.webofscience.com%2Fwos%2Fwoscc%2Ffull-record%2FWOS:000958304600005","View Full Record in Web of Science")</f>
        <v>View Full Record in Web of Science</v>
      </c>
    </row>
    <row r="351" spans="1:72" x14ac:dyDescent="0.15">
      <c r="A351" t="s">
        <v>72</v>
      </c>
      <c r="B351" t="s">
        <v>7135</v>
      </c>
      <c r="C351" t="s">
        <v>74</v>
      </c>
      <c r="D351" t="s">
        <v>74</v>
      </c>
      <c r="E351" t="s">
        <v>74</v>
      </c>
      <c r="F351" t="s">
        <v>7136</v>
      </c>
      <c r="G351" t="s">
        <v>74</v>
      </c>
      <c r="H351" t="s">
        <v>74</v>
      </c>
      <c r="I351" t="s">
        <v>7137</v>
      </c>
      <c r="J351" t="s">
        <v>1089</v>
      </c>
      <c r="K351" t="s">
        <v>74</v>
      </c>
      <c r="L351" t="s">
        <v>74</v>
      </c>
      <c r="M351" t="s">
        <v>78</v>
      </c>
      <c r="N351" t="s">
        <v>112</v>
      </c>
      <c r="O351" t="s">
        <v>74</v>
      </c>
      <c r="P351" t="s">
        <v>74</v>
      </c>
      <c r="Q351" t="s">
        <v>74</v>
      </c>
      <c r="R351" t="s">
        <v>74</v>
      </c>
      <c r="S351" t="s">
        <v>74</v>
      </c>
      <c r="T351" t="s">
        <v>7138</v>
      </c>
      <c r="U351" t="s">
        <v>7139</v>
      </c>
      <c r="V351" t="s">
        <v>7140</v>
      </c>
      <c r="W351" t="s">
        <v>7141</v>
      </c>
      <c r="X351" t="s">
        <v>7142</v>
      </c>
      <c r="Y351" t="s">
        <v>7143</v>
      </c>
      <c r="Z351" t="s">
        <v>7144</v>
      </c>
      <c r="AA351" t="s">
        <v>7145</v>
      </c>
      <c r="AB351" t="s">
        <v>7146</v>
      </c>
      <c r="AC351" t="s">
        <v>7147</v>
      </c>
      <c r="AD351" t="s">
        <v>7148</v>
      </c>
      <c r="AE351" t="s">
        <v>7149</v>
      </c>
      <c r="AF351" t="s">
        <v>74</v>
      </c>
      <c r="AG351">
        <v>29</v>
      </c>
      <c r="AH351">
        <v>3</v>
      </c>
      <c r="AI351">
        <v>3</v>
      </c>
      <c r="AJ351">
        <v>0</v>
      </c>
      <c r="AK351">
        <v>1</v>
      </c>
      <c r="AL351" t="s">
        <v>1101</v>
      </c>
      <c r="AM351" t="s">
        <v>1102</v>
      </c>
      <c r="AN351" t="s">
        <v>1103</v>
      </c>
      <c r="AO351" t="s">
        <v>1104</v>
      </c>
      <c r="AP351" t="s">
        <v>1105</v>
      </c>
      <c r="AQ351" t="s">
        <v>74</v>
      </c>
      <c r="AR351" t="s">
        <v>1106</v>
      </c>
      <c r="AS351" t="s">
        <v>1107</v>
      </c>
      <c r="AT351" t="s">
        <v>1108</v>
      </c>
      <c r="AU351">
        <v>2022</v>
      </c>
      <c r="AV351">
        <v>63</v>
      </c>
      <c r="AW351" t="s">
        <v>1109</v>
      </c>
      <c r="AX351" t="s">
        <v>74</v>
      </c>
      <c r="AY351" t="s">
        <v>74</v>
      </c>
      <c r="AZ351" t="s">
        <v>74</v>
      </c>
      <c r="BA351" t="s">
        <v>74</v>
      </c>
      <c r="BB351">
        <v>18</v>
      </c>
      <c r="BC351">
        <v>22</v>
      </c>
      <c r="BD351" t="s">
        <v>7150</v>
      </c>
      <c r="BE351" t="s">
        <v>7151</v>
      </c>
      <c r="BF351" t="str">
        <f>HYPERLINK("http://dx.doi.org/10.1017/aog.2023.5","http://dx.doi.org/10.1017/aog.2023.5")</f>
        <v>http://dx.doi.org/10.1017/aog.2023.5</v>
      </c>
      <c r="BG351" t="s">
        <v>74</v>
      </c>
      <c r="BH351" t="s">
        <v>6218</v>
      </c>
      <c r="BI351">
        <v>5</v>
      </c>
      <c r="BJ351" t="s">
        <v>801</v>
      </c>
      <c r="BK351" t="s">
        <v>103</v>
      </c>
      <c r="BL351" t="s">
        <v>802</v>
      </c>
      <c r="BM351" t="s">
        <v>1112</v>
      </c>
      <c r="BN351" t="s">
        <v>74</v>
      </c>
      <c r="BO351" t="s">
        <v>359</v>
      </c>
      <c r="BP351" t="s">
        <v>74</v>
      </c>
      <c r="BQ351" t="s">
        <v>74</v>
      </c>
      <c r="BR351" t="s">
        <v>106</v>
      </c>
      <c r="BS351" t="s">
        <v>7152</v>
      </c>
      <c r="BT351" t="str">
        <f>HYPERLINK("https%3A%2F%2Fwww.webofscience.com%2Fwos%2Fwoscc%2Ffull-record%2FWOS:000955859500001","View Full Record in Web of Science")</f>
        <v>View Full Record in Web of Science</v>
      </c>
    </row>
    <row r="352" spans="1:72" x14ac:dyDescent="0.15">
      <c r="A352" t="s">
        <v>72</v>
      </c>
      <c r="B352" t="s">
        <v>7153</v>
      </c>
      <c r="C352" t="s">
        <v>74</v>
      </c>
      <c r="D352" t="s">
        <v>74</v>
      </c>
      <c r="E352" t="s">
        <v>74</v>
      </c>
      <c r="F352" t="s">
        <v>7154</v>
      </c>
      <c r="G352" t="s">
        <v>74</v>
      </c>
      <c r="H352" t="s">
        <v>74</v>
      </c>
      <c r="I352" t="s">
        <v>7155</v>
      </c>
      <c r="J352" t="s">
        <v>7156</v>
      </c>
      <c r="K352" t="s">
        <v>74</v>
      </c>
      <c r="L352" t="s">
        <v>74</v>
      </c>
      <c r="M352" t="s">
        <v>78</v>
      </c>
      <c r="N352" t="s">
        <v>112</v>
      </c>
      <c r="O352" t="s">
        <v>74</v>
      </c>
      <c r="P352" t="s">
        <v>74</v>
      </c>
      <c r="Q352" t="s">
        <v>74</v>
      </c>
      <c r="R352" t="s">
        <v>74</v>
      </c>
      <c r="S352" t="s">
        <v>74</v>
      </c>
      <c r="T352" t="s">
        <v>7157</v>
      </c>
      <c r="U352" t="s">
        <v>7158</v>
      </c>
      <c r="V352" t="s">
        <v>7159</v>
      </c>
      <c r="W352" t="s">
        <v>7160</v>
      </c>
      <c r="X352" t="s">
        <v>7161</v>
      </c>
      <c r="Y352" t="s">
        <v>7162</v>
      </c>
      <c r="Z352" t="s">
        <v>7163</v>
      </c>
      <c r="AA352" t="s">
        <v>74</v>
      </c>
      <c r="AB352" t="s">
        <v>74</v>
      </c>
      <c r="AC352" t="s">
        <v>7164</v>
      </c>
      <c r="AD352" t="s">
        <v>7165</v>
      </c>
      <c r="AE352" t="s">
        <v>7166</v>
      </c>
      <c r="AF352" t="s">
        <v>74</v>
      </c>
      <c r="AG352">
        <v>56</v>
      </c>
      <c r="AH352">
        <v>1</v>
      </c>
      <c r="AI352">
        <v>1</v>
      </c>
      <c r="AJ352">
        <v>24</v>
      </c>
      <c r="AK352">
        <v>61</v>
      </c>
      <c r="AL352" t="s">
        <v>7167</v>
      </c>
      <c r="AM352" t="s">
        <v>7168</v>
      </c>
      <c r="AN352" t="s">
        <v>7169</v>
      </c>
      <c r="AO352" t="s">
        <v>7170</v>
      </c>
      <c r="AP352" t="s">
        <v>7171</v>
      </c>
      <c r="AQ352" t="s">
        <v>74</v>
      </c>
      <c r="AR352" t="s">
        <v>7172</v>
      </c>
      <c r="AS352" t="s">
        <v>7173</v>
      </c>
      <c r="AT352" t="s">
        <v>1482</v>
      </c>
      <c r="AU352">
        <v>2023</v>
      </c>
      <c r="AV352">
        <v>62</v>
      </c>
      <c r="AW352">
        <v>18</v>
      </c>
      <c r="AX352" t="s">
        <v>74</v>
      </c>
      <c r="AY352" t="s">
        <v>74</v>
      </c>
      <c r="AZ352" t="s">
        <v>74</v>
      </c>
      <c r="BA352" t="s">
        <v>74</v>
      </c>
      <c r="BB352" t="s">
        <v>74</v>
      </c>
      <c r="BC352" t="s">
        <v>74</v>
      </c>
      <c r="BD352" t="s">
        <v>74</v>
      </c>
      <c r="BE352" t="s">
        <v>7174</v>
      </c>
      <c r="BF352" t="str">
        <f>HYPERLINK("http://dx.doi.org/10.1002/anie.202218085","http://dx.doi.org/10.1002/anie.202218085")</f>
        <v>http://dx.doi.org/10.1002/anie.202218085</v>
      </c>
      <c r="BG352" t="s">
        <v>74</v>
      </c>
      <c r="BH352" t="s">
        <v>6218</v>
      </c>
      <c r="BI352">
        <v>10</v>
      </c>
      <c r="BJ352" t="s">
        <v>7175</v>
      </c>
      <c r="BK352" t="s">
        <v>1939</v>
      </c>
      <c r="BL352" t="s">
        <v>1940</v>
      </c>
      <c r="BM352" t="s">
        <v>7176</v>
      </c>
      <c r="BN352">
        <v>36680430</v>
      </c>
      <c r="BO352" t="s">
        <v>74</v>
      </c>
      <c r="BP352" t="s">
        <v>74</v>
      </c>
      <c r="BQ352" t="s">
        <v>74</v>
      </c>
      <c r="BR352" t="s">
        <v>106</v>
      </c>
      <c r="BS352" t="s">
        <v>7177</v>
      </c>
      <c r="BT352" t="str">
        <f>HYPERLINK("https%3A%2F%2Fwww.webofscience.com%2Fwos%2Fwoscc%2Ffull-record%2FWOS:000956009000001","View Full Record in Web of Science")</f>
        <v>View Full Record in Web of Science</v>
      </c>
    </row>
    <row r="353" spans="1:72" x14ac:dyDescent="0.15">
      <c r="A353" t="s">
        <v>72</v>
      </c>
      <c r="B353" t="s">
        <v>7178</v>
      </c>
      <c r="C353" t="s">
        <v>74</v>
      </c>
      <c r="D353" t="s">
        <v>74</v>
      </c>
      <c r="E353" t="s">
        <v>74</v>
      </c>
      <c r="F353" t="s">
        <v>7179</v>
      </c>
      <c r="G353" t="s">
        <v>74</v>
      </c>
      <c r="H353" t="s">
        <v>74</v>
      </c>
      <c r="I353" t="s">
        <v>7180</v>
      </c>
      <c r="J353" t="s">
        <v>7181</v>
      </c>
      <c r="K353" t="s">
        <v>74</v>
      </c>
      <c r="L353" t="s">
        <v>74</v>
      </c>
      <c r="M353" t="s">
        <v>78</v>
      </c>
      <c r="N353" t="s">
        <v>112</v>
      </c>
      <c r="O353" t="s">
        <v>74</v>
      </c>
      <c r="P353" t="s">
        <v>74</v>
      </c>
      <c r="Q353" t="s">
        <v>74</v>
      </c>
      <c r="R353" t="s">
        <v>74</v>
      </c>
      <c r="S353" t="s">
        <v>74</v>
      </c>
      <c r="T353" t="s">
        <v>7182</v>
      </c>
      <c r="U353" t="s">
        <v>7183</v>
      </c>
      <c r="V353" t="s">
        <v>7184</v>
      </c>
      <c r="W353" t="s">
        <v>7185</v>
      </c>
      <c r="X353" t="s">
        <v>7186</v>
      </c>
      <c r="Y353" t="s">
        <v>7187</v>
      </c>
      <c r="Z353" t="s">
        <v>7188</v>
      </c>
      <c r="AA353" t="s">
        <v>74</v>
      </c>
      <c r="AB353" t="s">
        <v>7189</v>
      </c>
      <c r="AC353" t="s">
        <v>7190</v>
      </c>
      <c r="AD353" t="s">
        <v>7190</v>
      </c>
      <c r="AE353" t="s">
        <v>7191</v>
      </c>
      <c r="AF353" t="s">
        <v>74</v>
      </c>
      <c r="AG353">
        <v>84</v>
      </c>
      <c r="AH353">
        <v>0</v>
      </c>
      <c r="AI353">
        <v>0</v>
      </c>
      <c r="AJ353">
        <v>0</v>
      </c>
      <c r="AK353">
        <v>1</v>
      </c>
      <c r="AL353" t="s">
        <v>7192</v>
      </c>
      <c r="AM353" t="s">
        <v>7193</v>
      </c>
      <c r="AN353" t="s">
        <v>7194</v>
      </c>
      <c r="AO353" t="s">
        <v>7195</v>
      </c>
      <c r="AP353" t="s">
        <v>7196</v>
      </c>
      <c r="AQ353" t="s">
        <v>74</v>
      </c>
      <c r="AR353" t="s">
        <v>7197</v>
      </c>
      <c r="AS353" t="s">
        <v>7198</v>
      </c>
      <c r="AT353" t="s">
        <v>7199</v>
      </c>
      <c r="AU353">
        <v>2023</v>
      </c>
      <c r="AV353">
        <v>708</v>
      </c>
      <c r="AW353" t="s">
        <v>74</v>
      </c>
      <c r="AX353" t="s">
        <v>74</v>
      </c>
      <c r="AY353" t="s">
        <v>74</v>
      </c>
      <c r="AZ353" t="s">
        <v>74</v>
      </c>
      <c r="BA353" t="s">
        <v>74</v>
      </c>
      <c r="BB353">
        <v>163</v>
      </c>
      <c r="BC353">
        <v>176</v>
      </c>
      <c r="BD353" t="s">
        <v>74</v>
      </c>
      <c r="BE353" t="s">
        <v>7200</v>
      </c>
      <c r="BF353" t="str">
        <f>HYPERLINK("http://dx.doi.org/10.3354/meps14277","http://dx.doi.org/10.3354/meps14277")</f>
        <v>http://dx.doi.org/10.3354/meps14277</v>
      </c>
      <c r="BG353" t="s">
        <v>74</v>
      </c>
      <c r="BH353" t="s">
        <v>74</v>
      </c>
      <c r="BI353">
        <v>14</v>
      </c>
      <c r="BJ353" t="s">
        <v>7201</v>
      </c>
      <c r="BK353" t="s">
        <v>103</v>
      </c>
      <c r="BL353" t="s">
        <v>7202</v>
      </c>
      <c r="BM353" t="s">
        <v>7203</v>
      </c>
      <c r="BN353" t="s">
        <v>74</v>
      </c>
      <c r="BO353" t="s">
        <v>74</v>
      </c>
      <c r="BP353" t="s">
        <v>74</v>
      </c>
      <c r="BQ353" t="s">
        <v>74</v>
      </c>
      <c r="BR353" t="s">
        <v>106</v>
      </c>
      <c r="BS353" t="s">
        <v>7204</v>
      </c>
      <c r="BT353" t="str">
        <f>HYPERLINK("https%3A%2F%2Fwww.webofscience.com%2Fwos%2Fwoscc%2Ffull-record%2FWOS:000989709200008","View Full Record in Web of Science")</f>
        <v>View Full Record in Web of Science</v>
      </c>
    </row>
    <row r="354" spans="1:72" x14ac:dyDescent="0.15">
      <c r="A354" t="s">
        <v>72</v>
      </c>
      <c r="B354" t="s">
        <v>7205</v>
      </c>
      <c r="C354" t="s">
        <v>74</v>
      </c>
      <c r="D354" t="s">
        <v>74</v>
      </c>
      <c r="E354" t="s">
        <v>74</v>
      </c>
      <c r="F354" t="s">
        <v>7206</v>
      </c>
      <c r="G354" t="s">
        <v>74</v>
      </c>
      <c r="H354" t="s">
        <v>74</v>
      </c>
      <c r="I354" t="s">
        <v>7207</v>
      </c>
      <c r="J354" t="s">
        <v>7208</v>
      </c>
      <c r="K354" t="s">
        <v>74</v>
      </c>
      <c r="L354" t="s">
        <v>74</v>
      </c>
      <c r="M354" t="s">
        <v>78</v>
      </c>
      <c r="N354" t="s">
        <v>112</v>
      </c>
      <c r="O354" t="s">
        <v>74</v>
      </c>
      <c r="P354" t="s">
        <v>74</v>
      </c>
      <c r="Q354" t="s">
        <v>74</v>
      </c>
      <c r="R354" t="s">
        <v>74</v>
      </c>
      <c r="S354" t="s">
        <v>74</v>
      </c>
      <c r="T354" t="s">
        <v>7209</v>
      </c>
      <c r="U354" t="s">
        <v>7210</v>
      </c>
      <c r="V354" t="s">
        <v>7211</v>
      </c>
      <c r="W354" t="s">
        <v>7212</v>
      </c>
      <c r="X354" t="s">
        <v>7213</v>
      </c>
      <c r="Y354" t="s">
        <v>7214</v>
      </c>
      <c r="Z354" t="s">
        <v>7215</v>
      </c>
      <c r="AA354" t="s">
        <v>74</v>
      </c>
      <c r="AB354" t="s">
        <v>7216</v>
      </c>
      <c r="AC354" t="s">
        <v>7217</v>
      </c>
      <c r="AD354" t="s">
        <v>7218</v>
      </c>
      <c r="AE354" t="s">
        <v>7219</v>
      </c>
      <c r="AF354" t="s">
        <v>74</v>
      </c>
      <c r="AG354">
        <v>54</v>
      </c>
      <c r="AH354">
        <v>2</v>
      </c>
      <c r="AI354">
        <v>2</v>
      </c>
      <c r="AJ354">
        <v>4</v>
      </c>
      <c r="AK354">
        <v>10</v>
      </c>
      <c r="AL354" t="s">
        <v>447</v>
      </c>
      <c r="AM354" t="s">
        <v>448</v>
      </c>
      <c r="AN354" t="s">
        <v>449</v>
      </c>
      <c r="AO354" t="s">
        <v>7220</v>
      </c>
      <c r="AP354" t="s">
        <v>7221</v>
      </c>
      <c r="AQ354" t="s">
        <v>74</v>
      </c>
      <c r="AR354" t="s">
        <v>7222</v>
      </c>
      <c r="AS354" t="s">
        <v>7223</v>
      </c>
      <c r="AT354" t="s">
        <v>232</v>
      </c>
      <c r="AU354">
        <v>2023</v>
      </c>
      <c r="AV354">
        <v>53</v>
      </c>
      <c r="AW354" t="s">
        <v>74</v>
      </c>
      <c r="AX354" t="s">
        <v>74</v>
      </c>
      <c r="AY354" t="s">
        <v>74</v>
      </c>
      <c r="AZ354" t="s">
        <v>74</v>
      </c>
      <c r="BA354" t="s">
        <v>74</v>
      </c>
      <c r="BB354" t="s">
        <v>74</v>
      </c>
      <c r="BC354" t="s">
        <v>74</v>
      </c>
      <c r="BD354">
        <v>102572</v>
      </c>
      <c r="BE354" t="s">
        <v>7224</v>
      </c>
      <c r="BF354" t="str">
        <f>HYPERLINK("http://dx.doi.org/10.1016/j.fbio.2023.102572","http://dx.doi.org/10.1016/j.fbio.2023.102572")</f>
        <v>http://dx.doi.org/10.1016/j.fbio.2023.102572</v>
      </c>
      <c r="BG354" t="s">
        <v>74</v>
      </c>
      <c r="BH354" t="s">
        <v>6218</v>
      </c>
      <c r="BI354">
        <v>11</v>
      </c>
      <c r="BJ354" t="s">
        <v>1528</v>
      </c>
      <c r="BK354" t="s">
        <v>103</v>
      </c>
      <c r="BL354" t="s">
        <v>1528</v>
      </c>
      <c r="BM354" t="s">
        <v>7225</v>
      </c>
      <c r="BN354" t="s">
        <v>74</v>
      </c>
      <c r="BO354" t="s">
        <v>74</v>
      </c>
      <c r="BP354" t="s">
        <v>74</v>
      </c>
      <c r="BQ354" t="s">
        <v>74</v>
      </c>
      <c r="BR354" t="s">
        <v>106</v>
      </c>
      <c r="BS354" t="s">
        <v>7226</v>
      </c>
      <c r="BT354" t="str">
        <f>HYPERLINK("https%3A%2F%2Fwww.webofscience.com%2Fwos%2Fwoscc%2Ffull-record%2FWOS:000965161600001","View Full Record in Web of Science")</f>
        <v>View Full Record in Web of Science</v>
      </c>
    </row>
    <row r="355" spans="1:72" x14ac:dyDescent="0.15">
      <c r="A355" t="s">
        <v>72</v>
      </c>
      <c r="B355" t="s">
        <v>7227</v>
      </c>
      <c r="C355" t="s">
        <v>74</v>
      </c>
      <c r="D355" t="s">
        <v>74</v>
      </c>
      <c r="E355" t="s">
        <v>74</v>
      </c>
      <c r="F355" t="s">
        <v>7228</v>
      </c>
      <c r="G355" t="s">
        <v>74</v>
      </c>
      <c r="H355" t="s">
        <v>74</v>
      </c>
      <c r="I355" t="s">
        <v>7229</v>
      </c>
      <c r="J355" t="s">
        <v>3011</v>
      </c>
      <c r="K355" t="s">
        <v>74</v>
      </c>
      <c r="L355" t="s">
        <v>74</v>
      </c>
      <c r="M355" t="s">
        <v>78</v>
      </c>
      <c r="N355" t="s">
        <v>112</v>
      </c>
      <c r="O355" t="s">
        <v>74</v>
      </c>
      <c r="P355" t="s">
        <v>74</v>
      </c>
      <c r="Q355" t="s">
        <v>74</v>
      </c>
      <c r="R355" t="s">
        <v>74</v>
      </c>
      <c r="S355" t="s">
        <v>74</v>
      </c>
      <c r="T355" t="s">
        <v>7230</v>
      </c>
      <c r="U355" t="s">
        <v>7231</v>
      </c>
      <c r="V355" t="s">
        <v>7232</v>
      </c>
      <c r="W355" t="s">
        <v>7233</v>
      </c>
      <c r="X355" t="s">
        <v>7234</v>
      </c>
      <c r="Y355" t="s">
        <v>7235</v>
      </c>
      <c r="Z355" t="s">
        <v>7236</v>
      </c>
      <c r="AA355" t="s">
        <v>7237</v>
      </c>
      <c r="AB355" t="s">
        <v>74</v>
      </c>
      <c r="AC355" t="s">
        <v>7238</v>
      </c>
      <c r="AD355" t="s">
        <v>7238</v>
      </c>
      <c r="AE355" t="s">
        <v>7239</v>
      </c>
      <c r="AF355" t="s">
        <v>74</v>
      </c>
      <c r="AG355">
        <v>90</v>
      </c>
      <c r="AH355">
        <v>0</v>
      </c>
      <c r="AI355">
        <v>0</v>
      </c>
      <c r="AJ355">
        <v>0</v>
      </c>
      <c r="AK355">
        <v>1</v>
      </c>
      <c r="AL355" t="s">
        <v>700</v>
      </c>
      <c r="AM355" t="s">
        <v>701</v>
      </c>
      <c r="AN355" t="s">
        <v>702</v>
      </c>
      <c r="AO355" t="s">
        <v>74</v>
      </c>
      <c r="AP355" t="s">
        <v>3023</v>
      </c>
      <c r="AQ355" t="s">
        <v>74</v>
      </c>
      <c r="AR355" t="s">
        <v>3024</v>
      </c>
      <c r="AS355" t="s">
        <v>3025</v>
      </c>
      <c r="AT355" t="s">
        <v>7199</v>
      </c>
      <c r="AU355">
        <v>2023</v>
      </c>
      <c r="AV355">
        <v>11</v>
      </c>
      <c r="AW355" t="s">
        <v>74</v>
      </c>
      <c r="AX355" t="s">
        <v>74</v>
      </c>
      <c r="AY355" t="s">
        <v>74</v>
      </c>
      <c r="AZ355" t="s">
        <v>74</v>
      </c>
      <c r="BA355" t="s">
        <v>74</v>
      </c>
      <c r="BB355" t="s">
        <v>74</v>
      </c>
      <c r="BC355" t="s">
        <v>74</v>
      </c>
      <c r="BD355">
        <v>1057761</v>
      </c>
      <c r="BE355" t="s">
        <v>7240</v>
      </c>
      <c r="BF355" t="str">
        <f>HYPERLINK("http://dx.doi.org/10.3389/feart.2023.1057761","http://dx.doi.org/10.3389/feart.2023.1057761")</f>
        <v>http://dx.doi.org/10.3389/feart.2023.1057761</v>
      </c>
      <c r="BG355" t="s">
        <v>74</v>
      </c>
      <c r="BH355" t="s">
        <v>74</v>
      </c>
      <c r="BI355">
        <v>17</v>
      </c>
      <c r="BJ355" t="s">
        <v>261</v>
      </c>
      <c r="BK355" t="s">
        <v>103</v>
      </c>
      <c r="BL355" t="s">
        <v>262</v>
      </c>
      <c r="BM355" t="s">
        <v>7241</v>
      </c>
      <c r="BN355" t="s">
        <v>74</v>
      </c>
      <c r="BO355" t="s">
        <v>2053</v>
      </c>
      <c r="BP355" t="s">
        <v>74</v>
      </c>
      <c r="BQ355" t="s">
        <v>74</v>
      </c>
      <c r="BR355" t="s">
        <v>106</v>
      </c>
      <c r="BS355" t="s">
        <v>7242</v>
      </c>
      <c r="BT355" t="str">
        <f>HYPERLINK("https%3A%2F%2Fwww.webofscience.com%2Fwos%2Fwoscc%2Ffull-record%2FWOS:000964593200001","View Full Record in Web of Science")</f>
        <v>View Full Record in Web of Science</v>
      </c>
    </row>
    <row r="356" spans="1:72" x14ac:dyDescent="0.15">
      <c r="A356" t="s">
        <v>72</v>
      </c>
      <c r="B356" t="s">
        <v>7243</v>
      </c>
      <c r="C356" t="s">
        <v>74</v>
      </c>
      <c r="D356" t="s">
        <v>74</v>
      </c>
      <c r="E356" t="s">
        <v>74</v>
      </c>
      <c r="F356" t="s">
        <v>7244</v>
      </c>
      <c r="G356" t="s">
        <v>74</v>
      </c>
      <c r="H356" t="s">
        <v>74</v>
      </c>
      <c r="I356" t="s">
        <v>7245</v>
      </c>
      <c r="J356" t="s">
        <v>3089</v>
      </c>
      <c r="K356" t="s">
        <v>74</v>
      </c>
      <c r="L356" t="s">
        <v>74</v>
      </c>
      <c r="M356" t="s">
        <v>78</v>
      </c>
      <c r="N356" t="s">
        <v>112</v>
      </c>
      <c r="O356" t="s">
        <v>74</v>
      </c>
      <c r="P356" t="s">
        <v>74</v>
      </c>
      <c r="Q356" t="s">
        <v>74</v>
      </c>
      <c r="R356" t="s">
        <v>74</v>
      </c>
      <c r="S356" t="s">
        <v>74</v>
      </c>
      <c r="T356" t="s">
        <v>7246</v>
      </c>
      <c r="U356" t="s">
        <v>7247</v>
      </c>
      <c r="V356" t="s">
        <v>7248</v>
      </c>
      <c r="W356" t="s">
        <v>7249</v>
      </c>
      <c r="X356" t="s">
        <v>7250</v>
      </c>
      <c r="Y356" t="s">
        <v>7251</v>
      </c>
      <c r="Z356" t="s">
        <v>7252</v>
      </c>
      <c r="AA356" t="s">
        <v>7253</v>
      </c>
      <c r="AB356" t="s">
        <v>7254</v>
      </c>
      <c r="AC356" t="s">
        <v>74</v>
      </c>
      <c r="AD356" t="s">
        <v>74</v>
      </c>
      <c r="AE356" t="s">
        <v>74</v>
      </c>
      <c r="AF356" t="s">
        <v>74</v>
      </c>
      <c r="AG356">
        <v>75</v>
      </c>
      <c r="AH356">
        <v>3</v>
      </c>
      <c r="AI356">
        <v>3</v>
      </c>
      <c r="AJ356">
        <v>8</v>
      </c>
      <c r="AK356">
        <v>21</v>
      </c>
      <c r="AL356" t="s">
        <v>700</v>
      </c>
      <c r="AM356" t="s">
        <v>701</v>
      </c>
      <c r="AN356" t="s">
        <v>702</v>
      </c>
      <c r="AO356" t="s">
        <v>74</v>
      </c>
      <c r="AP356" t="s">
        <v>3098</v>
      </c>
      <c r="AQ356" t="s">
        <v>74</v>
      </c>
      <c r="AR356" t="s">
        <v>3099</v>
      </c>
      <c r="AS356" t="s">
        <v>3100</v>
      </c>
      <c r="AT356" t="s">
        <v>7199</v>
      </c>
      <c r="AU356">
        <v>2023</v>
      </c>
      <c r="AV356">
        <v>14</v>
      </c>
      <c r="AW356" t="s">
        <v>74</v>
      </c>
      <c r="AX356" t="s">
        <v>74</v>
      </c>
      <c r="AY356" t="s">
        <v>74</v>
      </c>
      <c r="AZ356" t="s">
        <v>74</v>
      </c>
      <c r="BA356" t="s">
        <v>74</v>
      </c>
      <c r="BB356" t="s">
        <v>74</v>
      </c>
      <c r="BC356" t="s">
        <v>74</v>
      </c>
      <c r="BD356">
        <v>1130321</v>
      </c>
      <c r="BE356" t="s">
        <v>7255</v>
      </c>
      <c r="BF356" t="str">
        <f>HYPERLINK("http://dx.doi.org/10.3389/fmicb.2023.1130321","http://dx.doi.org/10.3389/fmicb.2023.1130321")</f>
        <v>http://dx.doi.org/10.3389/fmicb.2023.1130321</v>
      </c>
      <c r="BG356" t="s">
        <v>74</v>
      </c>
      <c r="BH356" t="s">
        <v>74</v>
      </c>
      <c r="BI356">
        <v>10</v>
      </c>
      <c r="BJ356" t="s">
        <v>1387</v>
      </c>
      <c r="BK356" t="s">
        <v>103</v>
      </c>
      <c r="BL356" t="s">
        <v>1387</v>
      </c>
      <c r="BM356" t="s">
        <v>7256</v>
      </c>
      <c r="BN356">
        <v>37032907</v>
      </c>
      <c r="BO356" t="s">
        <v>136</v>
      </c>
      <c r="BP356" t="s">
        <v>74</v>
      </c>
      <c r="BQ356" t="s">
        <v>74</v>
      </c>
      <c r="BR356" t="s">
        <v>106</v>
      </c>
      <c r="BS356" t="s">
        <v>7257</v>
      </c>
      <c r="BT356" t="str">
        <f>HYPERLINK("https%3A%2F%2Fwww.webofscience.com%2Fwos%2Fwoscc%2Ffull-record%2FWOS:000966525600001","View Full Record in Web of Science")</f>
        <v>View Full Record in Web of Science</v>
      </c>
    </row>
    <row r="357" spans="1:72" x14ac:dyDescent="0.15">
      <c r="A357" t="s">
        <v>72</v>
      </c>
      <c r="B357" t="s">
        <v>7258</v>
      </c>
      <c r="C357" t="s">
        <v>74</v>
      </c>
      <c r="D357" t="s">
        <v>74</v>
      </c>
      <c r="E357" t="s">
        <v>74</v>
      </c>
      <c r="F357" t="s">
        <v>7259</v>
      </c>
      <c r="G357" t="s">
        <v>74</v>
      </c>
      <c r="H357" t="s">
        <v>74</v>
      </c>
      <c r="I357" t="s">
        <v>7260</v>
      </c>
      <c r="J357" t="s">
        <v>1089</v>
      </c>
      <c r="K357" t="s">
        <v>74</v>
      </c>
      <c r="L357" t="s">
        <v>74</v>
      </c>
      <c r="M357" t="s">
        <v>78</v>
      </c>
      <c r="N357" t="s">
        <v>112</v>
      </c>
      <c r="O357" t="s">
        <v>74</v>
      </c>
      <c r="P357" t="s">
        <v>74</v>
      </c>
      <c r="Q357" t="s">
        <v>74</v>
      </c>
      <c r="R357" t="s">
        <v>74</v>
      </c>
      <c r="S357" t="s">
        <v>74</v>
      </c>
      <c r="T357" t="s">
        <v>7261</v>
      </c>
      <c r="U357" t="s">
        <v>7262</v>
      </c>
      <c r="V357" t="s">
        <v>7263</v>
      </c>
      <c r="W357" t="s">
        <v>7264</v>
      </c>
      <c r="X357" t="s">
        <v>7265</v>
      </c>
      <c r="Y357" t="s">
        <v>7266</v>
      </c>
      <c r="Z357" t="s">
        <v>7267</v>
      </c>
      <c r="AA357" t="s">
        <v>74</v>
      </c>
      <c r="AB357" t="s">
        <v>7268</v>
      </c>
      <c r="AC357" t="s">
        <v>7269</v>
      </c>
      <c r="AD357" t="s">
        <v>7270</v>
      </c>
      <c r="AE357" t="s">
        <v>7271</v>
      </c>
      <c r="AF357" t="s">
        <v>74</v>
      </c>
      <c r="AG357">
        <v>56</v>
      </c>
      <c r="AH357">
        <v>4</v>
      </c>
      <c r="AI357">
        <v>4</v>
      </c>
      <c r="AJ357">
        <v>2</v>
      </c>
      <c r="AK357">
        <v>9</v>
      </c>
      <c r="AL357" t="s">
        <v>1101</v>
      </c>
      <c r="AM357" t="s">
        <v>1102</v>
      </c>
      <c r="AN357" t="s">
        <v>1103</v>
      </c>
      <c r="AO357" t="s">
        <v>1104</v>
      </c>
      <c r="AP357" t="s">
        <v>1105</v>
      </c>
      <c r="AQ357" t="s">
        <v>74</v>
      </c>
      <c r="AR357" t="s">
        <v>1106</v>
      </c>
      <c r="AS357" t="s">
        <v>1107</v>
      </c>
      <c r="AT357" t="s">
        <v>1108</v>
      </c>
      <c r="AU357">
        <v>2022</v>
      </c>
      <c r="AV357">
        <v>63</v>
      </c>
      <c r="AW357" t="s">
        <v>1109</v>
      </c>
      <c r="AX357" t="s">
        <v>74</v>
      </c>
      <c r="AY357" t="s">
        <v>74</v>
      </c>
      <c r="AZ357" t="s">
        <v>74</v>
      </c>
      <c r="BA357" t="s">
        <v>74</v>
      </c>
      <c r="BB357">
        <v>49</v>
      </c>
      <c r="BC357">
        <v>54</v>
      </c>
      <c r="BD357" t="s">
        <v>7272</v>
      </c>
      <c r="BE357" t="s">
        <v>7273</v>
      </c>
      <c r="BF357" t="str">
        <f>HYPERLINK("http://dx.doi.org/10.1017/aog.2023.9","http://dx.doi.org/10.1017/aog.2023.9")</f>
        <v>http://dx.doi.org/10.1017/aog.2023.9</v>
      </c>
      <c r="BG357" t="s">
        <v>74</v>
      </c>
      <c r="BH357" t="s">
        <v>6218</v>
      </c>
      <c r="BI357">
        <v>6</v>
      </c>
      <c r="BJ357" t="s">
        <v>801</v>
      </c>
      <c r="BK357" t="s">
        <v>103</v>
      </c>
      <c r="BL357" t="s">
        <v>802</v>
      </c>
      <c r="BM357" t="s">
        <v>1112</v>
      </c>
      <c r="BN357" t="s">
        <v>74</v>
      </c>
      <c r="BO357" t="s">
        <v>359</v>
      </c>
      <c r="BP357" t="s">
        <v>74</v>
      </c>
      <c r="BQ357" t="s">
        <v>74</v>
      </c>
      <c r="BR357" t="s">
        <v>106</v>
      </c>
      <c r="BS357" t="s">
        <v>7274</v>
      </c>
      <c r="BT357" t="str">
        <f>HYPERLINK("https%3A%2F%2Fwww.webofscience.com%2Fwos%2Fwoscc%2Ffull-record%2FWOS:000955665100001","View Full Record in Web of Science")</f>
        <v>View Full Record in Web of Science</v>
      </c>
    </row>
    <row r="358" spans="1:72" x14ac:dyDescent="0.15">
      <c r="A358" t="s">
        <v>72</v>
      </c>
      <c r="B358" t="s">
        <v>7275</v>
      </c>
      <c r="C358" t="s">
        <v>74</v>
      </c>
      <c r="D358" t="s">
        <v>74</v>
      </c>
      <c r="E358" t="s">
        <v>74</v>
      </c>
      <c r="F358" t="s">
        <v>7276</v>
      </c>
      <c r="G358" t="s">
        <v>74</v>
      </c>
      <c r="H358" t="s">
        <v>74</v>
      </c>
      <c r="I358" t="s">
        <v>7277</v>
      </c>
      <c r="J358" t="s">
        <v>7278</v>
      </c>
      <c r="K358" t="s">
        <v>74</v>
      </c>
      <c r="L358" t="s">
        <v>74</v>
      </c>
      <c r="M358" t="s">
        <v>78</v>
      </c>
      <c r="N358" t="s">
        <v>112</v>
      </c>
      <c r="O358" t="s">
        <v>74</v>
      </c>
      <c r="P358" t="s">
        <v>74</v>
      </c>
      <c r="Q358" t="s">
        <v>74</v>
      </c>
      <c r="R358" t="s">
        <v>74</v>
      </c>
      <c r="S358" t="s">
        <v>74</v>
      </c>
      <c r="T358" t="s">
        <v>74</v>
      </c>
      <c r="U358" t="s">
        <v>7279</v>
      </c>
      <c r="V358" t="s">
        <v>7280</v>
      </c>
      <c r="W358" t="s">
        <v>7281</v>
      </c>
      <c r="X358" t="s">
        <v>7282</v>
      </c>
      <c r="Y358" t="s">
        <v>7283</v>
      </c>
      <c r="Z358" t="s">
        <v>7284</v>
      </c>
      <c r="AA358" t="s">
        <v>7285</v>
      </c>
      <c r="AB358" t="s">
        <v>7286</v>
      </c>
      <c r="AC358" t="s">
        <v>7287</v>
      </c>
      <c r="AD358" t="s">
        <v>7288</v>
      </c>
      <c r="AE358" t="s">
        <v>7289</v>
      </c>
      <c r="AF358" t="s">
        <v>74</v>
      </c>
      <c r="AG358">
        <v>105</v>
      </c>
      <c r="AH358">
        <v>18</v>
      </c>
      <c r="AI358">
        <v>18</v>
      </c>
      <c r="AJ358">
        <v>22</v>
      </c>
      <c r="AK358">
        <v>58</v>
      </c>
      <c r="AL358" t="s">
        <v>203</v>
      </c>
      <c r="AM358" t="s">
        <v>204</v>
      </c>
      <c r="AN358" t="s">
        <v>205</v>
      </c>
      <c r="AO358" t="s">
        <v>7290</v>
      </c>
      <c r="AP358" t="s">
        <v>7291</v>
      </c>
      <c r="AQ358" t="s">
        <v>74</v>
      </c>
      <c r="AR358" t="s">
        <v>7292</v>
      </c>
      <c r="AS358" t="s">
        <v>7293</v>
      </c>
      <c r="AT358" t="s">
        <v>98</v>
      </c>
      <c r="AU358">
        <v>2023</v>
      </c>
      <c r="AV358">
        <v>13</v>
      </c>
      <c r="AW358">
        <v>5</v>
      </c>
      <c r="AX358" t="s">
        <v>74</v>
      </c>
      <c r="AY358" t="s">
        <v>74</v>
      </c>
      <c r="AZ358" t="s">
        <v>74</v>
      </c>
      <c r="BA358" t="s">
        <v>74</v>
      </c>
      <c r="BB358">
        <v>470</v>
      </c>
      <c r="BC358" t="s">
        <v>1385</v>
      </c>
      <c r="BD358" t="s">
        <v>7294</v>
      </c>
      <c r="BE358" t="s">
        <v>7295</v>
      </c>
      <c r="BF358" t="str">
        <f>HYPERLINK("http://dx.doi.org/10.1038/s41558-023-01630-7","http://dx.doi.org/10.1038/s41558-023-01630-7")</f>
        <v>http://dx.doi.org/10.1038/s41558-023-01630-7</v>
      </c>
      <c r="BG358" t="s">
        <v>74</v>
      </c>
      <c r="BH358" t="s">
        <v>6218</v>
      </c>
      <c r="BI358">
        <v>26</v>
      </c>
      <c r="BJ358" t="s">
        <v>7296</v>
      </c>
      <c r="BK358" t="s">
        <v>595</v>
      </c>
      <c r="BL358" t="s">
        <v>357</v>
      </c>
      <c r="BM358" t="s">
        <v>7297</v>
      </c>
      <c r="BN358" t="s">
        <v>74</v>
      </c>
      <c r="BO358" t="s">
        <v>387</v>
      </c>
      <c r="BP358" t="s">
        <v>1849</v>
      </c>
      <c r="BQ358" t="s">
        <v>1850</v>
      </c>
      <c r="BR358" t="s">
        <v>106</v>
      </c>
      <c r="BS358" t="s">
        <v>7298</v>
      </c>
      <c r="BT358" t="str">
        <f>HYPERLINK("https%3A%2F%2Fwww.webofscience.com%2Fwos%2Fwoscc%2Ffull-record%2FWOS:000955633200002","View Full Record in Web of Science")</f>
        <v>View Full Record in Web of Science</v>
      </c>
    </row>
    <row r="359" spans="1:72" x14ac:dyDescent="0.15">
      <c r="A359" t="s">
        <v>72</v>
      </c>
      <c r="B359" t="s">
        <v>7299</v>
      </c>
      <c r="C359" t="s">
        <v>74</v>
      </c>
      <c r="D359" t="s">
        <v>74</v>
      </c>
      <c r="E359" t="s">
        <v>74</v>
      </c>
      <c r="F359" t="s">
        <v>7300</v>
      </c>
      <c r="G359" t="s">
        <v>74</v>
      </c>
      <c r="H359" t="s">
        <v>74</v>
      </c>
      <c r="I359" t="s">
        <v>7301</v>
      </c>
      <c r="J359" t="s">
        <v>3689</v>
      </c>
      <c r="K359" t="s">
        <v>74</v>
      </c>
      <c r="L359" t="s">
        <v>74</v>
      </c>
      <c r="M359" t="s">
        <v>78</v>
      </c>
      <c r="N359" t="s">
        <v>112</v>
      </c>
      <c r="O359" t="s">
        <v>74</v>
      </c>
      <c r="P359" t="s">
        <v>74</v>
      </c>
      <c r="Q359" t="s">
        <v>74</v>
      </c>
      <c r="R359" t="s">
        <v>74</v>
      </c>
      <c r="S359" t="s">
        <v>74</v>
      </c>
      <c r="T359" t="s">
        <v>74</v>
      </c>
      <c r="U359" t="s">
        <v>7302</v>
      </c>
      <c r="V359" t="s">
        <v>7303</v>
      </c>
      <c r="W359" t="s">
        <v>7304</v>
      </c>
      <c r="X359" t="s">
        <v>7305</v>
      </c>
      <c r="Y359" t="s">
        <v>7306</v>
      </c>
      <c r="Z359" t="s">
        <v>7307</v>
      </c>
      <c r="AA359" t="s">
        <v>7308</v>
      </c>
      <c r="AB359" t="s">
        <v>7309</v>
      </c>
      <c r="AC359" t="s">
        <v>7310</v>
      </c>
      <c r="AD359" t="s">
        <v>7310</v>
      </c>
      <c r="AE359" t="s">
        <v>7311</v>
      </c>
      <c r="AF359" t="s">
        <v>74</v>
      </c>
      <c r="AG359">
        <v>60</v>
      </c>
      <c r="AH359">
        <v>3</v>
      </c>
      <c r="AI359">
        <v>3</v>
      </c>
      <c r="AJ359">
        <v>0</v>
      </c>
      <c r="AK359">
        <v>0</v>
      </c>
      <c r="AL359" t="s">
        <v>2092</v>
      </c>
      <c r="AM359" t="s">
        <v>2093</v>
      </c>
      <c r="AN359" t="s">
        <v>2094</v>
      </c>
      <c r="AO359" t="s">
        <v>3701</v>
      </c>
      <c r="AP359" t="s">
        <v>3702</v>
      </c>
      <c r="AQ359" t="s">
        <v>74</v>
      </c>
      <c r="AR359" t="s">
        <v>3703</v>
      </c>
      <c r="AS359" t="s">
        <v>3704</v>
      </c>
      <c r="AT359" t="s">
        <v>1437</v>
      </c>
      <c r="AU359">
        <v>2023</v>
      </c>
      <c r="AV359">
        <v>58</v>
      </c>
      <c r="AW359">
        <v>4</v>
      </c>
      <c r="AX359" t="s">
        <v>74</v>
      </c>
      <c r="AY359" t="s">
        <v>74</v>
      </c>
      <c r="AZ359" t="s">
        <v>74</v>
      </c>
      <c r="BA359" t="s">
        <v>74</v>
      </c>
      <c r="BB359">
        <v>463</v>
      </c>
      <c r="BC359">
        <v>479</v>
      </c>
      <c r="BD359" t="s">
        <v>74</v>
      </c>
      <c r="BE359" t="s">
        <v>7312</v>
      </c>
      <c r="BF359" t="str">
        <f>HYPERLINK("http://dx.doi.org/10.1111/maps.13966","http://dx.doi.org/10.1111/maps.13966")</f>
        <v>http://dx.doi.org/10.1111/maps.13966</v>
      </c>
      <c r="BG359" t="s">
        <v>74</v>
      </c>
      <c r="BH359" t="s">
        <v>6218</v>
      </c>
      <c r="BI359">
        <v>17</v>
      </c>
      <c r="BJ359" t="s">
        <v>313</v>
      </c>
      <c r="BK359" t="s">
        <v>103</v>
      </c>
      <c r="BL359" t="s">
        <v>313</v>
      </c>
      <c r="BM359" t="s">
        <v>7313</v>
      </c>
      <c r="BN359" t="s">
        <v>74</v>
      </c>
      <c r="BO359" t="s">
        <v>387</v>
      </c>
      <c r="BP359" t="s">
        <v>74</v>
      </c>
      <c r="BQ359" t="s">
        <v>74</v>
      </c>
      <c r="BR359" t="s">
        <v>106</v>
      </c>
      <c r="BS359" t="s">
        <v>7314</v>
      </c>
      <c r="BT359" t="str">
        <f>HYPERLINK("https%3A%2F%2Fwww.webofscience.com%2Fwos%2Fwoscc%2Ffull-record%2FWOS:000954778700001","View Full Record in Web of Science")</f>
        <v>View Full Record in Web of Science</v>
      </c>
    </row>
    <row r="360" spans="1:72" x14ac:dyDescent="0.15">
      <c r="A360" t="s">
        <v>72</v>
      </c>
      <c r="B360" t="s">
        <v>7315</v>
      </c>
      <c r="C360" t="s">
        <v>74</v>
      </c>
      <c r="D360" t="s">
        <v>74</v>
      </c>
      <c r="E360" t="s">
        <v>74</v>
      </c>
      <c r="F360" t="s">
        <v>7316</v>
      </c>
      <c r="G360" t="s">
        <v>74</v>
      </c>
      <c r="H360" t="s">
        <v>74</v>
      </c>
      <c r="I360" t="s">
        <v>7317</v>
      </c>
      <c r="J360" t="s">
        <v>7318</v>
      </c>
      <c r="K360" t="s">
        <v>74</v>
      </c>
      <c r="L360" t="s">
        <v>74</v>
      </c>
      <c r="M360" t="s">
        <v>78</v>
      </c>
      <c r="N360" t="s">
        <v>112</v>
      </c>
      <c r="O360" t="s">
        <v>74</v>
      </c>
      <c r="P360" t="s">
        <v>74</v>
      </c>
      <c r="Q360" t="s">
        <v>74</v>
      </c>
      <c r="R360" t="s">
        <v>74</v>
      </c>
      <c r="S360" t="s">
        <v>74</v>
      </c>
      <c r="T360" t="s">
        <v>7319</v>
      </c>
      <c r="U360" t="s">
        <v>7320</v>
      </c>
      <c r="V360" t="s">
        <v>7321</v>
      </c>
      <c r="W360" t="s">
        <v>7322</v>
      </c>
      <c r="X360" t="s">
        <v>7323</v>
      </c>
      <c r="Y360" t="s">
        <v>7324</v>
      </c>
      <c r="Z360" t="s">
        <v>7325</v>
      </c>
      <c r="AA360" t="s">
        <v>7326</v>
      </c>
      <c r="AB360" t="s">
        <v>7327</v>
      </c>
      <c r="AC360" t="s">
        <v>7328</v>
      </c>
      <c r="AD360" t="s">
        <v>7329</v>
      </c>
      <c r="AE360" t="s">
        <v>7330</v>
      </c>
      <c r="AF360" t="s">
        <v>74</v>
      </c>
      <c r="AG360">
        <v>77</v>
      </c>
      <c r="AH360">
        <v>0</v>
      </c>
      <c r="AI360">
        <v>0</v>
      </c>
      <c r="AJ360">
        <v>2</v>
      </c>
      <c r="AK360">
        <v>4</v>
      </c>
      <c r="AL360" t="s">
        <v>1431</v>
      </c>
      <c r="AM360" t="s">
        <v>525</v>
      </c>
      <c r="AN360" t="s">
        <v>1432</v>
      </c>
      <c r="AO360" t="s">
        <v>7331</v>
      </c>
      <c r="AP360" t="s">
        <v>7332</v>
      </c>
      <c r="AQ360" t="s">
        <v>74</v>
      </c>
      <c r="AR360" t="s">
        <v>7333</v>
      </c>
      <c r="AS360" t="s">
        <v>7334</v>
      </c>
      <c r="AT360" t="s">
        <v>7335</v>
      </c>
      <c r="AU360">
        <v>2023</v>
      </c>
      <c r="AV360">
        <v>285</v>
      </c>
      <c r="AW360" t="s">
        <v>74</v>
      </c>
      <c r="AX360" t="s">
        <v>74</v>
      </c>
      <c r="AY360" t="s">
        <v>74</v>
      </c>
      <c r="AZ360" t="s">
        <v>74</v>
      </c>
      <c r="BA360" t="s">
        <v>74</v>
      </c>
      <c r="BB360" t="s">
        <v>74</v>
      </c>
      <c r="BC360" t="s">
        <v>74</v>
      </c>
      <c r="BD360">
        <v>108302</v>
      </c>
      <c r="BE360" t="s">
        <v>7336</v>
      </c>
      <c r="BF360" t="str">
        <f>HYPERLINK("http://dx.doi.org/10.1016/j.ecss.2023.108302","http://dx.doi.org/10.1016/j.ecss.2023.108302")</f>
        <v>http://dx.doi.org/10.1016/j.ecss.2023.108302</v>
      </c>
      <c r="BG360" t="s">
        <v>74</v>
      </c>
      <c r="BH360" t="s">
        <v>6218</v>
      </c>
      <c r="BI360">
        <v>11</v>
      </c>
      <c r="BJ360" t="s">
        <v>553</v>
      </c>
      <c r="BK360" t="s">
        <v>103</v>
      </c>
      <c r="BL360" t="s">
        <v>553</v>
      </c>
      <c r="BM360" t="s">
        <v>7337</v>
      </c>
      <c r="BN360" t="s">
        <v>74</v>
      </c>
      <c r="BO360" t="s">
        <v>74</v>
      </c>
      <c r="BP360" t="s">
        <v>74</v>
      </c>
      <c r="BQ360" t="s">
        <v>74</v>
      </c>
      <c r="BR360" t="s">
        <v>106</v>
      </c>
      <c r="BS360" t="s">
        <v>7338</v>
      </c>
      <c r="BT360" t="str">
        <f>HYPERLINK("https%3A%2F%2Fwww.webofscience.com%2Fwos%2Fwoscc%2Ffull-record%2FWOS:001029202100001","View Full Record in Web of Science")</f>
        <v>View Full Record in Web of Science</v>
      </c>
    </row>
    <row r="361" spans="1:72" x14ac:dyDescent="0.15">
      <c r="A361" t="s">
        <v>72</v>
      </c>
      <c r="B361" t="s">
        <v>7339</v>
      </c>
      <c r="C361" t="s">
        <v>74</v>
      </c>
      <c r="D361" t="s">
        <v>74</v>
      </c>
      <c r="E361" t="s">
        <v>74</v>
      </c>
      <c r="F361" t="s">
        <v>7340</v>
      </c>
      <c r="G361" t="s">
        <v>74</v>
      </c>
      <c r="H361" t="s">
        <v>74</v>
      </c>
      <c r="I361" t="s">
        <v>7341</v>
      </c>
      <c r="J361" t="s">
        <v>1491</v>
      </c>
      <c r="K361" t="s">
        <v>74</v>
      </c>
      <c r="L361" t="s">
        <v>74</v>
      </c>
      <c r="M361" t="s">
        <v>78</v>
      </c>
      <c r="N361" t="s">
        <v>112</v>
      </c>
      <c r="O361" t="s">
        <v>74</v>
      </c>
      <c r="P361" t="s">
        <v>74</v>
      </c>
      <c r="Q361" t="s">
        <v>74</v>
      </c>
      <c r="R361" t="s">
        <v>74</v>
      </c>
      <c r="S361" t="s">
        <v>74</v>
      </c>
      <c r="T361" t="s">
        <v>74</v>
      </c>
      <c r="U361" t="s">
        <v>7342</v>
      </c>
      <c r="V361" t="s">
        <v>7343</v>
      </c>
      <c r="W361" t="s">
        <v>7344</v>
      </c>
      <c r="X361" t="s">
        <v>7345</v>
      </c>
      <c r="Y361" t="s">
        <v>7346</v>
      </c>
      <c r="Z361" t="s">
        <v>7347</v>
      </c>
      <c r="AA361" t="s">
        <v>7348</v>
      </c>
      <c r="AB361" t="s">
        <v>7349</v>
      </c>
      <c r="AC361" t="s">
        <v>7350</v>
      </c>
      <c r="AD361" t="s">
        <v>7350</v>
      </c>
      <c r="AE361" t="s">
        <v>7351</v>
      </c>
      <c r="AF361" t="s">
        <v>74</v>
      </c>
      <c r="AG361">
        <v>66</v>
      </c>
      <c r="AH361">
        <v>17</v>
      </c>
      <c r="AI361">
        <v>17</v>
      </c>
      <c r="AJ361">
        <v>27</v>
      </c>
      <c r="AK361">
        <v>51</v>
      </c>
      <c r="AL361" t="s">
        <v>203</v>
      </c>
      <c r="AM361" t="s">
        <v>204</v>
      </c>
      <c r="AN361" t="s">
        <v>205</v>
      </c>
      <c r="AO361" t="s">
        <v>1502</v>
      </c>
      <c r="AP361" t="s">
        <v>1503</v>
      </c>
      <c r="AQ361" t="s">
        <v>74</v>
      </c>
      <c r="AR361" t="s">
        <v>1491</v>
      </c>
      <c r="AS361" t="s">
        <v>1504</v>
      </c>
      <c r="AT361" t="s">
        <v>6337</v>
      </c>
      <c r="AU361">
        <v>2023</v>
      </c>
      <c r="AV361">
        <v>615</v>
      </c>
      <c r="AW361">
        <v>7954</v>
      </c>
      <c r="AX361" t="s">
        <v>74</v>
      </c>
      <c r="AY361" t="s">
        <v>74</v>
      </c>
      <c r="AZ361" t="s">
        <v>74</v>
      </c>
      <c r="BA361" t="s">
        <v>74</v>
      </c>
      <c r="BB361">
        <v>858</v>
      </c>
      <c r="BC361" t="s">
        <v>1385</v>
      </c>
      <c r="BD361" t="s">
        <v>74</v>
      </c>
      <c r="BE361" t="s">
        <v>7352</v>
      </c>
      <c r="BF361" t="str">
        <f>HYPERLINK("http://dx.doi.org/10.1038/s41586-023-05833-y","http://dx.doi.org/10.1038/s41586-023-05833-y")</f>
        <v>http://dx.doi.org/10.1038/s41586-023-05833-y</v>
      </c>
      <c r="BG361" t="s">
        <v>74</v>
      </c>
      <c r="BH361" t="s">
        <v>6218</v>
      </c>
      <c r="BI361">
        <v>18</v>
      </c>
      <c r="BJ361" t="s">
        <v>210</v>
      </c>
      <c r="BK361" t="s">
        <v>103</v>
      </c>
      <c r="BL361" t="s">
        <v>211</v>
      </c>
      <c r="BM361" t="s">
        <v>6339</v>
      </c>
      <c r="BN361">
        <v>36949201</v>
      </c>
      <c r="BO361" t="s">
        <v>74</v>
      </c>
      <c r="BP361" t="s">
        <v>1849</v>
      </c>
      <c r="BQ361" t="s">
        <v>1850</v>
      </c>
      <c r="BR361" t="s">
        <v>106</v>
      </c>
      <c r="BS361" t="s">
        <v>7353</v>
      </c>
      <c r="BT361" t="str">
        <f>HYPERLINK("https%3A%2F%2Fwww.webofscience.com%2Fwos%2Fwoscc%2Ffull-record%2FWOS:000985863500003","View Full Record in Web of Science")</f>
        <v>View Full Record in Web of Science</v>
      </c>
    </row>
    <row r="362" spans="1:72" x14ac:dyDescent="0.15">
      <c r="A362" t="s">
        <v>72</v>
      </c>
      <c r="B362" t="s">
        <v>7354</v>
      </c>
      <c r="C362" t="s">
        <v>74</v>
      </c>
      <c r="D362" t="s">
        <v>74</v>
      </c>
      <c r="E362" t="s">
        <v>74</v>
      </c>
      <c r="F362" t="s">
        <v>7355</v>
      </c>
      <c r="G362" t="s">
        <v>74</v>
      </c>
      <c r="H362" t="s">
        <v>74</v>
      </c>
      <c r="I362" t="s">
        <v>7356</v>
      </c>
      <c r="J362" t="s">
        <v>955</v>
      </c>
      <c r="K362" t="s">
        <v>74</v>
      </c>
      <c r="L362" t="s">
        <v>74</v>
      </c>
      <c r="M362" t="s">
        <v>78</v>
      </c>
      <c r="N362" t="s">
        <v>112</v>
      </c>
      <c r="O362" t="s">
        <v>74</v>
      </c>
      <c r="P362" t="s">
        <v>74</v>
      </c>
      <c r="Q362" t="s">
        <v>74</v>
      </c>
      <c r="R362" t="s">
        <v>74</v>
      </c>
      <c r="S362" t="s">
        <v>74</v>
      </c>
      <c r="T362" t="s">
        <v>7357</v>
      </c>
      <c r="U362" t="s">
        <v>7358</v>
      </c>
      <c r="V362" t="s">
        <v>7359</v>
      </c>
      <c r="W362" t="s">
        <v>7360</v>
      </c>
      <c r="X362" t="s">
        <v>7361</v>
      </c>
      <c r="Y362" t="s">
        <v>7362</v>
      </c>
      <c r="Z362" t="s">
        <v>7363</v>
      </c>
      <c r="AA362" t="s">
        <v>74</v>
      </c>
      <c r="AB362" t="s">
        <v>7364</v>
      </c>
      <c r="AC362" t="s">
        <v>7365</v>
      </c>
      <c r="AD362" t="s">
        <v>7366</v>
      </c>
      <c r="AE362" t="s">
        <v>7367</v>
      </c>
      <c r="AF362" t="s">
        <v>74</v>
      </c>
      <c r="AG362">
        <v>139</v>
      </c>
      <c r="AH362">
        <v>4</v>
      </c>
      <c r="AI362">
        <v>4</v>
      </c>
      <c r="AJ362">
        <v>2</v>
      </c>
      <c r="AK362">
        <v>13</v>
      </c>
      <c r="AL362" t="s">
        <v>447</v>
      </c>
      <c r="AM362" t="s">
        <v>448</v>
      </c>
      <c r="AN362" t="s">
        <v>449</v>
      </c>
      <c r="AO362" t="s">
        <v>968</v>
      </c>
      <c r="AP362" t="s">
        <v>969</v>
      </c>
      <c r="AQ362" t="s">
        <v>74</v>
      </c>
      <c r="AR362" t="s">
        <v>970</v>
      </c>
      <c r="AS362" t="s">
        <v>971</v>
      </c>
      <c r="AT362" t="s">
        <v>98</v>
      </c>
      <c r="AU362">
        <v>2023</v>
      </c>
      <c r="AV362">
        <v>240</v>
      </c>
      <c r="AW362" t="s">
        <v>74</v>
      </c>
      <c r="AX362" t="s">
        <v>74</v>
      </c>
      <c r="AY362" t="s">
        <v>74</v>
      </c>
      <c r="AZ362" t="s">
        <v>74</v>
      </c>
      <c r="BA362" t="s">
        <v>74</v>
      </c>
      <c r="BB362" t="s">
        <v>74</v>
      </c>
      <c r="BC362" t="s">
        <v>74</v>
      </c>
      <c r="BD362">
        <v>103881</v>
      </c>
      <c r="BE362" t="s">
        <v>7368</v>
      </c>
      <c r="BF362" t="str">
        <f>HYPERLINK("http://dx.doi.org/10.1016/j.jmarsys.2023.103881","http://dx.doi.org/10.1016/j.jmarsys.2023.103881")</f>
        <v>http://dx.doi.org/10.1016/j.jmarsys.2023.103881</v>
      </c>
      <c r="BG362" t="s">
        <v>74</v>
      </c>
      <c r="BH362" t="s">
        <v>6218</v>
      </c>
      <c r="BI362">
        <v>17</v>
      </c>
      <c r="BJ362" t="s">
        <v>974</v>
      </c>
      <c r="BK362" t="s">
        <v>103</v>
      </c>
      <c r="BL362" t="s">
        <v>975</v>
      </c>
      <c r="BM362" t="s">
        <v>7369</v>
      </c>
      <c r="BN362" t="s">
        <v>74</v>
      </c>
      <c r="BO362" t="s">
        <v>74</v>
      </c>
      <c r="BP362" t="s">
        <v>74</v>
      </c>
      <c r="BQ362" t="s">
        <v>74</v>
      </c>
      <c r="BR362" t="s">
        <v>106</v>
      </c>
      <c r="BS362" t="s">
        <v>7370</v>
      </c>
      <c r="BT362" t="str">
        <f>HYPERLINK("https%3A%2F%2Fwww.webofscience.com%2Fwos%2Fwoscc%2Ffull-record%2FWOS:000961608300001","View Full Record in Web of Science")</f>
        <v>View Full Record in Web of Science</v>
      </c>
    </row>
    <row r="363" spans="1:72" x14ac:dyDescent="0.15">
      <c r="A363" t="s">
        <v>72</v>
      </c>
      <c r="B363" t="s">
        <v>7371</v>
      </c>
      <c r="C363" t="s">
        <v>74</v>
      </c>
      <c r="D363" t="s">
        <v>74</v>
      </c>
      <c r="E363" t="s">
        <v>74</v>
      </c>
      <c r="F363" t="s">
        <v>7372</v>
      </c>
      <c r="G363" t="s">
        <v>74</v>
      </c>
      <c r="H363" t="s">
        <v>74</v>
      </c>
      <c r="I363" t="s">
        <v>7373</v>
      </c>
      <c r="J363" t="s">
        <v>3089</v>
      </c>
      <c r="K363" t="s">
        <v>74</v>
      </c>
      <c r="L363" t="s">
        <v>74</v>
      </c>
      <c r="M363" t="s">
        <v>78</v>
      </c>
      <c r="N363" t="s">
        <v>112</v>
      </c>
      <c r="O363" t="s">
        <v>74</v>
      </c>
      <c r="P363" t="s">
        <v>74</v>
      </c>
      <c r="Q363" t="s">
        <v>74</v>
      </c>
      <c r="R363" t="s">
        <v>74</v>
      </c>
      <c r="S363" t="s">
        <v>74</v>
      </c>
      <c r="T363" t="s">
        <v>7374</v>
      </c>
      <c r="U363" t="s">
        <v>7375</v>
      </c>
      <c r="V363" t="s">
        <v>7376</v>
      </c>
      <c r="W363" t="s">
        <v>7377</v>
      </c>
      <c r="X363" t="s">
        <v>7378</v>
      </c>
      <c r="Y363" t="s">
        <v>7379</v>
      </c>
      <c r="Z363" t="s">
        <v>7380</v>
      </c>
      <c r="AA363" t="s">
        <v>7381</v>
      </c>
      <c r="AB363" t="s">
        <v>7382</v>
      </c>
      <c r="AC363" t="s">
        <v>7383</v>
      </c>
      <c r="AD363" t="s">
        <v>7384</v>
      </c>
      <c r="AE363" t="s">
        <v>7385</v>
      </c>
      <c r="AF363" t="s">
        <v>74</v>
      </c>
      <c r="AG363">
        <v>66</v>
      </c>
      <c r="AH363">
        <v>2</v>
      </c>
      <c r="AI363">
        <v>2</v>
      </c>
      <c r="AJ363">
        <v>9</v>
      </c>
      <c r="AK363">
        <v>16</v>
      </c>
      <c r="AL363" t="s">
        <v>700</v>
      </c>
      <c r="AM363" t="s">
        <v>701</v>
      </c>
      <c r="AN363" t="s">
        <v>702</v>
      </c>
      <c r="AO363" t="s">
        <v>74</v>
      </c>
      <c r="AP363" t="s">
        <v>3098</v>
      </c>
      <c r="AQ363" t="s">
        <v>74</v>
      </c>
      <c r="AR363" t="s">
        <v>3099</v>
      </c>
      <c r="AS363" t="s">
        <v>3100</v>
      </c>
      <c r="AT363" t="s">
        <v>7386</v>
      </c>
      <c r="AU363">
        <v>2023</v>
      </c>
      <c r="AV363">
        <v>14</v>
      </c>
      <c r="AW363" t="s">
        <v>74</v>
      </c>
      <c r="AX363" t="s">
        <v>74</v>
      </c>
      <c r="AY363" t="s">
        <v>74</v>
      </c>
      <c r="AZ363" t="s">
        <v>74</v>
      </c>
      <c r="BA363" t="s">
        <v>74</v>
      </c>
      <c r="BB363" t="s">
        <v>74</v>
      </c>
      <c r="BC363" t="s">
        <v>74</v>
      </c>
      <c r="BD363">
        <v>1108651</v>
      </c>
      <c r="BE363" t="s">
        <v>7387</v>
      </c>
      <c r="BF363" t="str">
        <f>HYPERLINK("http://dx.doi.org/10.3389/fmicb.2023.1108651","http://dx.doi.org/10.3389/fmicb.2023.1108651")</f>
        <v>http://dx.doi.org/10.3389/fmicb.2023.1108651</v>
      </c>
      <c r="BG363" t="s">
        <v>74</v>
      </c>
      <c r="BH363" t="s">
        <v>74</v>
      </c>
      <c r="BI363">
        <v>12</v>
      </c>
      <c r="BJ363" t="s">
        <v>1387</v>
      </c>
      <c r="BK363" t="s">
        <v>103</v>
      </c>
      <c r="BL363" t="s">
        <v>1387</v>
      </c>
      <c r="BM363" t="s">
        <v>7388</v>
      </c>
      <c r="BN363">
        <v>37032874</v>
      </c>
      <c r="BO363" t="s">
        <v>136</v>
      </c>
      <c r="BP363" t="s">
        <v>74</v>
      </c>
      <c r="BQ363" t="s">
        <v>74</v>
      </c>
      <c r="BR363" t="s">
        <v>106</v>
      </c>
      <c r="BS363" t="s">
        <v>7389</v>
      </c>
      <c r="BT363" t="str">
        <f>HYPERLINK("https%3A%2F%2Fwww.webofscience.com%2Fwos%2Fwoscc%2Ffull-record%2FWOS:000962791800001","View Full Record in Web of Science")</f>
        <v>View Full Record in Web of Science</v>
      </c>
    </row>
    <row r="364" spans="1:72" x14ac:dyDescent="0.15">
      <c r="A364" t="s">
        <v>72</v>
      </c>
      <c r="B364" t="s">
        <v>7390</v>
      </c>
      <c r="C364" t="s">
        <v>74</v>
      </c>
      <c r="D364" t="s">
        <v>74</v>
      </c>
      <c r="E364" t="s">
        <v>74</v>
      </c>
      <c r="F364" t="s">
        <v>7391</v>
      </c>
      <c r="G364" t="s">
        <v>74</v>
      </c>
      <c r="H364" t="s">
        <v>74</v>
      </c>
      <c r="I364" t="s">
        <v>7392</v>
      </c>
      <c r="J364" t="s">
        <v>7393</v>
      </c>
      <c r="K364" t="s">
        <v>74</v>
      </c>
      <c r="L364" t="s">
        <v>74</v>
      </c>
      <c r="M364" t="s">
        <v>78</v>
      </c>
      <c r="N364" t="s">
        <v>112</v>
      </c>
      <c r="O364" t="s">
        <v>74</v>
      </c>
      <c r="P364" t="s">
        <v>74</v>
      </c>
      <c r="Q364" t="s">
        <v>74</v>
      </c>
      <c r="R364" t="s">
        <v>74</v>
      </c>
      <c r="S364" t="s">
        <v>74</v>
      </c>
      <c r="T364" t="s">
        <v>7394</v>
      </c>
      <c r="U364" t="s">
        <v>7395</v>
      </c>
      <c r="V364" t="s">
        <v>7396</v>
      </c>
      <c r="W364" t="s">
        <v>7397</v>
      </c>
      <c r="X364" t="s">
        <v>7398</v>
      </c>
      <c r="Y364" t="s">
        <v>7399</v>
      </c>
      <c r="Z364" t="s">
        <v>7400</v>
      </c>
      <c r="AA364" t="s">
        <v>74</v>
      </c>
      <c r="AB364" t="s">
        <v>7401</v>
      </c>
      <c r="AC364" t="s">
        <v>7402</v>
      </c>
      <c r="AD364" t="s">
        <v>7403</v>
      </c>
      <c r="AE364" t="s">
        <v>7404</v>
      </c>
      <c r="AF364" t="s">
        <v>74</v>
      </c>
      <c r="AG364">
        <v>84</v>
      </c>
      <c r="AH364">
        <v>3</v>
      </c>
      <c r="AI364">
        <v>3</v>
      </c>
      <c r="AJ364">
        <v>1</v>
      </c>
      <c r="AK364">
        <v>3</v>
      </c>
      <c r="AL364" t="s">
        <v>2399</v>
      </c>
      <c r="AM364" t="s">
        <v>525</v>
      </c>
      <c r="AN364" t="s">
        <v>2400</v>
      </c>
      <c r="AO364" t="s">
        <v>7405</v>
      </c>
      <c r="AP364" t="s">
        <v>7406</v>
      </c>
      <c r="AQ364" t="s">
        <v>74</v>
      </c>
      <c r="AR364" t="s">
        <v>7407</v>
      </c>
      <c r="AS364" t="s">
        <v>7408</v>
      </c>
      <c r="AT364" t="s">
        <v>7386</v>
      </c>
      <c r="AU364">
        <v>2023</v>
      </c>
      <c r="AV364">
        <v>19</v>
      </c>
      <c r="AW364">
        <v>3</v>
      </c>
      <c r="AX364" t="s">
        <v>74</v>
      </c>
      <c r="AY364" t="s">
        <v>74</v>
      </c>
      <c r="AZ364" t="s">
        <v>74</v>
      </c>
      <c r="BA364" t="s">
        <v>74</v>
      </c>
      <c r="BB364" t="s">
        <v>74</v>
      </c>
      <c r="BC364" t="s">
        <v>74</v>
      </c>
      <c r="BD364">
        <v>20220590</v>
      </c>
      <c r="BE364" t="s">
        <v>7409</v>
      </c>
      <c r="BF364" t="str">
        <f>HYPERLINK("http://dx.doi.org/10.1098/rsbl.2022.0590","http://dx.doi.org/10.1098/rsbl.2022.0590")</f>
        <v>http://dx.doi.org/10.1098/rsbl.2022.0590</v>
      </c>
      <c r="BG364" t="s">
        <v>74</v>
      </c>
      <c r="BH364" t="s">
        <v>74</v>
      </c>
      <c r="BI364">
        <v>7</v>
      </c>
      <c r="BJ364" t="s">
        <v>7410</v>
      </c>
      <c r="BK364" t="s">
        <v>103</v>
      </c>
      <c r="BL364" t="s">
        <v>7411</v>
      </c>
      <c r="BM364" t="s">
        <v>7412</v>
      </c>
      <c r="BN364">
        <v>36946134</v>
      </c>
      <c r="BO364" t="s">
        <v>7413</v>
      </c>
      <c r="BP364" t="s">
        <v>74</v>
      </c>
      <c r="BQ364" t="s">
        <v>74</v>
      </c>
      <c r="BR364" t="s">
        <v>106</v>
      </c>
      <c r="BS364" t="s">
        <v>7414</v>
      </c>
      <c r="BT364" t="str">
        <f>HYPERLINK("https%3A%2F%2Fwww.webofscience.com%2Fwos%2Fwoscc%2Ffull-record%2FWOS:000957083500002","View Full Record in Web of Science")</f>
        <v>View Full Record in Web of Science</v>
      </c>
    </row>
    <row r="365" spans="1:72" x14ac:dyDescent="0.15">
      <c r="A365" t="s">
        <v>72</v>
      </c>
      <c r="B365" t="s">
        <v>7415</v>
      </c>
      <c r="C365" t="s">
        <v>74</v>
      </c>
      <c r="D365" t="s">
        <v>74</v>
      </c>
      <c r="E365" t="s">
        <v>74</v>
      </c>
      <c r="F365" t="s">
        <v>7416</v>
      </c>
      <c r="G365" t="s">
        <v>74</v>
      </c>
      <c r="H365" t="s">
        <v>74</v>
      </c>
      <c r="I365" t="s">
        <v>7417</v>
      </c>
      <c r="J365" t="s">
        <v>2389</v>
      </c>
      <c r="K365" t="s">
        <v>74</v>
      </c>
      <c r="L365" t="s">
        <v>74</v>
      </c>
      <c r="M365" t="s">
        <v>78</v>
      </c>
      <c r="N365" t="s">
        <v>112</v>
      </c>
      <c r="O365" t="s">
        <v>74</v>
      </c>
      <c r="P365" t="s">
        <v>74</v>
      </c>
      <c r="Q365" t="s">
        <v>74</v>
      </c>
      <c r="R365" t="s">
        <v>74</v>
      </c>
      <c r="S365" t="s">
        <v>74</v>
      </c>
      <c r="T365" t="s">
        <v>7418</v>
      </c>
      <c r="U365" t="s">
        <v>7419</v>
      </c>
      <c r="V365" t="s">
        <v>7420</v>
      </c>
      <c r="W365" t="s">
        <v>7421</v>
      </c>
      <c r="X365" t="s">
        <v>7422</v>
      </c>
      <c r="Y365" t="s">
        <v>7423</v>
      </c>
      <c r="Z365" t="s">
        <v>7424</v>
      </c>
      <c r="AA365" t="s">
        <v>7425</v>
      </c>
      <c r="AB365" t="s">
        <v>7426</v>
      </c>
      <c r="AC365" t="s">
        <v>7427</v>
      </c>
      <c r="AD365" t="s">
        <v>7428</v>
      </c>
      <c r="AE365" t="s">
        <v>7429</v>
      </c>
      <c r="AF365" t="s">
        <v>74</v>
      </c>
      <c r="AG365">
        <v>61</v>
      </c>
      <c r="AH365">
        <v>0</v>
      </c>
      <c r="AI365">
        <v>0</v>
      </c>
      <c r="AJ365">
        <v>1</v>
      </c>
      <c r="AK365">
        <v>4</v>
      </c>
      <c r="AL365" t="s">
        <v>2399</v>
      </c>
      <c r="AM365" t="s">
        <v>525</v>
      </c>
      <c r="AN365" t="s">
        <v>2400</v>
      </c>
      <c r="AO365" t="s">
        <v>2401</v>
      </c>
      <c r="AP365" t="s">
        <v>74</v>
      </c>
      <c r="AQ365" t="s">
        <v>74</v>
      </c>
      <c r="AR365" t="s">
        <v>2402</v>
      </c>
      <c r="AS365" t="s">
        <v>2403</v>
      </c>
      <c r="AT365" t="s">
        <v>7386</v>
      </c>
      <c r="AU365">
        <v>2023</v>
      </c>
      <c r="AV365">
        <v>10</v>
      </c>
      <c r="AW365">
        <v>3</v>
      </c>
      <c r="AX365" t="s">
        <v>74</v>
      </c>
      <c r="AY365" t="s">
        <v>74</v>
      </c>
      <c r="AZ365" t="s">
        <v>74</v>
      </c>
      <c r="BA365" t="s">
        <v>74</v>
      </c>
      <c r="BB365" t="s">
        <v>74</v>
      </c>
      <c r="BC365" t="s">
        <v>74</v>
      </c>
      <c r="BD365">
        <v>221635</v>
      </c>
      <c r="BE365" t="s">
        <v>7430</v>
      </c>
      <c r="BF365" t="str">
        <f>HYPERLINK("http://dx.doi.org/10.1098/rsos.221635","http://dx.doi.org/10.1098/rsos.221635")</f>
        <v>http://dx.doi.org/10.1098/rsos.221635</v>
      </c>
      <c r="BG365" t="s">
        <v>74</v>
      </c>
      <c r="BH365" t="s">
        <v>74</v>
      </c>
      <c r="BI365">
        <v>9</v>
      </c>
      <c r="BJ365" t="s">
        <v>210</v>
      </c>
      <c r="BK365" t="s">
        <v>103</v>
      </c>
      <c r="BL365" t="s">
        <v>211</v>
      </c>
      <c r="BM365" t="s">
        <v>7431</v>
      </c>
      <c r="BN365">
        <v>36968236</v>
      </c>
      <c r="BO365" t="s">
        <v>614</v>
      </c>
      <c r="BP365" t="s">
        <v>74</v>
      </c>
      <c r="BQ365" t="s">
        <v>74</v>
      </c>
      <c r="BR365" t="s">
        <v>106</v>
      </c>
      <c r="BS365" t="s">
        <v>7432</v>
      </c>
      <c r="BT365" t="str">
        <f>HYPERLINK("https%3A%2F%2Fwww.webofscience.com%2Fwos%2Fwoscc%2Ffull-record%2FWOS:000957078500004","View Full Record in Web of Science")</f>
        <v>View Full Record in Web of Science</v>
      </c>
    </row>
    <row r="366" spans="1:72" x14ac:dyDescent="0.15">
      <c r="A366" t="s">
        <v>72</v>
      </c>
      <c r="B366" t="s">
        <v>7433</v>
      </c>
      <c r="C366" t="s">
        <v>74</v>
      </c>
      <c r="D366" t="s">
        <v>74</v>
      </c>
      <c r="E366" t="s">
        <v>74</v>
      </c>
      <c r="F366" t="s">
        <v>7434</v>
      </c>
      <c r="G366" t="s">
        <v>74</v>
      </c>
      <c r="H366" t="s">
        <v>74</v>
      </c>
      <c r="I366" t="s">
        <v>7435</v>
      </c>
      <c r="J366" t="s">
        <v>7436</v>
      </c>
      <c r="K366" t="s">
        <v>74</v>
      </c>
      <c r="L366" t="s">
        <v>74</v>
      </c>
      <c r="M366" t="s">
        <v>78</v>
      </c>
      <c r="N366" t="s">
        <v>112</v>
      </c>
      <c r="O366" t="s">
        <v>74</v>
      </c>
      <c r="P366" t="s">
        <v>74</v>
      </c>
      <c r="Q366" t="s">
        <v>74</v>
      </c>
      <c r="R366" t="s">
        <v>74</v>
      </c>
      <c r="S366" t="s">
        <v>74</v>
      </c>
      <c r="T366" t="s">
        <v>7437</v>
      </c>
      <c r="U366" t="s">
        <v>7438</v>
      </c>
      <c r="V366" t="s">
        <v>7439</v>
      </c>
      <c r="W366" t="s">
        <v>7440</v>
      </c>
      <c r="X366" t="s">
        <v>7441</v>
      </c>
      <c r="Y366" t="s">
        <v>7442</v>
      </c>
      <c r="Z366" t="s">
        <v>7443</v>
      </c>
      <c r="AA366" t="s">
        <v>74</v>
      </c>
      <c r="AB366" t="s">
        <v>7444</v>
      </c>
      <c r="AC366" t="s">
        <v>74</v>
      </c>
      <c r="AD366" t="s">
        <v>74</v>
      </c>
      <c r="AE366" t="s">
        <v>74</v>
      </c>
      <c r="AF366" t="s">
        <v>74</v>
      </c>
      <c r="AG366">
        <v>52</v>
      </c>
      <c r="AH366">
        <v>0</v>
      </c>
      <c r="AI366">
        <v>0</v>
      </c>
      <c r="AJ366">
        <v>0</v>
      </c>
      <c r="AK366">
        <v>129</v>
      </c>
      <c r="AL366" t="s">
        <v>1101</v>
      </c>
      <c r="AM366" t="s">
        <v>1102</v>
      </c>
      <c r="AN366" t="s">
        <v>1103</v>
      </c>
      <c r="AO366" t="s">
        <v>7445</v>
      </c>
      <c r="AP366" t="s">
        <v>7446</v>
      </c>
      <c r="AQ366" t="s">
        <v>74</v>
      </c>
      <c r="AR366" t="s">
        <v>7447</v>
      </c>
      <c r="AS366" t="s">
        <v>7448</v>
      </c>
      <c r="AT366" t="s">
        <v>507</v>
      </c>
      <c r="AU366">
        <v>2023</v>
      </c>
      <c r="AV366">
        <v>22</v>
      </c>
      <c r="AW366">
        <v>4</v>
      </c>
      <c r="AX366" t="s">
        <v>74</v>
      </c>
      <c r="AY366" t="s">
        <v>74</v>
      </c>
      <c r="AZ366" t="s">
        <v>74</v>
      </c>
      <c r="BA366" t="s">
        <v>74</v>
      </c>
      <c r="BB366">
        <v>347</v>
      </c>
      <c r="BC366">
        <v>353</v>
      </c>
      <c r="BD366" t="s">
        <v>7449</v>
      </c>
      <c r="BE366" t="s">
        <v>7450</v>
      </c>
      <c r="BF366" t="str">
        <f>HYPERLINK("http://dx.doi.org/10.1017/S147355042300006X","http://dx.doi.org/10.1017/S147355042300006X")</f>
        <v>http://dx.doi.org/10.1017/S147355042300006X</v>
      </c>
      <c r="BG366" t="s">
        <v>74</v>
      </c>
      <c r="BH366" t="s">
        <v>6218</v>
      </c>
      <c r="BI366">
        <v>7</v>
      </c>
      <c r="BJ366" t="s">
        <v>7451</v>
      </c>
      <c r="BK366" t="s">
        <v>103</v>
      </c>
      <c r="BL366" t="s">
        <v>7452</v>
      </c>
      <c r="BM366" t="s">
        <v>7453</v>
      </c>
      <c r="BN366" t="s">
        <v>74</v>
      </c>
      <c r="BO366" t="s">
        <v>7454</v>
      </c>
      <c r="BP366" t="s">
        <v>74</v>
      </c>
      <c r="BQ366" t="s">
        <v>74</v>
      </c>
      <c r="BR366" t="s">
        <v>106</v>
      </c>
      <c r="BS366" t="s">
        <v>7455</v>
      </c>
      <c r="BT366" t="str">
        <f>HYPERLINK("https%3A%2F%2Fwww.webofscience.com%2Fwos%2Fwoscc%2Ffull-record%2FWOS:000954711700001","View Full Record in Web of Science")</f>
        <v>View Full Record in Web of Science</v>
      </c>
    </row>
    <row r="367" spans="1:72" x14ac:dyDescent="0.15">
      <c r="A367" t="s">
        <v>72</v>
      </c>
      <c r="B367" t="s">
        <v>7456</v>
      </c>
      <c r="C367" t="s">
        <v>74</v>
      </c>
      <c r="D367" t="s">
        <v>74</v>
      </c>
      <c r="E367" t="s">
        <v>74</v>
      </c>
      <c r="F367" t="s">
        <v>7457</v>
      </c>
      <c r="G367" t="s">
        <v>74</v>
      </c>
      <c r="H367" t="s">
        <v>74</v>
      </c>
      <c r="I367" t="s">
        <v>7458</v>
      </c>
      <c r="J367" t="s">
        <v>7459</v>
      </c>
      <c r="K367" t="s">
        <v>74</v>
      </c>
      <c r="L367" t="s">
        <v>74</v>
      </c>
      <c r="M367" t="s">
        <v>78</v>
      </c>
      <c r="N367" t="s">
        <v>112</v>
      </c>
      <c r="O367" t="s">
        <v>74</v>
      </c>
      <c r="P367" t="s">
        <v>74</v>
      </c>
      <c r="Q367" t="s">
        <v>74</v>
      </c>
      <c r="R367" t="s">
        <v>74</v>
      </c>
      <c r="S367" t="s">
        <v>74</v>
      </c>
      <c r="T367" t="s">
        <v>7460</v>
      </c>
      <c r="U367" t="s">
        <v>7461</v>
      </c>
      <c r="V367" t="s">
        <v>7462</v>
      </c>
      <c r="W367" t="s">
        <v>7463</v>
      </c>
      <c r="X367" t="s">
        <v>7464</v>
      </c>
      <c r="Y367" t="s">
        <v>7465</v>
      </c>
      <c r="Z367" t="s">
        <v>7466</v>
      </c>
      <c r="AA367" t="s">
        <v>7467</v>
      </c>
      <c r="AB367" t="s">
        <v>7468</v>
      </c>
      <c r="AC367" t="s">
        <v>7469</v>
      </c>
      <c r="AD367" t="s">
        <v>7470</v>
      </c>
      <c r="AE367" t="s">
        <v>7471</v>
      </c>
      <c r="AF367" t="s">
        <v>74</v>
      </c>
      <c r="AG367">
        <v>77</v>
      </c>
      <c r="AH367">
        <v>3</v>
      </c>
      <c r="AI367">
        <v>3</v>
      </c>
      <c r="AJ367">
        <v>4</v>
      </c>
      <c r="AK367">
        <v>4</v>
      </c>
      <c r="AL367" t="s">
        <v>1405</v>
      </c>
      <c r="AM367" t="s">
        <v>226</v>
      </c>
      <c r="AN367" t="s">
        <v>1406</v>
      </c>
      <c r="AO367" t="s">
        <v>7472</v>
      </c>
      <c r="AP367" t="s">
        <v>7473</v>
      </c>
      <c r="AQ367" t="s">
        <v>74</v>
      </c>
      <c r="AR367" t="s">
        <v>7474</v>
      </c>
      <c r="AS367" t="s">
        <v>7475</v>
      </c>
      <c r="AT367" t="s">
        <v>232</v>
      </c>
      <c r="AU367">
        <v>2023</v>
      </c>
      <c r="AV367">
        <v>129</v>
      </c>
      <c r="AW367" t="s">
        <v>74</v>
      </c>
      <c r="AX367" t="s">
        <v>74</v>
      </c>
      <c r="AY367" t="s">
        <v>74</v>
      </c>
      <c r="AZ367" t="s">
        <v>74</v>
      </c>
      <c r="BA367" t="s">
        <v>74</v>
      </c>
      <c r="BB367">
        <v>121</v>
      </c>
      <c r="BC367">
        <v>132</v>
      </c>
      <c r="BD367" t="s">
        <v>74</v>
      </c>
      <c r="BE367" t="s">
        <v>7476</v>
      </c>
      <c r="BF367" t="str">
        <f>HYPERLINK("http://dx.doi.org/10.1016/j.procbio.2023.03.003","http://dx.doi.org/10.1016/j.procbio.2023.03.003")</f>
        <v>http://dx.doi.org/10.1016/j.procbio.2023.03.003</v>
      </c>
      <c r="BG367" t="s">
        <v>74</v>
      </c>
      <c r="BH367" t="s">
        <v>6218</v>
      </c>
      <c r="BI367">
        <v>12</v>
      </c>
      <c r="BJ367" t="s">
        <v>7477</v>
      </c>
      <c r="BK367" t="s">
        <v>103</v>
      </c>
      <c r="BL367" t="s">
        <v>7478</v>
      </c>
      <c r="BM367" t="s">
        <v>7479</v>
      </c>
      <c r="BN367" t="s">
        <v>74</v>
      </c>
      <c r="BO367" t="s">
        <v>74</v>
      </c>
      <c r="BP367" t="s">
        <v>74</v>
      </c>
      <c r="BQ367" t="s">
        <v>74</v>
      </c>
      <c r="BR367" t="s">
        <v>106</v>
      </c>
      <c r="BS367" t="s">
        <v>7480</v>
      </c>
      <c r="BT367" t="str">
        <f>HYPERLINK("https%3A%2F%2Fwww.webofscience.com%2Fwos%2Fwoscc%2Ffull-record%2FWOS:000972848600001","View Full Record in Web of Science")</f>
        <v>View Full Record in Web of Science</v>
      </c>
    </row>
    <row r="368" spans="1:72" x14ac:dyDescent="0.15">
      <c r="A368" t="s">
        <v>72</v>
      </c>
      <c r="B368" t="s">
        <v>7481</v>
      </c>
      <c r="C368" t="s">
        <v>74</v>
      </c>
      <c r="D368" t="s">
        <v>74</v>
      </c>
      <c r="E368" t="s">
        <v>74</v>
      </c>
      <c r="F368" t="s">
        <v>7482</v>
      </c>
      <c r="G368" t="s">
        <v>74</v>
      </c>
      <c r="H368" t="s">
        <v>74</v>
      </c>
      <c r="I368" t="s">
        <v>7483</v>
      </c>
      <c r="J368" t="s">
        <v>7484</v>
      </c>
      <c r="K368" t="s">
        <v>74</v>
      </c>
      <c r="L368" t="s">
        <v>74</v>
      </c>
      <c r="M368" t="s">
        <v>78</v>
      </c>
      <c r="N368" t="s">
        <v>3844</v>
      </c>
      <c r="O368" t="s">
        <v>74</v>
      </c>
      <c r="P368" t="s">
        <v>74</v>
      </c>
      <c r="Q368" t="s">
        <v>74</v>
      </c>
      <c r="R368" t="s">
        <v>74</v>
      </c>
      <c r="S368" t="s">
        <v>74</v>
      </c>
      <c r="T368" t="s">
        <v>74</v>
      </c>
      <c r="U368" t="s">
        <v>74</v>
      </c>
      <c r="V368" t="s">
        <v>74</v>
      </c>
      <c r="W368" t="s">
        <v>7485</v>
      </c>
      <c r="X368" t="s">
        <v>7486</v>
      </c>
      <c r="Y368" t="s">
        <v>7487</v>
      </c>
      <c r="Z368" t="s">
        <v>7488</v>
      </c>
      <c r="AA368" t="s">
        <v>7489</v>
      </c>
      <c r="AB368" t="s">
        <v>7490</v>
      </c>
      <c r="AC368" t="s">
        <v>74</v>
      </c>
      <c r="AD368" t="s">
        <v>74</v>
      </c>
      <c r="AE368" t="s">
        <v>74</v>
      </c>
      <c r="AF368" t="s">
        <v>74</v>
      </c>
      <c r="AG368">
        <v>1</v>
      </c>
      <c r="AH368">
        <v>0</v>
      </c>
      <c r="AI368">
        <v>0</v>
      </c>
      <c r="AJ368">
        <v>0</v>
      </c>
      <c r="AK368">
        <v>2</v>
      </c>
      <c r="AL368" t="s">
        <v>1405</v>
      </c>
      <c r="AM368" t="s">
        <v>226</v>
      </c>
      <c r="AN368" t="s">
        <v>1406</v>
      </c>
      <c r="AO368" t="s">
        <v>7491</v>
      </c>
      <c r="AP368" t="s">
        <v>7492</v>
      </c>
      <c r="AQ368" t="s">
        <v>74</v>
      </c>
      <c r="AR368" t="s">
        <v>7493</v>
      </c>
      <c r="AS368" t="s">
        <v>7494</v>
      </c>
      <c r="AT368" t="s">
        <v>98</v>
      </c>
      <c r="AU368">
        <v>2023</v>
      </c>
      <c r="AV368">
        <v>281</v>
      </c>
      <c r="AW368" t="s">
        <v>74</v>
      </c>
      <c r="AX368" t="s">
        <v>74</v>
      </c>
      <c r="AY368" t="s">
        <v>74</v>
      </c>
      <c r="AZ368" t="s">
        <v>74</v>
      </c>
      <c r="BA368" t="s">
        <v>74</v>
      </c>
      <c r="BB368" t="s">
        <v>74</v>
      </c>
      <c r="BC368" t="s">
        <v>74</v>
      </c>
      <c r="BD368">
        <v>110025</v>
      </c>
      <c r="BE368" t="s">
        <v>7495</v>
      </c>
      <c r="BF368" t="str">
        <f>HYPERLINK("http://dx.doi.org/10.1016/j.biocon.2023.110025","http://dx.doi.org/10.1016/j.biocon.2023.110025")</f>
        <v>http://dx.doi.org/10.1016/j.biocon.2023.110025</v>
      </c>
      <c r="BG368" t="s">
        <v>74</v>
      </c>
      <c r="BH368" t="s">
        <v>6218</v>
      </c>
      <c r="BI368">
        <v>2</v>
      </c>
      <c r="BJ368" t="s">
        <v>7496</v>
      </c>
      <c r="BK368" t="s">
        <v>103</v>
      </c>
      <c r="BL368" t="s">
        <v>776</v>
      </c>
      <c r="BM368" t="s">
        <v>7497</v>
      </c>
      <c r="BN368" t="s">
        <v>74</v>
      </c>
      <c r="BO368" t="s">
        <v>387</v>
      </c>
      <c r="BP368" t="s">
        <v>74</v>
      </c>
      <c r="BQ368" t="s">
        <v>74</v>
      </c>
      <c r="BR368" t="s">
        <v>106</v>
      </c>
      <c r="BS368" t="s">
        <v>7498</v>
      </c>
      <c r="BT368" t="str">
        <f>HYPERLINK("https%3A%2F%2Fwww.webofscience.com%2Fwos%2Fwoscc%2Ffull-record%2FWOS:000967838100001","View Full Record in Web of Science")</f>
        <v>View Full Record in Web of Science</v>
      </c>
    </row>
    <row r="369" spans="1:72" x14ac:dyDescent="0.15">
      <c r="A369" t="s">
        <v>72</v>
      </c>
      <c r="B369" t="s">
        <v>7499</v>
      </c>
      <c r="C369" t="s">
        <v>74</v>
      </c>
      <c r="D369" t="s">
        <v>74</v>
      </c>
      <c r="E369" t="s">
        <v>74</v>
      </c>
      <c r="F369" t="s">
        <v>7500</v>
      </c>
      <c r="G369" t="s">
        <v>74</v>
      </c>
      <c r="H369" t="s">
        <v>74</v>
      </c>
      <c r="I369" t="s">
        <v>7501</v>
      </c>
      <c r="J369" t="s">
        <v>3089</v>
      </c>
      <c r="K369" t="s">
        <v>74</v>
      </c>
      <c r="L369" t="s">
        <v>74</v>
      </c>
      <c r="M369" t="s">
        <v>78</v>
      </c>
      <c r="N369" t="s">
        <v>112</v>
      </c>
      <c r="O369" t="s">
        <v>74</v>
      </c>
      <c r="P369" t="s">
        <v>74</v>
      </c>
      <c r="Q369" t="s">
        <v>74</v>
      </c>
      <c r="R369" t="s">
        <v>74</v>
      </c>
      <c r="S369" t="s">
        <v>74</v>
      </c>
      <c r="T369" t="s">
        <v>7502</v>
      </c>
      <c r="U369" t="s">
        <v>7503</v>
      </c>
      <c r="V369" t="s">
        <v>7504</v>
      </c>
      <c r="W369" t="s">
        <v>7505</v>
      </c>
      <c r="X369" t="s">
        <v>7506</v>
      </c>
      <c r="Y369" t="s">
        <v>7507</v>
      </c>
      <c r="Z369" t="s">
        <v>1562</v>
      </c>
      <c r="AA369" t="s">
        <v>7508</v>
      </c>
      <c r="AB369" t="s">
        <v>7509</v>
      </c>
      <c r="AC369" t="s">
        <v>7510</v>
      </c>
      <c r="AD369" t="s">
        <v>7511</v>
      </c>
      <c r="AE369" t="s">
        <v>7512</v>
      </c>
      <c r="AF369" t="s">
        <v>74</v>
      </c>
      <c r="AG369">
        <v>64</v>
      </c>
      <c r="AH369">
        <v>2</v>
      </c>
      <c r="AI369">
        <v>2</v>
      </c>
      <c r="AJ369">
        <v>1</v>
      </c>
      <c r="AK369">
        <v>7</v>
      </c>
      <c r="AL369" t="s">
        <v>700</v>
      </c>
      <c r="AM369" t="s">
        <v>701</v>
      </c>
      <c r="AN369" t="s">
        <v>702</v>
      </c>
      <c r="AO369" t="s">
        <v>74</v>
      </c>
      <c r="AP369" t="s">
        <v>3098</v>
      </c>
      <c r="AQ369" t="s">
        <v>74</v>
      </c>
      <c r="AR369" t="s">
        <v>3099</v>
      </c>
      <c r="AS369" t="s">
        <v>3100</v>
      </c>
      <c r="AT369" t="s">
        <v>7513</v>
      </c>
      <c r="AU369">
        <v>2023</v>
      </c>
      <c r="AV369">
        <v>14</v>
      </c>
      <c r="AW369" t="s">
        <v>74</v>
      </c>
      <c r="AX369" t="s">
        <v>74</v>
      </c>
      <c r="AY369" t="s">
        <v>74</v>
      </c>
      <c r="AZ369" t="s">
        <v>74</v>
      </c>
      <c r="BA369" t="s">
        <v>74</v>
      </c>
      <c r="BB369" t="s">
        <v>74</v>
      </c>
      <c r="BC369" t="s">
        <v>74</v>
      </c>
      <c r="BD369">
        <v>1142582</v>
      </c>
      <c r="BE369" t="s">
        <v>7514</v>
      </c>
      <c r="BF369" t="str">
        <f>HYPERLINK("http://dx.doi.org/10.3389/fmicb.2023.1142582","http://dx.doi.org/10.3389/fmicb.2023.1142582")</f>
        <v>http://dx.doi.org/10.3389/fmicb.2023.1142582</v>
      </c>
      <c r="BG369" t="s">
        <v>74</v>
      </c>
      <c r="BH369" t="s">
        <v>74</v>
      </c>
      <c r="BI369">
        <v>11</v>
      </c>
      <c r="BJ369" t="s">
        <v>1387</v>
      </c>
      <c r="BK369" t="s">
        <v>103</v>
      </c>
      <c r="BL369" t="s">
        <v>1387</v>
      </c>
      <c r="BM369" t="s">
        <v>7515</v>
      </c>
      <c r="BN369">
        <v>37025627</v>
      </c>
      <c r="BO369" t="s">
        <v>136</v>
      </c>
      <c r="BP369" t="s">
        <v>74</v>
      </c>
      <c r="BQ369" t="s">
        <v>74</v>
      </c>
      <c r="BR369" t="s">
        <v>106</v>
      </c>
      <c r="BS369" t="s">
        <v>7516</v>
      </c>
      <c r="BT369" t="str">
        <f>HYPERLINK("https%3A%2F%2Fwww.webofscience.com%2Fwos%2Fwoscc%2Ffull-record%2FWOS:000962659600001","View Full Record in Web of Science")</f>
        <v>View Full Record in Web of Science</v>
      </c>
    </row>
    <row r="370" spans="1:72" x14ac:dyDescent="0.15">
      <c r="A370" t="s">
        <v>72</v>
      </c>
      <c r="B370" t="s">
        <v>7517</v>
      </c>
      <c r="C370" t="s">
        <v>74</v>
      </c>
      <c r="D370" t="s">
        <v>74</v>
      </c>
      <c r="E370" t="s">
        <v>74</v>
      </c>
      <c r="F370" t="s">
        <v>7518</v>
      </c>
      <c r="G370" t="s">
        <v>74</v>
      </c>
      <c r="H370" t="s">
        <v>74</v>
      </c>
      <c r="I370" t="s">
        <v>7519</v>
      </c>
      <c r="J370" t="s">
        <v>7520</v>
      </c>
      <c r="K370" t="s">
        <v>74</v>
      </c>
      <c r="L370" t="s">
        <v>74</v>
      </c>
      <c r="M370" t="s">
        <v>78</v>
      </c>
      <c r="N370" t="s">
        <v>112</v>
      </c>
      <c r="O370" t="s">
        <v>74</v>
      </c>
      <c r="P370" t="s">
        <v>74</v>
      </c>
      <c r="Q370" t="s">
        <v>74</v>
      </c>
      <c r="R370" t="s">
        <v>74</v>
      </c>
      <c r="S370" t="s">
        <v>74</v>
      </c>
      <c r="T370" t="s">
        <v>7521</v>
      </c>
      <c r="U370" t="s">
        <v>7522</v>
      </c>
      <c r="V370" t="s">
        <v>7523</v>
      </c>
      <c r="W370" t="s">
        <v>7524</v>
      </c>
      <c r="X370" t="s">
        <v>7525</v>
      </c>
      <c r="Y370" t="s">
        <v>7526</v>
      </c>
      <c r="Z370" t="s">
        <v>7527</v>
      </c>
      <c r="AA370" t="s">
        <v>7528</v>
      </c>
      <c r="AB370" t="s">
        <v>7529</v>
      </c>
      <c r="AC370" t="s">
        <v>7530</v>
      </c>
      <c r="AD370" t="s">
        <v>7531</v>
      </c>
      <c r="AE370" t="s">
        <v>7532</v>
      </c>
      <c r="AF370" t="s">
        <v>74</v>
      </c>
      <c r="AG370">
        <v>70</v>
      </c>
      <c r="AH370">
        <v>2</v>
      </c>
      <c r="AI370">
        <v>2</v>
      </c>
      <c r="AJ370">
        <v>1</v>
      </c>
      <c r="AK370">
        <v>5</v>
      </c>
      <c r="AL370" t="s">
        <v>447</v>
      </c>
      <c r="AM370" t="s">
        <v>448</v>
      </c>
      <c r="AN370" t="s">
        <v>449</v>
      </c>
      <c r="AO370" t="s">
        <v>7533</v>
      </c>
      <c r="AP370" t="s">
        <v>7534</v>
      </c>
      <c r="AQ370" t="s">
        <v>74</v>
      </c>
      <c r="AR370" t="s">
        <v>7535</v>
      </c>
      <c r="AS370" t="s">
        <v>7536</v>
      </c>
      <c r="AT370" t="s">
        <v>2049</v>
      </c>
      <c r="AU370">
        <v>2023</v>
      </c>
      <c r="AV370">
        <v>251</v>
      </c>
      <c r="AW370" t="s">
        <v>74</v>
      </c>
      <c r="AX370" t="s">
        <v>74</v>
      </c>
      <c r="AY370" t="s">
        <v>74</v>
      </c>
      <c r="AZ370" t="s">
        <v>74</v>
      </c>
      <c r="BA370" t="s">
        <v>74</v>
      </c>
      <c r="BB370" t="s">
        <v>74</v>
      </c>
      <c r="BC370" t="s">
        <v>74</v>
      </c>
      <c r="BD370">
        <v>104230</v>
      </c>
      <c r="BE370" t="s">
        <v>7537</v>
      </c>
      <c r="BF370" t="str">
        <f>HYPERLINK("http://dx.doi.org/10.1016/j.marchem.2023.104230","http://dx.doi.org/10.1016/j.marchem.2023.104230")</f>
        <v>http://dx.doi.org/10.1016/j.marchem.2023.104230</v>
      </c>
      <c r="BG370" t="s">
        <v>74</v>
      </c>
      <c r="BH370" t="s">
        <v>6218</v>
      </c>
      <c r="BI370">
        <v>13</v>
      </c>
      <c r="BJ370" t="s">
        <v>7538</v>
      </c>
      <c r="BK370" t="s">
        <v>103</v>
      </c>
      <c r="BL370" t="s">
        <v>7539</v>
      </c>
      <c r="BM370" t="s">
        <v>7540</v>
      </c>
      <c r="BN370" t="s">
        <v>74</v>
      </c>
      <c r="BO370" t="s">
        <v>315</v>
      </c>
      <c r="BP370" t="s">
        <v>74</v>
      </c>
      <c r="BQ370" t="s">
        <v>74</v>
      </c>
      <c r="BR370" t="s">
        <v>106</v>
      </c>
      <c r="BS370" t="s">
        <v>7541</v>
      </c>
      <c r="BT370" t="str">
        <f>HYPERLINK("https%3A%2F%2Fwww.webofscience.com%2Fwos%2Fwoscc%2Ffull-record%2FWOS:000959596400001","View Full Record in Web of Science")</f>
        <v>View Full Record in Web of Science</v>
      </c>
    </row>
    <row r="371" spans="1:72" x14ac:dyDescent="0.15">
      <c r="A371" t="s">
        <v>72</v>
      </c>
      <c r="B371" t="s">
        <v>7542</v>
      </c>
      <c r="C371" t="s">
        <v>74</v>
      </c>
      <c r="D371" t="s">
        <v>74</v>
      </c>
      <c r="E371" t="s">
        <v>74</v>
      </c>
      <c r="F371" t="s">
        <v>7543</v>
      </c>
      <c r="G371" t="s">
        <v>74</v>
      </c>
      <c r="H371" t="s">
        <v>74</v>
      </c>
      <c r="I371" t="s">
        <v>7544</v>
      </c>
      <c r="J371" t="s">
        <v>4311</v>
      </c>
      <c r="K371" t="s">
        <v>74</v>
      </c>
      <c r="L371" t="s">
        <v>74</v>
      </c>
      <c r="M371" t="s">
        <v>78</v>
      </c>
      <c r="N371" t="s">
        <v>112</v>
      </c>
      <c r="O371" t="s">
        <v>74</v>
      </c>
      <c r="P371" t="s">
        <v>74</v>
      </c>
      <c r="Q371" t="s">
        <v>74</v>
      </c>
      <c r="R371" t="s">
        <v>74</v>
      </c>
      <c r="S371" t="s">
        <v>74</v>
      </c>
      <c r="T371" t="s">
        <v>7545</v>
      </c>
      <c r="U371" t="s">
        <v>7546</v>
      </c>
      <c r="V371" t="s">
        <v>7547</v>
      </c>
      <c r="W371" t="s">
        <v>7548</v>
      </c>
      <c r="X371" t="s">
        <v>7549</v>
      </c>
      <c r="Y371" t="s">
        <v>7550</v>
      </c>
      <c r="Z371" t="s">
        <v>7551</v>
      </c>
      <c r="AA371" t="s">
        <v>7552</v>
      </c>
      <c r="AB371" t="s">
        <v>7553</v>
      </c>
      <c r="AC371" t="s">
        <v>7554</v>
      </c>
      <c r="AD371" t="s">
        <v>7555</v>
      </c>
      <c r="AE371" t="s">
        <v>7556</v>
      </c>
      <c r="AF371" t="s">
        <v>74</v>
      </c>
      <c r="AG371">
        <v>87</v>
      </c>
      <c r="AH371">
        <v>2</v>
      </c>
      <c r="AI371">
        <v>2</v>
      </c>
      <c r="AJ371">
        <v>10</v>
      </c>
      <c r="AK371">
        <v>56</v>
      </c>
      <c r="AL371" t="s">
        <v>3119</v>
      </c>
      <c r="AM371" t="s">
        <v>306</v>
      </c>
      <c r="AN371" t="s">
        <v>3120</v>
      </c>
      <c r="AO371" t="s">
        <v>4323</v>
      </c>
      <c r="AP371" t="s">
        <v>4324</v>
      </c>
      <c r="AQ371" t="s">
        <v>74</v>
      </c>
      <c r="AR371" t="s">
        <v>4325</v>
      </c>
      <c r="AS371" t="s">
        <v>4326</v>
      </c>
      <c r="AT371" t="s">
        <v>4174</v>
      </c>
      <c r="AU371">
        <v>2023</v>
      </c>
      <c r="AV371">
        <v>57</v>
      </c>
      <c r="AW371">
        <v>13</v>
      </c>
      <c r="AX371" t="s">
        <v>74</v>
      </c>
      <c r="AY371" t="s">
        <v>74</v>
      </c>
      <c r="AZ371" t="s">
        <v>74</v>
      </c>
      <c r="BA371" t="s">
        <v>74</v>
      </c>
      <c r="BB371">
        <v>5137</v>
      </c>
      <c r="BC371">
        <v>5148</v>
      </c>
      <c r="BD371" t="s">
        <v>74</v>
      </c>
      <c r="BE371" t="s">
        <v>7557</v>
      </c>
      <c r="BF371" t="str">
        <f>HYPERLINK("http://dx.doi.org/10.1021/acs.est.2c04151","http://dx.doi.org/10.1021/acs.est.2c04151")</f>
        <v>http://dx.doi.org/10.1021/acs.est.2c04151</v>
      </c>
      <c r="BG371" t="s">
        <v>74</v>
      </c>
      <c r="BH371" t="s">
        <v>6218</v>
      </c>
      <c r="BI371">
        <v>12</v>
      </c>
      <c r="BJ371" t="s">
        <v>1985</v>
      </c>
      <c r="BK371" t="s">
        <v>103</v>
      </c>
      <c r="BL371" t="s">
        <v>1986</v>
      </c>
      <c r="BM371" t="s">
        <v>7558</v>
      </c>
      <c r="BN371">
        <v>36944040</v>
      </c>
      <c r="BO371" t="s">
        <v>430</v>
      </c>
      <c r="BP371" t="s">
        <v>74</v>
      </c>
      <c r="BQ371" t="s">
        <v>74</v>
      </c>
      <c r="BR371" t="s">
        <v>106</v>
      </c>
      <c r="BS371" t="s">
        <v>7559</v>
      </c>
      <c r="BT371" t="str">
        <f>HYPERLINK("https%3A%2F%2Fwww.webofscience.com%2Fwos%2Fwoscc%2Ffull-record%2FWOS:000955385800001","View Full Record in Web of Science")</f>
        <v>View Full Record in Web of Science</v>
      </c>
    </row>
    <row r="372" spans="1:72" x14ac:dyDescent="0.15">
      <c r="A372" t="s">
        <v>72</v>
      </c>
      <c r="B372" t="s">
        <v>7560</v>
      </c>
      <c r="C372" t="s">
        <v>74</v>
      </c>
      <c r="D372" t="s">
        <v>74</v>
      </c>
      <c r="E372" t="s">
        <v>74</v>
      </c>
      <c r="F372" t="s">
        <v>7561</v>
      </c>
      <c r="G372" t="s">
        <v>74</v>
      </c>
      <c r="H372" t="s">
        <v>74</v>
      </c>
      <c r="I372" t="s">
        <v>7562</v>
      </c>
      <c r="J372" t="s">
        <v>7563</v>
      </c>
      <c r="K372" t="s">
        <v>74</v>
      </c>
      <c r="L372" t="s">
        <v>74</v>
      </c>
      <c r="M372" t="s">
        <v>78</v>
      </c>
      <c r="N372" t="s">
        <v>112</v>
      </c>
      <c r="O372" t="s">
        <v>74</v>
      </c>
      <c r="P372" t="s">
        <v>74</v>
      </c>
      <c r="Q372" t="s">
        <v>74</v>
      </c>
      <c r="R372" t="s">
        <v>74</v>
      </c>
      <c r="S372" t="s">
        <v>74</v>
      </c>
      <c r="T372" t="s">
        <v>7564</v>
      </c>
      <c r="U372" t="s">
        <v>7565</v>
      </c>
      <c r="V372" t="s">
        <v>7566</v>
      </c>
      <c r="W372" t="s">
        <v>7567</v>
      </c>
      <c r="X372" t="s">
        <v>7568</v>
      </c>
      <c r="Y372" t="s">
        <v>7569</v>
      </c>
      <c r="Z372" t="s">
        <v>7570</v>
      </c>
      <c r="AA372" t="s">
        <v>7571</v>
      </c>
      <c r="AB372" t="s">
        <v>7572</v>
      </c>
      <c r="AC372" t="s">
        <v>7573</v>
      </c>
      <c r="AD372" t="s">
        <v>7574</v>
      </c>
      <c r="AE372" t="s">
        <v>7575</v>
      </c>
      <c r="AF372" t="s">
        <v>74</v>
      </c>
      <c r="AG372">
        <v>47</v>
      </c>
      <c r="AH372">
        <v>1</v>
      </c>
      <c r="AI372">
        <v>1</v>
      </c>
      <c r="AJ372">
        <v>0</v>
      </c>
      <c r="AK372">
        <v>2</v>
      </c>
      <c r="AL372" t="s">
        <v>1101</v>
      </c>
      <c r="AM372" t="s">
        <v>1102</v>
      </c>
      <c r="AN372" t="s">
        <v>1103</v>
      </c>
      <c r="AO372" t="s">
        <v>7576</v>
      </c>
      <c r="AP372" t="s">
        <v>7577</v>
      </c>
      <c r="AQ372" t="s">
        <v>74</v>
      </c>
      <c r="AR372" t="s">
        <v>7578</v>
      </c>
      <c r="AS372" t="s">
        <v>7579</v>
      </c>
      <c r="AT372" t="s">
        <v>98</v>
      </c>
      <c r="AU372">
        <v>2023</v>
      </c>
      <c r="AV372">
        <v>160</v>
      </c>
      <c r="AW372">
        <v>5</v>
      </c>
      <c r="AX372" t="s">
        <v>74</v>
      </c>
      <c r="AY372" t="s">
        <v>74</v>
      </c>
      <c r="AZ372" t="s">
        <v>74</v>
      </c>
      <c r="BA372" t="s">
        <v>74</v>
      </c>
      <c r="BB372">
        <v>993</v>
      </c>
      <c r="BC372">
        <v>1009</v>
      </c>
      <c r="BD372" t="s">
        <v>7580</v>
      </c>
      <c r="BE372" t="s">
        <v>7581</v>
      </c>
      <c r="BF372" t="str">
        <f>HYPERLINK("http://dx.doi.org/10.1017/S0016756823000092","http://dx.doi.org/10.1017/S0016756823000092")</f>
        <v>http://dx.doi.org/10.1017/S0016756823000092</v>
      </c>
      <c r="BG372" t="s">
        <v>74</v>
      </c>
      <c r="BH372" t="s">
        <v>6218</v>
      </c>
      <c r="BI372">
        <v>17</v>
      </c>
      <c r="BJ372" t="s">
        <v>261</v>
      </c>
      <c r="BK372" t="s">
        <v>103</v>
      </c>
      <c r="BL372" t="s">
        <v>262</v>
      </c>
      <c r="BM372" t="s">
        <v>7582</v>
      </c>
      <c r="BN372" t="s">
        <v>74</v>
      </c>
      <c r="BO372" t="s">
        <v>74</v>
      </c>
      <c r="BP372" t="s">
        <v>74</v>
      </c>
      <c r="BQ372" t="s">
        <v>74</v>
      </c>
      <c r="BR372" t="s">
        <v>106</v>
      </c>
      <c r="BS372" t="s">
        <v>7583</v>
      </c>
      <c r="BT372" t="str">
        <f>HYPERLINK("https%3A%2F%2Fwww.webofscience.com%2Fwos%2Fwoscc%2Ffull-record%2FWOS:000953623300001","View Full Record in Web of Science")</f>
        <v>View Full Record in Web of Science</v>
      </c>
    </row>
    <row r="373" spans="1:72" x14ac:dyDescent="0.15">
      <c r="A373" t="s">
        <v>72</v>
      </c>
      <c r="B373" t="s">
        <v>7584</v>
      </c>
      <c r="C373" t="s">
        <v>74</v>
      </c>
      <c r="D373" t="s">
        <v>74</v>
      </c>
      <c r="E373" t="s">
        <v>74</v>
      </c>
      <c r="F373" t="s">
        <v>7585</v>
      </c>
      <c r="G373" t="s">
        <v>74</v>
      </c>
      <c r="H373" t="s">
        <v>74</v>
      </c>
      <c r="I373" t="s">
        <v>7586</v>
      </c>
      <c r="J373" t="s">
        <v>2772</v>
      </c>
      <c r="K373" t="s">
        <v>74</v>
      </c>
      <c r="L373" t="s">
        <v>74</v>
      </c>
      <c r="M373" t="s">
        <v>78</v>
      </c>
      <c r="N373" t="s">
        <v>112</v>
      </c>
      <c r="O373" t="s">
        <v>74</v>
      </c>
      <c r="P373" t="s">
        <v>74</v>
      </c>
      <c r="Q373" t="s">
        <v>74</v>
      </c>
      <c r="R373" t="s">
        <v>74</v>
      </c>
      <c r="S373" t="s">
        <v>74</v>
      </c>
      <c r="T373" t="s">
        <v>7587</v>
      </c>
      <c r="U373" t="s">
        <v>7588</v>
      </c>
      <c r="V373" t="s">
        <v>7589</v>
      </c>
      <c r="W373" t="s">
        <v>7590</v>
      </c>
      <c r="X373" t="s">
        <v>7591</v>
      </c>
      <c r="Y373" t="s">
        <v>7592</v>
      </c>
      <c r="Z373" t="s">
        <v>7593</v>
      </c>
      <c r="AA373" t="s">
        <v>7594</v>
      </c>
      <c r="AB373" t="s">
        <v>7595</v>
      </c>
      <c r="AC373" t="s">
        <v>7596</v>
      </c>
      <c r="AD373" t="s">
        <v>7597</v>
      </c>
      <c r="AE373" t="s">
        <v>7598</v>
      </c>
      <c r="AF373" t="s">
        <v>74</v>
      </c>
      <c r="AG373">
        <v>54</v>
      </c>
      <c r="AH373">
        <v>0</v>
      </c>
      <c r="AI373">
        <v>0</v>
      </c>
      <c r="AJ373">
        <v>3</v>
      </c>
      <c r="AK373">
        <v>5</v>
      </c>
      <c r="AL373" t="s">
        <v>1101</v>
      </c>
      <c r="AM373" t="s">
        <v>1102</v>
      </c>
      <c r="AN373" t="s">
        <v>1103</v>
      </c>
      <c r="AO373" t="s">
        <v>2785</v>
      </c>
      <c r="AP373" t="s">
        <v>2786</v>
      </c>
      <c r="AQ373" t="s">
        <v>74</v>
      </c>
      <c r="AR373" t="s">
        <v>2787</v>
      </c>
      <c r="AS373" t="s">
        <v>2788</v>
      </c>
      <c r="AT373" t="s">
        <v>2789</v>
      </c>
      <c r="AU373">
        <v>2023</v>
      </c>
      <c r="AV373">
        <v>69</v>
      </c>
      <c r="AW373">
        <v>277</v>
      </c>
      <c r="AX373" t="s">
        <v>74</v>
      </c>
      <c r="AY373" t="s">
        <v>74</v>
      </c>
      <c r="AZ373" t="s">
        <v>74</v>
      </c>
      <c r="BA373" t="s">
        <v>74</v>
      </c>
      <c r="BB373">
        <v>1203</v>
      </c>
      <c r="BC373">
        <v>1213</v>
      </c>
      <c r="BD373" t="s">
        <v>7599</v>
      </c>
      <c r="BE373" t="s">
        <v>7600</v>
      </c>
      <c r="BF373" t="str">
        <f>HYPERLINK("http://dx.doi.org/10.1017/jog.2023.10","http://dx.doi.org/10.1017/jog.2023.10")</f>
        <v>http://dx.doi.org/10.1017/jog.2023.10</v>
      </c>
      <c r="BG373" t="s">
        <v>74</v>
      </c>
      <c r="BH373" t="s">
        <v>6218</v>
      </c>
      <c r="BI373">
        <v>11</v>
      </c>
      <c r="BJ373" t="s">
        <v>801</v>
      </c>
      <c r="BK373" t="s">
        <v>103</v>
      </c>
      <c r="BL373" t="s">
        <v>802</v>
      </c>
      <c r="BM373" t="s">
        <v>2792</v>
      </c>
      <c r="BN373" t="s">
        <v>74</v>
      </c>
      <c r="BO373" t="s">
        <v>614</v>
      </c>
      <c r="BP373" t="s">
        <v>74</v>
      </c>
      <c r="BQ373" t="s">
        <v>74</v>
      </c>
      <c r="BR373" t="s">
        <v>106</v>
      </c>
      <c r="BS373" t="s">
        <v>7601</v>
      </c>
      <c r="BT373" t="str">
        <f>HYPERLINK("https%3A%2F%2Fwww.webofscience.com%2Fwos%2Fwoscc%2Ffull-record%2FWOS:000953696800001","View Full Record in Web of Science")</f>
        <v>View Full Record in Web of Science</v>
      </c>
    </row>
    <row r="374" spans="1:72" x14ac:dyDescent="0.15">
      <c r="A374" t="s">
        <v>72</v>
      </c>
      <c r="B374" t="s">
        <v>7602</v>
      </c>
      <c r="C374" t="s">
        <v>74</v>
      </c>
      <c r="D374" t="s">
        <v>74</v>
      </c>
      <c r="E374" t="s">
        <v>74</v>
      </c>
      <c r="F374" t="s">
        <v>7603</v>
      </c>
      <c r="G374" t="s">
        <v>74</v>
      </c>
      <c r="H374" t="s">
        <v>74</v>
      </c>
      <c r="I374" t="s">
        <v>7604</v>
      </c>
      <c r="J374" t="s">
        <v>1215</v>
      </c>
      <c r="K374" t="s">
        <v>74</v>
      </c>
      <c r="L374" t="s">
        <v>74</v>
      </c>
      <c r="M374" t="s">
        <v>78</v>
      </c>
      <c r="N374" t="s">
        <v>112</v>
      </c>
      <c r="O374" t="s">
        <v>74</v>
      </c>
      <c r="P374" t="s">
        <v>74</v>
      </c>
      <c r="Q374" t="s">
        <v>74</v>
      </c>
      <c r="R374" t="s">
        <v>74</v>
      </c>
      <c r="S374" t="s">
        <v>74</v>
      </c>
      <c r="T374" t="s">
        <v>7605</v>
      </c>
      <c r="U374" t="s">
        <v>7606</v>
      </c>
      <c r="V374" t="s">
        <v>7607</v>
      </c>
      <c r="W374" t="s">
        <v>7608</v>
      </c>
      <c r="X374" t="s">
        <v>7609</v>
      </c>
      <c r="Y374" t="s">
        <v>7610</v>
      </c>
      <c r="Z374" t="s">
        <v>7611</v>
      </c>
      <c r="AA374" t="s">
        <v>7612</v>
      </c>
      <c r="AB374" t="s">
        <v>7613</v>
      </c>
      <c r="AC374" t="s">
        <v>7614</v>
      </c>
      <c r="AD374" t="s">
        <v>7615</v>
      </c>
      <c r="AE374" t="s">
        <v>7616</v>
      </c>
      <c r="AF374" t="s">
        <v>74</v>
      </c>
      <c r="AG374">
        <v>44</v>
      </c>
      <c r="AH374">
        <v>1</v>
      </c>
      <c r="AI374">
        <v>1</v>
      </c>
      <c r="AJ374">
        <v>6</v>
      </c>
      <c r="AK374">
        <v>14</v>
      </c>
      <c r="AL374" t="s">
        <v>700</v>
      </c>
      <c r="AM374" t="s">
        <v>701</v>
      </c>
      <c r="AN374" t="s">
        <v>702</v>
      </c>
      <c r="AO374" t="s">
        <v>74</v>
      </c>
      <c r="AP374" t="s">
        <v>1228</v>
      </c>
      <c r="AQ374" t="s">
        <v>74</v>
      </c>
      <c r="AR374" t="s">
        <v>1229</v>
      </c>
      <c r="AS374" t="s">
        <v>1230</v>
      </c>
      <c r="AT374" t="s">
        <v>7617</v>
      </c>
      <c r="AU374">
        <v>2023</v>
      </c>
      <c r="AV374">
        <v>10</v>
      </c>
      <c r="AW374" t="s">
        <v>74</v>
      </c>
      <c r="AX374" t="s">
        <v>74</v>
      </c>
      <c r="AY374" t="s">
        <v>74</v>
      </c>
      <c r="AZ374" t="s">
        <v>74</v>
      </c>
      <c r="BA374" t="s">
        <v>74</v>
      </c>
      <c r="BB374" t="s">
        <v>74</v>
      </c>
      <c r="BC374" t="s">
        <v>74</v>
      </c>
      <c r="BD374">
        <v>1050955</v>
      </c>
      <c r="BE374" t="s">
        <v>7618</v>
      </c>
      <c r="BF374" t="str">
        <f>HYPERLINK("http://dx.doi.org/10.3389/fmars.2023.1050955","http://dx.doi.org/10.3389/fmars.2023.1050955")</f>
        <v>http://dx.doi.org/10.3389/fmars.2023.1050955</v>
      </c>
      <c r="BG374" t="s">
        <v>74</v>
      </c>
      <c r="BH374" t="s">
        <v>74</v>
      </c>
      <c r="BI374">
        <v>10</v>
      </c>
      <c r="BJ374" t="s">
        <v>636</v>
      </c>
      <c r="BK374" t="s">
        <v>103</v>
      </c>
      <c r="BL374" t="s">
        <v>637</v>
      </c>
      <c r="BM374" t="s">
        <v>7619</v>
      </c>
      <c r="BN374" t="s">
        <v>74</v>
      </c>
      <c r="BO374" t="s">
        <v>359</v>
      </c>
      <c r="BP374" t="s">
        <v>74</v>
      </c>
      <c r="BQ374" t="s">
        <v>74</v>
      </c>
      <c r="BR374" t="s">
        <v>106</v>
      </c>
      <c r="BS374" t="s">
        <v>7620</v>
      </c>
      <c r="BT374" t="str">
        <f>HYPERLINK("https%3A%2F%2Fwww.webofscience.com%2Fwos%2Fwoscc%2Ffull-record%2FWOS:000961685200001","View Full Record in Web of Science")</f>
        <v>View Full Record in Web of Science</v>
      </c>
    </row>
    <row r="375" spans="1:72" x14ac:dyDescent="0.15">
      <c r="A375" t="s">
        <v>72</v>
      </c>
      <c r="B375" t="s">
        <v>7621</v>
      </c>
      <c r="C375" t="s">
        <v>74</v>
      </c>
      <c r="D375" t="s">
        <v>74</v>
      </c>
      <c r="E375" t="s">
        <v>74</v>
      </c>
      <c r="F375" t="s">
        <v>7622</v>
      </c>
      <c r="G375" t="s">
        <v>74</v>
      </c>
      <c r="H375" t="s">
        <v>74</v>
      </c>
      <c r="I375" t="s">
        <v>7623</v>
      </c>
      <c r="J375" t="s">
        <v>7624</v>
      </c>
      <c r="K375" t="s">
        <v>74</v>
      </c>
      <c r="L375" t="s">
        <v>74</v>
      </c>
      <c r="M375" t="s">
        <v>78</v>
      </c>
      <c r="N375" t="s">
        <v>112</v>
      </c>
      <c r="O375" t="s">
        <v>74</v>
      </c>
      <c r="P375" t="s">
        <v>74</v>
      </c>
      <c r="Q375" t="s">
        <v>74</v>
      </c>
      <c r="R375" t="s">
        <v>74</v>
      </c>
      <c r="S375" t="s">
        <v>74</v>
      </c>
      <c r="T375" t="s">
        <v>7625</v>
      </c>
      <c r="U375" t="s">
        <v>7626</v>
      </c>
      <c r="V375" t="s">
        <v>7627</v>
      </c>
      <c r="W375" t="s">
        <v>7628</v>
      </c>
      <c r="X375" t="s">
        <v>7629</v>
      </c>
      <c r="Y375" t="s">
        <v>7630</v>
      </c>
      <c r="Z375" t="s">
        <v>7631</v>
      </c>
      <c r="AA375" t="s">
        <v>7632</v>
      </c>
      <c r="AB375" t="s">
        <v>7633</v>
      </c>
      <c r="AC375" t="s">
        <v>7634</v>
      </c>
      <c r="AD375" t="s">
        <v>7635</v>
      </c>
      <c r="AE375" t="s">
        <v>7636</v>
      </c>
      <c r="AF375" t="s">
        <v>74</v>
      </c>
      <c r="AG375">
        <v>86</v>
      </c>
      <c r="AH375">
        <v>4</v>
      </c>
      <c r="AI375">
        <v>4</v>
      </c>
      <c r="AJ375">
        <v>5</v>
      </c>
      <c r="AK375">
        <v>12</v>
      </c>
      <c r="AL375" t="s">
        <v>1405</v>
      </c>
      <c r="AM375" t="s">
        <v>226</v>
      </c>
      <c r="AN375" t="s">
        <v>1406</v>
      </c>
      <c r="AO375" t="s">
        <v>7637</v>
      </c>
      <c r="AP375" t="s">
        <v>7638</v>
      </c>
      <c r="AQ375" t="s">
        <v>74</v>
      </c>
      <c r="AR375" t="s">
        <v>7639</v>
      </c>
      <c r="AS375" t="s">
        <v>7640</v>
      </c>
      <c r="AT375" t="s">
        <v>232</v>
      </c>
      <c r="AU375">
        <v>2023</v>
      </c>
      <c r="AV375">
        <v>144</v>
      </c>
      <c r="AW375" t="s">
        <v>74</v>
      </c>
      <c r="AX375" t="s">
        <v>74</v>
      </c>
      <c r="AY375" t="s">
        <v>74</v>
      </c>
      <c r="AZ375" t="s">
        <v>74</v>
      </c>
      <c r="BA375" t="s">
        <v>74</v>
      </c>
      <c r="BB375">
        <v>64</v>
      </c>
      <c r="BC375">
        <v>73</v>
      </c>
      <c r="BD375" t="s">
        <v>74</v>
      </c>
      <c r="BE375" t="s">
        <v>7641</v>
      </c>
      <c r="BF375" t="str">
        <f>HYPERLINK("http://dx.doi.org/10.1016/j.envsci.2023.03.002","http://dx.doi.org/10.1016/j.envsci.2023.03.002")</f>
        <v>http://dx.doi.org/10.1016/j.envsci.2023.03.002</v>
      </c>
      <c r="BG375" t="s">
        <v>74</v>
      </c>
      <c r="BH375" t="s">
        <v>6218</v>
      </c>
      <c r="BI375">
        <v>10</v>
      </c>
      <c r="BJ375" t="s">
        <v>1163</v>
      </c>
      <c r="BK375" t="s">
        <v>103</v>
      </c>
      <c r="BL375" t="s">
        <v>1164</v>
      </c>
      <c r="BM375" t="s">
        <v>7642</v>
      </c>
      <c r="BN375" t="s">
        <v>74</v>
      </c>
      <c r="BO375" t="s">
        <v>1748</v>
      </c>
      <c r="BP375" t="s">
        <v>74</v>
      </c>
      <c r="BQ375" t="s">
        <v>74</v>
      </c>
      <c r="BR375" t="s">
        <v>106</v>
      </c>
      <c r="BS375" t="s">
        <v>7643</v>
      </c>
      <c r="BT375" t="str">
        <f>HYPERLINK("https%3A%2F%2Fwww.webofscience.com%2Fwos%2Fwoscc%2Ffull-record%2FWOS:000957733100001","View Full Record in Web of Science")</f>
        <v>View Full Record in Web of Science</v>
      </c>
    </row>
    <row r="376" spans="1:72" x14ac:dyDescent="0.15">
      <c r="A376" t="s">
        <v>72</v>
      </c>
      <c r="B376" t="s">
        <v>7644</v>
      </c>
      <c r="C376" t="s">
        <v>74</v>
      </c>
      <c r="D376" t="s">
        <v>74</v>
      </c>
      <c r="E376" t="s">
        <v>74</v>
      </c>
      <c r="F376" t="s">
        <v>7645</v>
      </c>
      <c r="G376" t="s">
        <v>74</v>
      </c>
      <c r="H376" t="s">
        <v>74</v>
      </c>
      <c r="I376" t="s">
        <v>7646</v>
      </c>
      <c r="J376" t="s">
        <v>1146</v>
      </c>
      <c r="K376" t="s">
        <v>74</v>
      </c>
      <c r="L376" t="s">
        <v>74</v>
      </c>
      <c r="M376" t="s">
        <v>78</v>
      </c>
      <c r="N376" t="s">
        <v>112</v>
      </c>
      <c r="O376" t="s">
        <v>74</v>
      </c>
      <c r="P376" t="s">
        <v>74</v>
      </c>
      <c r="Q376" t="s">
        <v>74</v>
      </c>
      <c r="R376" t="s">
        <v>74</v>
      </c>
      <c r="S376" t="s">
        <v>74</v>
      </c>
      <c r="T376" t="s">
        <v>7647</v>
      </c>
      <c r="U376" t="s">
        <v>7648</v>
      </c>
      <c r="V376" t="s">
        <v>7649</v>
      </c>
      <c r="W376" t="s">
        <v>7650</v>
      </c>
      <c r="X376" t="s">
        <v>7651</v>
      </c>
      <c r="Y376" t="s">
        <v>7652</v>
      </c>
      <c r="Z376" t="s">
        <v>7653</v>
      </c>
      <c r="AA376" t="s">
        <v>7654</v>
      </c>
      <c r="AB376" t="s">
        <v>7655</v>
      </c>
      <c r="AC376" t="s">
        <v>7656</v>
      </c>
      <c r="AD376" t="s">
        <v>7657</v>
      </c>
      <c r="AE376" t="s">
        <v>7658</v>
      </c>
      <c r="AF376" t="s">
        <v>74</v>
      </c>
      <c r="AG376">
        <v>56</v>
      </c>
      <c r="AH376">
        <v>0</v>
      </c>
      <c r="AI376">
        <v>0</v>
      </c>
      <c r="AJ376">
        <v>2</v>
      </c>
      <c r="AK376">
        <v>6</v>
      </c>
      <c r="AL376" t="s">
        <v>225</v>
      </c>
      <c r="AM376" t="s">
        <v>226</v>
      </c>
      <c r="AN376" t="s">
        <v>227</v>
      </c>
      <c r="AO376" t="s">
        <v>1159</v>
      </c>
      <c r="AP376" t="s">
        <v>1160</v>
      </c>
      <c r="AQ376" t="s">
        <v>74</v>
      </c>
      <c r="AR376" t="s">
        <v>1146</v>
      </c>
      <c r="AS376" t="s">
        <v>1161</v>
      </c>
      <c r="AT376" t="s">
        <v>232</v>
      </c>
      <c r="AU376">
        <v>2023</v>
      </c>
      <c r="AV376">
        <v>325</v>
      </c>
      <c r="AW376" t="s">
        <v>74</v>
      </c>
      <c r="AX376" t="s">
        <v>74</v>
      </c>
      <c r="AY376" t="s">
        <v>74</v>
      </c>
      <c r="AZ376" t="s">
        <v>74</v>
      </c>
      <c r="BA376" t="s">
        <v>74</v>
      </c>
      <c r="BB376" t="s">
        <v>74</v>
      </c>
      <c r="BC376" t="s">
        <v>74</v>
      </c>
      <c r="BD376">
        <v>138395</v>
      </c>
      <c r="BE376" t="s">
        <v>7659</v>
      </c>
      <c r="BF376" t="str">
        <f>HYPERLINK("http://dx.doi.org/10.1016/j.chemosphere.2023.138395","http://dx.doi.org/10.1016/j.chemosphere.2023.138395")</f>
        <v>http://dx.doi.org/10.1016/j.chemosphere.2023.138395</v>
      </c>
      <c r="BG376" t="s">
        <v>74</v>
      </c>
      <c r="BH376" t="s">
        <v>6218</v>
      </c>
      <c r="BI376">
        <v>12</v>
      </c>
      <c r="BJ376" t="s">
        <v>1163</v>
      </c>
      <c r="BK376" t="s">
        <v>103</v>
      </c>
      <c r="BL376" t="s">
        <v>1164</v>
      </c>
      <c r="BM376" t="s">
        <v>7660</v>
      </c>
      <c r="BN376">
        <v>36931405</v>
      </c>
      <c r="BO376" t="s">
        <v>387</v>
      </c>
      <c r="BP376" t="s">
        <v>74</v>
      </c>
      <c r="BQ376" t="s">
        <v>74</v>
      </c>
      <c r="BR376" t="s">
        <v>106</v>
      </c>
      <c r="BS376" t="s">
        <v>7661</v>
      </c>
      <c r="BT376" t="str">
        <f>HYPERLINK("https%3A%2F%2Fwww.webofscience.com%2Fwos%2Fwoscc%2Ffull-record%2FWOS:000957651800001","View Full Record in Web of Science")</f>
        <v>View Full Record in Web of Science</v>
      </c>
    </row>
    <row r="377" spans="1:72" x14ac:dyDescent="0.15">
      <c r="A377" t="s">
        <v>72</v>
      </c>
      <c r="B377" t="s">
        <v>7662</v>
      </c>
      <c r="C377" t="s">
        <v>74</v>
      </c>
      <c r="D377" t="s">
        <v>74</v>
      </c>
      <c r="E377" t="s">
        <v>74</v>
      </c>
      <c r="F377" t="s">
        <v>7663</v>
      </c>
      <c r="G377" t="s">
        <v>74</v>
      </c>
      <c r="H377" t="s">
        <v>74</v>
      </c>
      <c r="I377" t="s">
        <v>7664</v>
      </c>
      <c r="J377" t="s">
        <v>7665</v>
      </c>
      <c r="K377" t="s">
        <v>74</v>
      </c>
      <c r="L377" t="s">
        <v>74</v>
      </c>
      <c r="M377" t="s">
        <v>78</v>
      </c>
      <c r="N377" t="s">
        <v>112</v>
      </c>
      <c r="O377" t="s">
        <v>74</v>
      </c>
      <c r="P377" t="s">
        <v>74</v>
      </c>
      <c r="Q377" t="s">
        <v>74</v>
      </c>
      <c r="R377" t="s">
        <v>74</v>
      </c>
      <c r="S377" t="s">
        <v>74</v>
      </c>
      <c r="T377" t="s">
        <v>7666</v>
      </c>
      <c r="U377" t="s">
        <v>7667</v>
      </c>
      <c r="V377" t="s">
        <v>7668</v>
      </c>
      <c r="W377" t="s">
        <v>7669</v>
      </c>
      <c r="X377" t="s">
        <v>7670</v>
      </c>
      <c r="Y377" t="s">
        <v>7671</v>
      </c>
      <c r="Z377" t="s">
        <v>6508</v>
      </c>
      <c r="AA377" t="s">
        <v>7672</v>
      </c>
      <c r="AB377" t="s">
        <v>7673</v>
      </c>
      <c r="AC377" t="s">
        <v>7674</v>
      </c>
      <c r="AD377" t="s">
        <v>7675</v>
      </c>
      <c r="AE377" t="s">
        <v>7676</v>
      </c>
      <c r="AF377" t="s">
        <v>74</v>
      </c>
      <c r="AG377">
        <v>71</v>
      </c>
      <c r="AH377">
        <v>4</v>
      </c>
      <c r="AI377">
        <v>4</v>
      </c>
      <c r="AJ377">
        <v>9</v>
      </c>
      <c r="AK377">
        <v>29</v>
      </c>
      <c r="AL377" t="s">
        <v>2092</v>
      </c>
      <c r="AM377" t="s">
        <v>2093</v>
      </c>
      <c r="AN377" t="s">
        <v>2094</v>
      </c>
      <c r="AO377" t="s">
        <v>7677</v>
      </c>
      <c r="AP377" t="s">
        <v>7678</v>
      </c>
      <c r="AQ377" t="s">
        <v>74</v>
      </c>
      <c r="AR377" t="s">
        <v>7679</v>
      </c>
      <c r="AS377" t="s">
        <v>7680</v>
      </c>
      <c r="AT377" t="s">
        <v>570</v>
      </c>
      <c r="AU377">
        <v>2023</v>
      </c>
      <c r="AV377">
        <v>34</v>
      </c>
      <c r="AW377">
        <v>3</v>
      </c>
      <c r="AX377" t="s">
        <v>74</v>
      </c>
      <c r="AY377" t="s">
        <v>74</v>
      </c>
      <c r="AZ377" t="s">
        <v>185</v>
      </c>
      <c r="BA377" t="s">
        <v>74</v>
      </c>
      <c r="BB377">
        <v>370</v>
      </c>
      <c r="BC377">
        <v>383</v>
      </c>
      <c r="BD377" t="s">
        <v>74</v>
      </c>
      <c r="BE377" t="s">
        <v>7681</v>
      </c>
      <c r="BF377" t="str">
        <f>HYPERLINK("http://dx.doi.org/10.1002/ppp.2182","http://dx.doi.org/10.1002/ppp.2182")</f>
        <v>http://dx.doi.org/10.1002/ppp.2182</v>
      </c>
      <c r="BG377" t="s">
        <v>74</v>
      </c>
      <c r="BH377" t="s">
        <v>6218</v>
      </c>
      <c r="BI377">
        <v>14</v>
      </c>
      <c r="BJ377" t="s">
        <v>7682</v>
      </c>
      <c r="BK377" t="s">
        <v>103</v>
      </c>
      <c r="BL377" t="s">
        <v>802</v>
      </c>
      <c r="BM377" t="s">
        <v>7683</v>
      </c>
      <c r="BN377" t="s">
        <v>74</v>
      </c>
      <c r="BO377" t="s">
        <v>74</v>
      </c>
      <c r="BP377" t="s">
        <v>74</v>
      </c>
      <c r="BQ377" t="s">
        <v>74</v>
      </c>
      <c r="BR377" t="s">
        <v>106</v>
      </c>
      <c r="BS377" t="s">
        <v>7684</v>
      </c>
      <c r="BT377" t="str">
        <f>HYPERLINK("https%3A%2F%2Fwww.webofscience.com%2Fwos%2Fwoscc%2Ffull-record%2FWOS:000953525600001","View Full Record in Web of Science")</f>
        <v>View Full Record in Web of Science</v>
      </c>
    </row>
    <row r="378" spans="1:72" x14ac:dyDescent="0.15">
      <c r="A378" t="s">
        <v>72</v>
      </c>
      <c r="B378" t="s">
        <v>7685</v>
      </c>
      <c r="C378" t="s">
        <v>74</v>
      </c>
      <c r="D378" t="s">
        <v>74</v>
      </c>
      <c r="E378" t="s">
        <v>74</v>
      </c>
      <c r="F378" t="s">
        <v>7686</v>
      </c>
      <c r="G378" t="s">
        <v>74</v>
      </c>
      <c r="H378" t="s">
        <v>74</v>
      </c>
      <c r="I378" t="s">
        <v>7687</v>
      </c>
      <c r="J378" t="s">
        <v>1685</v>
      </c>
      <c r="K378" t="s">
        <v>74</v>
      </c>
      <c r="L378" t="s">
        <v>74</v>
      </c>
      <c r="M378" t="s">
        <v>78</v>
      </c>
      <c r="N378" t="s">
        <v>112</v>
      </c>
      <c r="O378" t="s">
        <v>74</v>
      </c>
      <c r="P378" t="s">
        <v>74</v>
      </c>
      <c r="Q378" t="s">
        <v>74</v>
      </c>
      <c r="R378" t="s">
        <v>74</v>
      </c>
      <c r="S378" t="s">
        <v>74</v>
      </c>
      <c r="T378" t="s">
        <v>74</v>
      </c>
      <c r="U378" t="s">
        <v>7688</v>
      </c>
      <c r="V378" t="s">
        <v>7689</v>
      </c>
      <c r="W378" t="s">
        <v>7690</v>
      </c>
      <c r="X378" t="s">
        <v>7691</v>
      </c>
      <c r="Y378" t="s">
        <v>7692</v>
      </c>
      <c r="Z378" t="s">
        <v>7693</v>
      </c>
      <c r="AA378" t="s">
        <v>7694</v>
      </c>
      <c r="AB378" t="s">
        <v>7695</v>
      </c>
      <c r="AC378" t="s">
        <v>7696</v>
      </c>
      <c r="AD378" t="s">
        <v>7697</v>
      </c>
      <c r="AE378" t="s">
        <v>7698</v>
      </c>
      <c r="AF378" t="s">
        <v>74</v>
      </c>
      <c r="AG378">
        <v>106</v>
      </c>
      <c r="AH378">
        <v>10</v>
      </c>
      <c r="AI378">
        <v>10</v>
      </c>
      <c r="AJ378">
        <v>3</v>
      </c>
      <c r="AK378">
        <v>12</v>
      </c>
      <c r="AL378" t="s">
        <v>203</v>
      </c>
      <c r="AM378" t="s">
        <v>204</v>
      </c>
      <c r="AN378" t="s">
        <v>205</v>
      </c>
      <c r="AO378" t="s">
        <v>74</v>
      </c>
      <c r="AP378" t="s">
        <v>1696</v>
      </c>
      <c r="AQ378" t="s">
        <v>74</v>
      </c>
      <c r="AR378" t="s">
        <v>1697</v>
      </c>
      <c r="AS378" t="s">
        <v>1698</v>
      </c>
      <c r="AT378" t="s">
        <v>7699</v>
      </c>
      <c r="AU378">
        <v>2023</v>
      </c>
      <c r="AV378">
        <v>14</v>
      </c>
      <c r="AW378">
        <v>1</v>
      </c>
      <c r="AX378" t="s">
        <v>74</v>
      </c>
      <c r="AY378" t="s">
        <v>74</v>
      </c>
      <c r="AZ378" t="s">
        <v>74</v>
      </c>
      <c r="BA378" t="s">
        <v>74</v>
      </c>
      <c r="BB378" t="s">
        <v>74</v>
      </c>
      <c r="BC378" t="s">
        <v>74</v>
      </c>
      <c r="BD378">
        <v>1479</v>
      </c>
      <c r="BE378" t="s">
        <v>7700</v>
      </c>
      <c r="BF378" t="str">
        <f>HYPERLINK("http://dx.doi.org/10.1038/s41467-023-36990-3","http://dx.doi.org/10.1038/s41467-023-36990-3")</f>
        <v>http://dx.doi.org/10.1038/s41467-023-36990-3</v>
      </c>
      <c r="BG378" t="s">
        <v>74</v>
      </c>
      <c r="BH378" t="s">
        <v>74</v>
      </c>
      <c r="BI378">
        <v>13</v>
      </c>
      <c r="BJ378" t="s">
        <v>210</v>
      </c>
      <c r="BK378" t="s">
        <v>103</v>
      </c>
      <c r="BL378" t="s">
        <v>211</v>
      </c>
      <c r="BM378" t="s">
        <v>7701</v>
      </c>
      <c r="BN378">
        <v>36932070</v>
      </c>
      <c r="BO378" t="s">
        <v>7702</v>
      </c>
      <c r="BP378" t="s">
        <v>74</v>
      </c>
      <c r="BQ378" t="s">
        <v>74</v>
      </c>
      <c r="BR378" t="s">
        <v>106</v>
      </c>
      <c r="BS378" t="s">
        <v>7703</v>
      </c>
      <c r="BT378" t="str">
        <f>HYPERLINK("https%3A%2F%2Fwww.webofscience.com%2Fwos%2Fwoscc%2Ffull-record%2FWOS:001040483800009","View Full Record in Web of Science")</f>
        <v>View Full Record in Web of Science</v>
      </c>
    </row>
    <row r="379" spans="1:72" x14ac:dyDescent="0.15">
      <c r="A379" t="s">
        <v>72</v>
      </c>
      <c r="B379" t="s">
        <v>7704</v>
      </c>
      <c r="C379" t="s">
        <v>74</v>
      </c>
      <c r="D379" t="s">
        <v>74</v>
      </c>
      <c r="E379" t="s">
        <v>74</v>
      </c>
      <c r="F379" t="s">
        <v>7705</v>
      </c>
      <c r="G379" t="s">
        <v>74</v>
      </c>
      <c r="H379" t="s">
        <v>74</v>
      </c>
      <c r="I379" t="s">
        <v>7706</v>
      </c>
      <c r="J379" t="s">
        <v>7318</v>
      </c>
      <c r="K379" t="s">
        <v>74</v>
      </c>
      <c r="L379" t="s">
        <v>74</v>
      </c>
      <c r="M379" t="s">
        <v>78</v>
      </c>
      <c r="N379" t="s">
        <v>112</v>
      </c>
      <c r="O379" t="s">
        <v>74</v>
      </c>
      <c r="P379" t="s">
        <v>74</v>
      </c>
      <c r="Q379" t="s">
        <v>74</v>
      </c>
      <c r="R379" t="s">
        <v>74</v>
      </c>
      <c r="S379" t="s">
        <v>74</v>
      </c>
      <c r="T379" t="s">
        <v>7707</v>
      </c>
      <c r="U379" t="s">
        <v>7708</v>
      </c>
      <c r="V379" t="s">
        <v>7709</v>
      </c>
      <c r="W379" t="s">
        <v>7710</v>
      </c>
      <c r="X379" t="s">
        <v>7711</v>
      </c>
      <c r="Y379" t="s">
        <v>7712</v>
      </c>
      <c r="Z379" t="s">
        <v>7713</v>
      </c>
      <c r="AA379" t="s">
        <v>74</v>
      </c>
      <c r="AB379" t="s">
        <v>7714</v>
      </c>
      <c r="AC379" t="s">
        <v>7715</v>
      </c>
      <c r="AD379" t="s">
        <v>7716</v>
      </c>
      <c r="AE379" t="s">
        <v>7717</v>
      </c>
      <c r="AF379" t="s">
        <v>74</v>
      </c>
      <c r="AG379">
        <v>126</v>
      </c>
      <c r="AH379">
        <v>0</v>
      </c>
      <c r="AI379">
        <v>0</v>
      </c>
      <c r="AJ379">
        <v>2</v>
      </c>
      <c r="AK379">
        <v>2</v>
      </c>
      <c r="AL379" t="s">
        <v>1431</v>
      </c>
      <c r="AM379" t="s">
        <v>525</v>
      </c>
      <c r="AN379" t="s">
        <v>1432</v>
      </c>
      <c r="AO379" t="s">
        <v>7331</v>
      </c>
      <c r="AP379" t="s">
        <v>7332</v>
      </c>
      <c r="AQ379" t="s">
        <v>74</v>
      </c>
      <c r="AR379" t="s">
        <v>7333</v>
      </c>
      <c r="AS379" t="s">
        <v>7334</v>
      </c>
      <c r="AT379" t="s">
        <v>7718</v>
      </c>
      <c r="AU379">
        <v>2023</v>
      </c>
      <c r="AV379">
        <v>284</v>
      </c>
      <c r="AW379" t="s">
        <v>74</v>
      </c>
      <c r="AX379" t="s">
        <v>74</v>
      </c>
      <c r="AY379" t="s">
        <v>74</v>
      </c>
      <c r="AZ379" t="s">
        <v>74</v>
      </c>
      <c r="BA379" t="s">
        <v>74</v>
      </c>
      <c r="BB379" t="s">
        <v>74</v>
      </c>
      <c r="BC379" t="s">
        <v>74</v>
      </c>
      <c r="BD379">
        <v>108285</v>
      </c>
      <c r="BE379" t="s">
        <v>7719</v>
      </c>
      <c r="BF379" t="str">
        <f>HYPERLINK("http://dx.doi.org/10.1016/j.ecss.2023.108285","http://dx.doi.org/10.1016/j.ecss.2023.108285")</f>
        <v>http://dx.doi.org/10.1016/j.ecss.2023.108285</v>
      </c>
      <c r="BG379" t="s">
        <v>74</v>
      </c>
      <c r="BH379" t="s">
        <v>6218</v>
      </c>
      <c r="BI379">
        <v>14</v>
      </c>
      <c r="BJ379" t="s">
        <v>553</v>
      </c>
      <c r="BK379" t="s">
        <v>103</v>
      </c>
      <c r="BL379" t="s">
        <v>553</v>
      </c>
      <c r="BM379" t="s">
        <v>7720</v>
      </c>
      <c r="BN379" t="s">
        <v>74</v>
      </c>
      <c r="BO379" t="s">
        <v>74</v>
      </c>
      <c r="BP379" t="s">
        <v>74</v>
      </c>
      <c r="BQ379" t="s">
        <v>74</v>
      </c>
      <c r="BR379" t="s">
        <v>106</v>
      </c>
      <c r="BS379" t="s">
        <v>7721</v>
      </c>
      <c r="BT379" t="str">
        <f>HYPERLINK("https%3A%2F%2Fwww.webofscience.com%2Fwos%2Fwoscc%2Ffull-record%2FWOS:001029206000001","View Full Record in Web of Science")</f>
        <v>View Full Record in Web of Science</v>
      </c>
    </row>
    <row r="380" spans="1:72" x14ac:dyDescent="0.15">
      <c r="A380" t="s">
        <v>72</v>
      </c>
      <c r="B380" t="s">
        <v>7722</v>
      </c>
      <c r="C380" t="s">
        <v>74</v>
      </c>
      <c r="D380" t="s">
        <v>74</v>
      </c>
      <c r="E380" t="s">
        <v>74</v>
      </c>
      <c r="F380" t="s">
        <v>7723</v>
      </c>
      <c r="G380" t="s">
        <v>74</v>
      </c>
      <c r="H380" t="s">
        <v>74</v>
      </c>
      <c r="I380" t="s">
        <v>7724</v>
      </c>
      <c r="J380" t="s">
        <v>4311</v>
      </c>
      <c r="K380" t="s">
        <v>74</v>
      </c>
      <c r="L380" t="s">
        <v>74</v>
      </c>
      <c r="M380" t="s">
        <v>78</v>
      </c>
      <c r="N380" t="s">
        <v>112</v>
      </c>
      <c r="O380" t="s">
        <v>74</v>
      </c>
      <c r="P380" t="s">
        <v>74</v>
      </c>
      <c r="Q380" t="s">
        <v>74</v>
      </c>
      <c r="R380" t="s">
        <v>74</v>
      </c>
      <c r="S380" t="s">
        <v>74</v>
      </c>
      <c r="T380" t="s">
        <v>7725</v>
      </c>
      <c r="U380" t="s">
        <v>7726</v>
      </c>
      <c r="V380" t="s">
        <v>7727</v>
      </c>
      <c r="W380" t="s">
        <v>7728</v>
      </c>
      <c r="X380" t="s">
        <v>7729</v>
      </c>
      <c r="Y380" t="s">
        <v>7730</v>
      </c>
      <c r="Z380" t="s">
        <v>7731</v>
      </c>
      <c r="AA380" t="s">
        <v>7732</v>
      </c>
      <c r="AB380" t="s">
        <v>7733</v>
      </c>
      <c r="AC380" t="s">
        <v>7734</v>
      </c>
      <c r="AD380" t="s">
        <v>7735</v>
      </c>
      <c r="AE380" t="s">
        <v>7736</v>
      </c>
      <c r="AF380" t="s">
        <v>74</v>
      </c>
      <c r="AG380">
        <v>50</v>
      </c>
      <c r="AH380">
        <v>4</v>
      </c>
      <c r="AI380">
        <v>4</v>
      </c>
      <c r="AJ380">
        <v>35</v>
      </c>
      <c r="AK380">
        <v>75</v>
      </c>
      <c r="AL380" t="s">
        <v>3119</v>
      </c>
      <c r="AM380" t="s">
        <v>306</v>
      </c>
      <c r="AN380" t="s">
        <v>3120</v>
      </c>
      <c r="AO380" t="s">
        <v>4323</v>
      </c>
      <c r="AP380" t="s">
        <v>4324</v>
      </c>
      <c r="AQ380" t="s">
        <v>74</v>
      </c>
      <c r="AR380" t="s">
        <v>4325</v>
      </c>
      <c r="AS380" t="s">
        <v>4326</v>
      </c>
      <c r="AT380" t="s">
        <v>4174</v>
      </c>
      <c r="AU380">
        <v>2023</v>
      </c>
      <c r="AV380">
        <v>57</v>
      </c>
      <c r="AW380">
        <v>13</v>
      </c>
      <c r="AX380" t="s">
        <v>74</v>
      </c>
      <c r="AY380" t="s">
        <v>74</v>
      </c>
      <c r="AZ380" t="s">
        <v>74</v>
      </c>
      <c r="BA380" t="s">
        <v>74</v>
      </c>
      <c r="BB380">
        <v>5474</v>
      </c>
      <c r="BC380">
        <v>5484</v>
      </c>
      <c r="BD380" t="s">
        <v>74</v>
      </c>
      <c r="BE380" t="s">
        <v>7737</v>
      </c>
      <c r="BF380" t="str">
        <f>HYPERLINK("http://dx.doi.org/10.1021/acs.est.2c06731","http://dx.doi.org/10.1021/acs.est.2c06731")</f>
        <v>http://dx.doi.org/10.1021/acs.est.2c06731</v>
      </c>
      <c r="BG380" t="s">
        <v>74</v>
      </c>
      <c r="BH380" t="s">
        <v>6218</v>
      </c>
      <c r="BI380">
        <v>11</v>
      </c>
      <c r="BJ380" t="s">
        <v>1985</v>
      </c>
      <c r="BK380" t="s">
        <v>103</v>
      </c>
      <c r="BL380" t="s">
        <v>1986</v>
      </c>
      <c r="BM380" t="s">
        <v>7738</v>
      </c>
      <c r="BN380">
        <v>36931264</v>
      </c>
      <c r="BO380" t="s">
        <v>74</v>
      </c>
      <c r="BP380" t="s">
        <v>74</v>
      </c>
      <c r="BQ380" t="s">
        <v>74</v>
      </c>
      <c r="BR380" t="s">
        <v>106</v>
      </c>
      <c r="BS380" t="s">
        <v>7739</v>
      </c>
      <c r="BT380" t="str">
        <f>HYPERLINK("https%3A%2F%2Fwww.webofscience.com%2Fwos%2Fwoscc%2Ffull-record%2FWOS:000962803500001","View Full Record in Web of Science")</f>
        <v>View Full Record in Web of Science</v>
      </c>
    </row>
    <row r="381" spans="1:72" x14ac:dyDescent="0.15">
      <c r="A381" t="s">
        <v>72</v>
      </c>
      <c r="B381" t="s">
        <v>7740</v>
      </c>
      <c r="C381" t="s">
        <v>74</v>
      </c>
      <c r="D381" t="s">
        <v>74</v>
      </c>
      <c r="E381" t="s">
        <v>74</v>
      </c>
      <c r="F381" t="s">
        <v>7741</v>
      </c>
      <c r="G381" t="s">
        <v>74</v>
      </c>
      <c r="H381" t="s">
        <v>74</v>
      </c>
      <c r="I381" t="s">
        <v>7742</v>
      </c>
      <c r="J381" t="s">
        <v>3876</v>
      </c>
      <c r="K381" t="s">
        <v>74</v>
      </c>
      <c r="L381" t="s">
        <v>74</v>
      </c>
      <c r="M381" t="s">
        <v>78</v>
      </c>
      <c r="N381" t="s">
        <v>112</v>
      </c>
      <c r="O381" t="s">
        <v>74</v>
      </c>
      <c r="P381" t="s">
        <v>74</v>
      </c>
      <c r="Q381" t="s">
        <v>74</v>
      </c>
      <c r="R381" t="s">
        <v>74</v>
      </c>
      <c r="S381" t="s">
        <v>74</v>
      </c>
      <c r="T381" t="s">
        <v>7743</v>
      </c>
      <c r="U381" t="s">
        <v>7744</v>
      </c>
      <c r="V381" t="s">
        <v>7745</v>
      </c>
      <c r="W381" t="s">
        <v>7746</v>
      </c>
      <c r="X381" t="s">
        <v>7747</v>
      </c>
      <c r="Y381" t="s">
        <v>7748</v>
      </c>
      <c r="Z381" t="s">
        <v>7749</v>
      </c>
      <c r="AA381" t="s">
        <v>7750</v>
      </c>
      <c r="AB381" t="s">
        <v>7751</v>
      </c>
      <c r="AC381" t="s">
        <v>7752</v>
      </c>
      <c r="AD381" t="s">
        <v>7753</v>
      </c>
      <c r="AE381" t="s">
        <v>7754</v>
      </c>
      <c r="AF381" t="s">
        <v>74</v>
      </c>
      <c r="AG381">
        <v>88</v>
      </c>
      <c r="AH381">
        <v>2</v>
      </c>
      <c r="AI381">
        <v>2</v>
      </c>
      <c r="AJ381">
        <v>2</v>
      </c>
      <c r="AK381">
        <v>6</v>
      </c>
      <c r="AL381" t="s">
        <v>3889</v>
      </c>
      <c r="AM381" t="s">
        <v>3890</v>
      </c>
      <c r="AN381" t="s">
        <v>3891</v>
      </c>
      <c r="AO381" t="s">
        <v>3892</v>
      </c>
      <c r="AP381" t="s">
        <v>74</v>
      </c>
      <c r="AQ381" t="s">
        <v>74</v>
      </c>
      <c r="AR381" t="s">
        <v>3893</v>
      </c>
      <c r="AS381" t="s">
        <v>3894</v>
      </c>
      <c r="AT381" t="s">
        <v>7699</v>
      </c>
      <c r="AU381">
        <v>2023</v>
      </c>
      <c r="AV381">
        <v>10</v>
      </c>
      <c r="AW381">
        <v>1</v>
      </c>
      <c r="AX381" t="s">
        <v>74</v>
      </c>
      <c r="AY381" t="s">
        <v>74</v>
      </c>
      <c r="AZ381" t="s">
        <v>74</v>
      </c>
      <c r="BA381" t="s">
        <v>74</v>
      </c>
      <c r="BB381" t="s">
        <v>74</v>
      </c>
      <c r="BC381" t="s">
        <v>74</v>
      </c>
      <c r="BD381">
        <v>30</v>
      </c>
      <c r="BE381" t="s">
        <v>7755</v>
      </c>
      <c r="BF381" t="str">
        <f>HYPERLINK("http://dx.doi.org/10.1525/elementa.2021.00030","http://dx.doi.org/10.1525/elementa.2021.00030")</f>
        <v>http://dx.doi.org/10.1525/elementa.2021.00030</v>
      </c>
      <c r="BG381" t="s">
        <v>74</v>
      </c>
      <c r="BH381" t="s">
        <v>74</v>
      </c>
      <c r="BI381">
        <v>16</v>
      </c>
      <c r="BJ381" t="s">
        <v>356</v>
      </c>
      <c r="BK381" t="s">
        <v>103</v>
      </c>
      <c r="BL381" t="s">
        <v>357</v>
      </c>
      <c r="BM381" t="s">
        <v>7756</v>
      </c>
      <c r="BN381" t="s">
        <v>74</v>
      </c>
      <c r="BO381" t="s">
        <v>614</v>
      </c>
      <c r="BP381" t="s">
        <v>74</v>
      </c>
      <c r="BQ381" t="s">
        <v>74</v>
      </c>
      <c r="BR381" t="s">
        <v>106</v>
      </c>
      <c r="BS381" t="s">
        <v>7757</v>
      </c>
      <c r="BT381" t="str">
        <f>HYPERLINK("https%3A%2F%2Fwww.webofscience.com%2Fwos%2Fwoscc%2Ffull-record%2FWOS:000959567000001","View Full Record in Web of Science")</f>
        <v>View Full Record in Web of Science</v>
      </c>
    </row>
    <row r="382" spans="1:72" x14ac:dyDescent="0.15">
      <c r="A382" t="s">
        <v>72</v>
      </c>
      <c r="B382" t="s">
        <v>7758</v>
      </c>
      <c r="C382" t="s">
        <v>74</v>
      </c>
      <c r="D382" t="s">
        <v>74</v>
      </c>
      <c r="E382" t="s">
        <v>74</v>
      </c>
      <c r="F382" t="s">
        <v>7759</v>
      </c>
      <c r="G382" t="s">
        <v>74</v>
      </c>
      <c r="H382" t="s">
        <v>74</v>
      </c>
      <c r="I382" t="s">
        <v>7760</v>
      </c>
      <c r="J382" t="s">
        <v>1215</v>
      </c>
      <c r="K382" t="s">
        <v>74</v>
      </c>
      <c r="L382" t="s">
        <v>74</v>
      </c>
      <c r="M382" t="s">
        <v>78</v>
      </c>
      <c r="N382" t="s">
        <v>112</v>
      </c>
      <c r="O382" t="s">
        <v>74</v>
      </c>
      <c r="P382" t="s">
        <v>74</v>
      </c>
      <c r="Q382" t="s">
        <v>74</v>
      </c>
      <c r="R382" t="s">
        <v>74</v>
      </c>
      <c r="S382" t="s">
        <v>74</v>
      </c>
      <c r="T382" t="s">
        <v>7761</v>
      </c>
      <c r="U382" t="s">
        <v>7762</v>
      </c>
      <c r="V382" t="s">
        <v>7763</v>
      </c>
      <c r="W382" t="s">
        <v>7764</v>
      </c>
      <c r="X382" t="s">
        <v>7765</v>
      </c>
      <c r="Y382" t="s">
        <v>7766</v>
      </c>
      <c r="Z382" t="s">
        <v>7767</v>
      </c>
      <c r="AA382" t="s">
        <v>7768</v>
      </c>
      <c r="AB382" t="s">
        <v>7769</v>
      </c>
      <c r="AC382" t="s">
        <v>7770</v>
      </c>
      <c r="AD382" t="s">
        <v>7771</v>
      </c>
      <c r="AE382" t="s">
        <v>7772</v>
      </c>
      <c r="AF382" t="s">
        <v>74</v>
      </c>
      <c r="AG382">
        <v>74</v>
      </c>
      <c r="AH382">
        <v>1</v>
      </c>
      <c r="AI382">
        <v>1</v>
      </c>
      <c r="AJ382">
        <v>2</v>
      </c>
      <c r="AK382">
        <v>11</v>
      </c>
      <c r="AL382" t="s">
        <v>700</v>
      </c>
      <c r="AM382" t="s">
        <v>701</v>
      </c>
      <c r="AN382" t="s">
        <v>702</v>
      </c>
      <c r="AO382" t="s">
        <v>74</v>
      </c>
      <c r="AP382" t="s">
        <v>1228</v>
      </c>
      <c r="AQ382" t="s">
        <v>74</v>
      </c>
      <c r="AR382" t="s">
        <v>1229</v>
      </c>
      <c r="AS382" t="s">
        <v>1230</v>
      </c>
      <c r="AT382" t="s">
        <v>7699</v>
      </c>
      <c r="AU382">
        <v>2023</v>
      </c>
      <c r="AV382">
        <v>10</v>
      </c>
      <c r="AW382" t="s">
        <v>74</v>
      </c>
      <c r="AX382" t="s">
        <v>74</v>
      </c>
      <c r="AY382" t="s">
        <v>74</v>
      </c>
      <c r="AZ382" t="s">
        <v>74</v>
      </c>
      <c r="BA382" t="s">
        <v>74</v>
      </c>
      <c r="BB382" t="s">
        <v>74</v>
      </c>
      <c r="BC382" t="s">
        <v>74</v>
      </c>
      <c r="BD382">
        <v>997014</v>
      </c>
      <c r="BE382" t="s">
        <v>7773</v>
      </c>
      <c r="BF382" t="str">
        <f>HYPERLINK("http://dx.doi.org/10.3389/fmars.2023.997014","http://dx.doi.org/10.3389/fmars.2023.997014")</f>
        <v>http://dx.doi.org/10.3389/fmars.2023.997014</v>
      </c>
      <c r="BG382" t="s">
        <v>74</v>
      </c>
      <c r="BH382" t="s">
        <v>74</v>
      </c>
      <c r="BI382">
        <v>15</v>
      </c>
      <c r="BJ382" t="s">
        <v>636</v>
      </c>
      <c r="BK382" t="s">
        <v>103</v>
      </c>
      <c r="BL382" t="s">
        <v>637</v>
      </c>
      <c r="BM382" t="s">
        <v>7774</v>
      </c>
      <c r="BN382" t="s">
        <v>74</v>
      </c>
      <c r="BO382" t="s">
        <v>614</v>
      </c>
      <c r="BP382" t="s">
        <v>74</v>
      </c>
      <c r="BQ382" t="s">
        <v>74</v>
      </c>
      <c r="BR382" t="s">
        <v>106</v>
      </c>
      <c r="BS382" t="s">
        <v>7775</v>
      </c>
      <c r="BT382" t="str">
        <f>HYPERLINK("https%3A%2F%2Fwww.webofscience.com%2Fwos%2Fwoscc%2Ffull-record%2FWOS:000961504500001","View Full Record in Web of Science")</f>
        <v>View Full Record in Web of Science</v>
      </c>
    </row>
    <row r="383" spans="1:72" x14ac:dyDescent="0.15">
      <c r="A383" t="s">
        <v>72</v>
      </c>
      <c r="B383" t="s">
        <v>7776</v>
      </c>
      <c r="C383" t="s">
        <v>74</v>
      </c>
      <c r="D383" t="s">
        <v>74</v>
      </c>
      <c r="E383" t="s">
        <v>74</v>
      </c>
      <c r="F383" t="s">
        <v>7777</v>
      </c>
      <c r="G383" t="s">
        <v>74</v>
      </c>
      <c r="H383" t="s">
        <v>74</v>
      </c>
      <c r="I383" t="s">
        <v>7778</v>
      </c>
      <c r="J383" t="s">
        <v>2080</v>
      </c>
      <c r="K383" t="s">
        <v>74</v>
      </c>
      <c r="L383" t="s">
        <v>74</v>
      </c>
      <c r="M383" t="s">
        <v>78</v>
      </c>
      <c r="N383" t="s">
        <v>112</v>
      </c>
      <c r="O383" t="s">
        <v>74</v>
      </c>
      <c r="P383" t="s">
        <v>74</v>
      </c>
      <c r="Q383" t="s">
        <v>74</v>
      </c>
      <c r="R383" t="s">
        <v>74</v>
      </c>
      <c r="S383" t="s">
        <v>74</v>
      </c>
      <c r="T383" t="s">
        <v>7779</v>
      </c>
      <c r="U383" t="s">
        <v>7780</v>
      </c>
      <c r="V383" t="s">
        <v>7781</v>
      </c>
      <c r="W383" t="s">
        <v>7782</v>
      </c>
      <c r="X383" t="s">
        <v>7783</v>
      </c>
      <c r="Y383" t="s">
        <v>7784</v>
      </c>
      <c r="Z383" t="s">
        <v>7785</v>
      </c>
      <c r="AA383" t="s">
        <v>7786</v>
      </c>
      <c r="AB383" t="s">
        <v>7787</v>
      </c>
      <c r="AC383" t="s">
        <v>7788</v>
      </c>
      <c r="AD383" t="s">
        <v>7789</v>
      </c>
      <c r="AE383" t="s">
        <v>7790</v>
      </c>
      <c r="AF383" t="s">
        <v>74</v>
      </c>
      <c r="AG383">
        <v>51</v>
      </c>
      <c r="AH383">
        <v>1</v>
      </c>
      <c r="AI383">
        <v>1</v>
      </c>
      <c r="AJ383">
        <v>1</v>
      </c>
      <c r="AK383">
        <v>3</v>
      </c>
      <c r="AL383" t="s">
        <v>2092</v>
      </c>
      <c r="AM383" t="s">
        <v>2093</v>
      </c>
      <c r="AN383" t="s">
        <v>2094</v>
      </c>
      <c r="AO383" t="s">
        <v>2095</v>
      </c>
      <c r="AP383" t="s">
        <v>2096</v>
      </c>
      <c r="AQ383" t="s">
        <v>74</v>
      </c>
      <c r="AR383" t="s">
        <v>2097</v>
      </c>
      <c r="AS383" t="s">
        <v>2098</v>
      </c>
      <c r="AT383" t="s">
        <v>972</v>
      </c>
      <c r="AU383">
        <v>2024</v>
      </c>
      <c r="AV383">
        <v>49</v>
      </c>
      <c r="AW383">
        <v>1</v>
      </c>
      <c r="AX383" t="s">
        <v>74</v>
      </c>
      <c r="AY383" t="s">
        <v>74</v>
      </c>
      <c r="AZ383" t="s">
        <v>74</v>
      </c>
      <c r="BA383" t="s">
        <v>74</v>
      </c>
      <c r="BB383" t="s">
        <v>74</v>
      </c>
      <c r="BC383" t="s">
        <v>74</v>
      </c>
      <c r="BD383" t="s">
        <v>74</v>
      </c>
      <c r="BE383" t="s">
        <v>7791</v>
      </c>
      <c r="BF383" t="str">
        <f>HYPERLINK("http://dx.doi.org/10.1111/aec.13298","http://dx.doi.org/10.1111/aec.13298")</f>
        <v>http://dx.doi.org/10.1111/aec.13298</v>
      </c>
      <c r="BG383" t="s">
        <v>74</v>
      </c>
      <c r="BH383" t="s">
        <v>6218</v>
      </c>
      <c r="BI383">
        <v>10</v>
      </c>
      <c r="BJ383" t="s">
        <v>2101</v>
      </c>
      <c r="BK383" t="s">
        <v>103</v>
      </c>
      <c r="BL383" t="s">
        <v>1164</v>
      </c>
      <c r="BM383" t="s">
        <v>7792</v>
      </c>
      <c r="BN383" t="s">
        <v>74</v>
      </c>
      <c r="BO383" t="s">
        <v>74</v>
      </c>
      <c r="BP383" t="s">
        <v>74</v>
      </c>
      <c r="BQ383" t="s">
        <v>74</v>
      </c>
      <c r="BR383" t="s">
        <v>106</v>
      </c>
      <c r="BS383" t="s">
        <v>7793</v>
      </c>
      <c r="BT383" t="str">
        <f>HYPERLINK("https%3A%2F%2Fwww.webofscience.com%2Fwos%2Fwoscc%2Ffull-record%2FWOS:000953351100001","View Full Record in Web of Science")</f>
        <v>View Full Record in Web of Science</v>
      </c>
    </row>
    <row r="384" spans="1:72" x14ac:dyDescent="0.15">
      <c r="A384" t="s">
        <v>72</v>
      </c>
      <c r="B384" t="s">
        <v>7794</v>
      </c>
      <c r="C384" t="s">
        <v>74</v>
      </c>
      <c r="D384" t="s">
        <v>74</v>
      </c>
      <c r="E384" t="s">
        <v>74</v>
      </c>
      <c r="F384" t="s">
        <v>7795</v>
      </c>
      <c r="G384" t="s">
        <v>74</v>
      </c>
      <c r="H384" t="s">
        <v>74</v>
      </c>
      <c r="I384" t="s">
        <v>7796</v>
      </c>
      <c r="J384" t="s">
        <v>2218</v>
      </c>
      <c r="K384" t="s">
        <v>74</v>
      </c>
      <c r="L384" t="s">
        <v>74</v>
      </c>
      <c r="M384" t="s">
        <v>78</v>
      </c>
      <c r="N384" t="s">
        <v>112</v>
      </c>
      <c r="O384" t="s">
        <v>74</v>
      </c>
      <c r="P384" t="s">
        <v>74</v>
      </c>
      <c r="Q384" t="s">
        <v>74</v>
      </c>
      <c r="R384" t="s">
        <v>74</v>
      </c>
      <c r="S384" t="s">
        <v>74</v>
      </c>
      <c r="T384" t="s">
        <v>74</v>
      </c>
      <c r="U384" t="s">
        <v>7797</v>
      </c>
      <c r="V384" t="s">
        <v>7798</v>
      </c>
      <c r="W384" t="s">
        <v>7799</v>
      </c>
      <c r="X384" t="s">
        <v>7800</v>
      </c>
      <c r="Y384" t="s">
        <v>7801</v>
      </c>
      <c r="Z384" t="s">
        <v>7802</v>
      </c>
      <c r="AA384" t="s">
        <v>7803</v>
      </c>
      <c r="AB384" t="s">
        <v>7804</v>
      </c>
      <c r="AC384" t="s">
        <v>7805</v>
      </c>
      <c r="AD384" t="s">
        <v>7806</v>
      </c>
      <c r="AE384" t="s">
        <v>7807</v>
      </c>
      <c r="AF384" t="s">
        <v>74</v>
      </c>
      <c r="AG384">
        <v>67</v>
      </c>
      <c r="AH384">
        <v>4</v>
      </c>
      <c r="AI384">
        <v>4</v>
      </c>
      <c r="AJ384">
        <v>3</v>
      </c>
      <c r="AK384">
        <v>9</v>
      </c>
      <c r="AL384" t="s">
        <v>2092</v>
      </c>
      <c r="AM384" t="s">
        <v>2093</v>
      </c>
      <c r="AN384" t="s">
        <v>2094</v>
      </c>
      <c r="AO384" t="s">
        <v>2230</v>
      </c>
      <c r="AP384" t="s">
        <v>74</v>
      </c>
      <c r="AQ384" t="s">
        <v>74</v>
      </c>
      <c r="AR384" t="s">
        <v>2231</v>
      </c>
      <c r="AS384" t="s">
        <v>2232</v>
      </c>
      <c r="AT384" t="s">
        <v>1437</v>
      </c>
      <c r="AU384">
        <v>2023</v>
      </c>
      <c r="AV384">
        <v>21</v>
      </c>
      <c r="AW384">
        <v>4</v>
      </c>
      <c r="AX384" t="s">
        <v>74</v>
      </c>
      <c r="AY384" t="s">
        <v>74</v>
      </c>
      <c r="AZ384" t="s">
        <v>74</v>
      </c>
      <c r="BA384" t="s">
        <v>74</v>
      </c>
      <c r="BB384">
        <v>220</v>
      </c>
      <c r="BC384">
        <v>241</v>
      </c>
      <c r="BD384" t="s">
        <v>74</v>
      </c>
      <c r="BE384" t="s">
        <v>7808</v>
      </c>
      <c r="BF384" t="str">
        <f>HYPERLINK("http://dx.doi.org/10.1002/lom3.10541","http://dx.doi.org/10.1002/lom3.10541")</f>
        <v>http://dx.doi.org/10.1002/lom3.10541</v>
      </c>
      <c r="BG384" t="s">
        <v>74</v>
      </c>
      <c r="BH384" t="s">
        <v>6218</v>
      </c>
      <c r="BI384">
        <v>22</v>
      </c>
      <c r="BJ384" t="s">
        <v>552</v>
      </c>
      <c r="BK384" t="s">
        <v>103</v>
      </c>
      <c r="BL384" t="s">
        <v>553</v>
      </c>
      <c r="BM384" t="s">
        <v>7809</v>
      </c>
      <c r="BN384" t="s">
        <v>74</v>
      </c>
      <c r="BO384" t="s">
        <v>387</v>
      </c>
      <c r="BP384" t="s">
        <v>74</v>
      </c>
      <c r="BQ384" t="s">
        <v>74</v>
      </c>
      <c r="BR384" t="s">
        <v>106</v>
      </c>
      <c r="BS384" t="s">
        <v>7810</v>
      </c>
      <c r="BT384" t="str">
        <f>HYPERLINK("https%3A%2F%2Fwww.webofscience.com%2Fwos%2Fwoscc%2Ffull-record%2FWOS:000950515900001","View Full Record in Web of Science")</f>
        <v>View Full Record in Web of Science</v>
      </c>
    </row>
    <row r="385" spans="1:72" x14ac:dyDescent="0.15">
      <c r="A385" t="s">
        <v>72</v>
      </c>
      <c r="B385" t="s">
        <v>7811</v>
      </c>
      <c r="C385" t="s">
        <v>74</v>
      </c>
      <c r="D385" t="s">
        <v>74</v>
      </c>
      <c r="E385" t="s">
        <v>74</v>
      </c>
      <c r="F385" t="s">
        <v>7812</v>
      </c>
      <c r="G385" t="s">
        <v>74</v>
      </c>
      <c r="H385" t="s">
        <v>74</v>
      </c>
      <c r="I385" t="s">
        <v>7813</v>
      </c>
      <c r="J385" t="s">
        <v>7814</v>
      </c>
      <c r="K385" t="s">
        <v>74</v>
      </c>
      <c r="L385" t="s">
        <v>74</v>
      </c>
      <c r="M385" t="s">
        <v>78</v>
      </c>
      <c r="N385" t="s">
        <v>112</v>
      </c>
      <c r="O385" t="s">
        <v>74</v>
      </c>
      <c r="P385" t="s">
        <v>74</v>
      </c>
      <c r="Q385" t="s">
        <v>74</v>
      </c>
      <c r="R385" t="s">
        <v>74</v>
      </c>
      <c r="S385" t="s">
        <v>74</v>
      </c>
      <c r="T385" t="s">
        <v>7815</v>
      </c>
      <c r="U385" t="s">
        <v>7816</v>
      </c>
      <c r="V385" t="s">
        <v>7817</v>
      </c>
      <c r="W385" t="s">
        <v>7818</v>
      </c>
      <c r="X385" t="s">
        <v>7819</v>
      </c>
      <c r="Y385" t="s">
        <v>7820</v>
      </c>
      <c r="Z385" t="s">
        <v>7821</v>
      </c>
      <c r="AA385" t="s">
        <v>74</v>
      </c>
      <c r="AB385" t="s">
        <v>74</v>
      </c>
      <c r="AC385" t="s">
        <v>7822</v>
      </c>
      <c r="AD385" t="s">
        <v>7823</v>
      </c>
      <c r="AE385" t="s">
        <v>7824</v>
      </c>
      <c r="AF385" t="s">
        <v>74</v>
      </c>
      <c r="AG385">
        <v>112</v>
      </c>
      <c r="AH385">
        <v>0</v>
      </c>
      <c r="AI385">
        <v>0</v>
      </c>
      <c r="AJ385">
        <v>1</v>
      </c>
      <c r="AK385">
        <v>9</v>
      </c>
      <c r="AL385" t="s">
        <v>2092</v>
      </c>
      <c r="AM385" t="s">
        <v>2093</v>
      </c>
      <c r="AN385" t="s">
        <v>2094</v>
      </c>
      <c r="AO385" t="s">
        <v>7825</v>
      </c>
      <c r="AP385" t="s">
        <v>7826</v>
      </c>
      <c r="AQ385" t="s">
        <v>74</v>
      </c>
      <c r="AR385" t="s">
        <v>7827</v>
      </c>
      <c r="AS385" t="s">
        <v>7828</v>
      </c>
      <c r="AT385" t="s">
        <v>98</v>
      </c>
      <c r="AU385">
        <v>2023</v>
      </c>
      <c r="AV385">
        <v>19</v>
      </c>
      <c r="AW385">
        <v>3</v>
      </c>
      <c r="AX385" t="s">
        <v>74</v>
      </c>
      <c r="AY385" t="s">
        <v>74</v>
      </c>
      <c r="AZ385" t="s">
        <v>74</v>
      </c>
      <c r="BA385" t="s">
        <v>74</v>
      </c>
      <c r="BB385">
        <v>663</v>
      </c>
      <c r="BC385">
        <v>675</v>
      </c>
      <c r="BD385" t="s">
        <v>74</v>
      </c>
      <c r="BE385" t="s">
        <v>7829</v>
      </c>
      <c r="BF385" t="str">
        <f>HYPERLINK("http://dx.doi.org/10.1002/ieam.4748","http://dx.doi.org/10.1002/ieam.4748")</f>
        <v>http://dx.doi.org/10.1002/ieam.4748</v>
      </c>
      <c r="BG385" t="s">
        <v>74</v>
      </c>
      <c r="BH385" t="s">
        <v>6218</v>
      </c>
      <c r="BI385">
        <v>13</v>
      </c>
      <c r="BJ385" t="s">
        <v>7830</v>
      </c>
      <c r="BK385" t="s">
        <v>103</v>
      </c>
      <c r="BL385" t="s">
        <v>7831</v>
      </c>
      <c r="BM385" t="s">
        <v>7832</v>
      </c>
      <c r="BN385">
        <v>36793140</v>
      </c>
      <c r="BO385" t="s">
        <v>74</v>
      </c>
      <c r="BP385" t="s">
        <v>74</v>
      </c>
      <c r="BQ385" t="s">
        <v>74</v>
      </c>
      <c r="BR385" t="s">
        <v>106</v>
      </c>
      <c r="BS385" t="s">
        <v>7833</v>
      </c>
      <c r="BT385" t="str">
        <f>HYPERLINK("https%3A%2F%2Fwww.webofscience.com%2Fwos%2Fwoscc%2Ffull-record%2FWOS:000950505600001","View Full Record in Web of Science")</f>
        <v>View Full Record in Web of Science</v>
      </c>
    </row>
    <row r="386" spans="1:72" x14ac:dyDescent="0.15">
      <c r="A386" t="s">
        <v>72</v>
      </c>
      <c r="B386" t="s">
        <v>7834</v>
      </c>
      <c r="C386" t="s">
        <v>74</v>
      </c>
      <c r="D386" t="s">
        <v>74</v>
      </c>
      <c r="E386" t="s">
        <v>74</v>
      </c>
      <c r="F386" t="s">
        <v>7835</v>
      </c>
      <c r="G386" t="s">
        <v>74</v>
      </c>
      <c r="H386" t="s">
        <v>74</v>
      </c>
      <c r="I386" t="s">
        <v>7836</v>
      </c>
      <c r="J386" t="s">
        <v>2461</v>
      </c>
      <c r="K386" t="s">
        <v>74</v>
      </c>
      <c r="L386" t="s">
        <v>74</v>
      </c>
      <c r="M386" t="s">
        <v>78</v>
      </c>
      <c r="N386" t="s">
        <v>112</v>
      </c>
      <c r="O386" t="s">
        <v>74</v>
      </c>
      <c r="P386" t="s">
        <v>74</v>
      </c>
      <c r="Q386" t="s">
        <v>74</v>
      </c>
      <c r="R386" t="s">
        <v>74</v>
      </c>
      <c r="S386" t="s">
        <v>74</v>
      </c>
      <c r="T386" t="s">
        <v>74</v>
      </c>
      <c r="U386" t="s">
        <v>7837</v>
      </c>
      <c r="V386" t="s">
        <v>7838</v>
      </c>
      <c r="W386" t="s">
        <v>7839</v>
      </c>
      <c r="X386" t="s">
        <v>7840</v>
      </c>
      <c r="Y386" t="s">
        <v>7841</v>
      </c>
      <c r="Z386" t="s">
        <v>7842</v>
      </c>
      <c r="AA386" t="s">
        <v>7843</v>
      </c>
      <c r="AB386" t="s">
        <v>7844</v>
      </c>
      <c r="AC386" t="s">
        <v>7845</v>
      </c>
      <c r="AD386" t="s">
        <v>7846</v>
      </c>
      <c r="AE386" t="s">
        <v>7847</v>
      </c>
      <c r="AF386" t="s">
        <v>74</v>
      </c>
      <c r="AG386">
        <v>83</v>
      </c>
      <c r="AH386">
        <v>1</v>
      </c>
      <c r="AI386">
        <v>1</v>
      </c>
      <c r="AJ386">
        <v>4</v>
      </c>
      <c r="AK386">
        <v>8</v>
      </c>
      <c r="AL386" t="s">
        <v>1357</v>
      </c>
      <c r="AM386" t="s">
        <v>525</v>
      </c>
      <c r="AN386" t="s">
        <v>1358</v>
      </c>
      <c r="AO386" t="s">
        <v>74</v>
      </c>
      <c r="AP386" t="s">
        <v>2470</v>
      </c>
      <c r="AQ386" t="s">
        <v>74</v>
      </c>
      <c r="AR386" t="s">
        <v>2471</v>
      </c>
      <c r="AS386" t="s">
        <v>2472</v>
      </c>
      <c r="AT386" t="s">
        <v>7848</v>
      </c>
      <c r="AU386">
        <v>2023</v>
      </c>
      <c r="AV386">
        <v>4</v>
      </c>
      <c r="AW386">
        <v>1</v>
      </c>
      <c r="AX386" t="s">
        <v>74</v>
      </c>
      <c r="AY386" t="s">
        <v>74</v>
      </c>
      <c r="AZ386" t="s">
        <v>74</v>
      </c>
      <c r="BA386" t="s">
        <v>74</v>
      </c>
      <c r="BB386" t="s">
        <v>74</v>
      </c>
      <c r="BC386" t="s">
        <v>74</v>
      </c>
      <c r="BD386">
        <v>77</v>
      </c>
      <c r="BE386" t="s">
        <v>7849</v>
      </c>
      <c r="BF386" t="str">
        <f>HYPERLINK("http://dx.doi.org/10.1038/s43247-023-00739-z","http://dx.doi.org/10.1038/s43247-023-00739-z")</f>
        <v>http://dx.doi.org/10.1038/s43247-023-00739-z</v>
      </c>
      <c r="BG386" t="s">
        <v>74</v>
      </c>
      <c r="BH386" t="s">
        <v>74</v>
      </c>
      <c r="BI386">
        <v>11</v>
      </c>
      <c r="BJ386" t="s">
        <v>2474</v>
      </c>
      <c r="BK386" t="s">
        <v>103</v>
      </c>
      <c r="BL386" t="s">
        <v>2475</v>
      </c>
      <c r="BM386" t="s">
        <v>7850</v>
      </c>
      <c r="BN386" t="s">
        <v>74</v>
      </c>
      <c r="BO386" t="s">
        <v>2600</v>
      </c>
      <c r="BP386" t="s">
        <v>74</v>
      </c>
      <c r="BQ386" t="s">
        <v>74</v>
      </c>
      <c r="BR386" t="s">
        <v>106</v>
      </c>
      <c r="BS386" t="s">
        <v>7851</v>
      </c>
      <c r="BT386" t="str">
        <f>HYPERLINK("https%3A%2F%2Fwww.webofscience.com%2Fwos%2Fwoscc%2Ffull-record%2FWOS:000952023600001","View Full Record in Web of Science")</f>
        <v>View Full Record in Web of Science</v>
      </c>
    </row>
    <row r="387" spans="1:72" x14ac:dyDescent="0.15">
      <c r="A387" t="s">
        <v>72</v>
      </c>
      <c r="B387" t="s">
        <v>7852</v>
      </c>
      <c r="C387" t="s">
        <v>74</v>
      </c>
      <c r="D387" t="s">
        <v>74</v>
      </c>
      <c r="E387" t="s">
        <v>74</v>
      </c>
      <c r="F387" t="s">
        <v>7853</v>
      </c>
      <c r="G387" t="s">
        <v>74</v>
      </c>
      <c r="H387" t="s">
        <v>74</v>
      </c>
      <c r="I387" t="s">
        <v>7854</v>
      </c>
      <c r="J387" t="s">
        <v>435</v>
      </c>
      <c r="K387" t="s">
        <v>74</v>
      </c>
      <c r="L387" t="s">
        <v>74</v>
      </c>
      <c r="M387" t="s">
        <v>78</v>
      </c>
      <c r="N387" t="s">
        <v>112</v>
      </c>
      <c r="O387" t="s">
        <v>74</v>
      </c>
      <c r="P387" t="s">
        <v>74</v>
      </c>
      <c r="Q387" t="s">
        <v>74</v>
      </c>
      <c r="R387" t="s">
        <v>74</v>
      </c>
      <c r="S387" t="s">
        <v>74</v>
      </c>
      <c r="T387" t="s">
        <v>7855</v>
      </c>
      <c r="U387" t="s">
        <v>7856</v>
      </c>
      <c r="V387" t="s">
        <v>7857</v>
      </c>
      <c r="W387" t="s">
        <v>7858</v>
      </c>
      <c r="X387" t="s">
        <v>7859</v>
      </c>
      <c r="Y387" t="s">
        <v>7860</v>
      </c>
      <c r="Z387" t="s">
        <v>7861</v>
      </c>
      <c r="AA387" t="s">
        <v>7862</v>
      </c>
      <c r="AB387" t="s">
        <v>7863</v>
      </c>
      <c r="AC387" t="s">
        <v>7864</v>
      </c>
      <c r="AD387" t="s">
        <v>7865</v>
      </c>
      <c r="AE387" t="s">
        <v>7866</v>
      </c>
      <c r="AF387" t="s">
        <v>74</v>
      </c>
      <c r="AG387">
        <v>107</v>
      </c>
      <c r="AH387">
        <v>1</v>
      </c>
      <c r="AI387">
        <v>1</v>
      </c>
      <c r="AJ387">
        <v>5</v>
      </c>
      <c r="AK387">
        <v>8</v>
      </c>
      <c r="AL387" t="s">
        <v>447</v>
      </c>
      <c r="AM387" t="s">
        <v>448</v>
      </c>
      <c r="AN387" t="s">
        <v>449</v>
      </c>
      <c r="AO387" t="s">
        <v>450</v>
      </c>
      <c r="AP387" t="s">
        <v>451</v>
      </c>
      <c r="AQ387" t="s">
        <v>74</v>
      </c>
      <c r="AR387" t="s">
        <v>452</v>
      </c>
      <c r="AS387" t="s">
        <v>453</v>
      </c>
      <c r="AT387" t="s">
        <v>131</v>
      </c>
      <c r="AU387">
        <v>2023</v>
      </c>
      <c r="AV387">
        <v>617</v>
      </c>
      <c r="AW387" t="s">
        <v>74</v>
      </c>
      <c r="AX387" t="s">
        <v>74</v>
      </c>
      <c r="AY387" t="s">
        <v>74</v>
      </c>
      <c r="AZ387" t="s">
        <v>74</v>
      </c>
      <c r="BA387" t="s">
        <v>74</v>
      </c>
      <c r="BB387" t="s">
        <v>74</v>
      </c>
      <c r="BC387" t="s">
        <v>74</v>
      </c>
      <c r="BD387">
        <v>111509</v>
      </c>
      <c r="BE387" t="s">
        <v>7867</v>
      </c>
      <c r="BF387" t="str">
        <f>HYPERLINK("http://dx.doi.org/10.1016/j.palaeo.2023.111509","http://dx.doi.org/10.1016/j.palaeo.2023.111509")</f>
        <v>http://dx.doi.org/10.1016/j.palaeo.2023.111509</v>
      </c>
      <c r="BG387" t="s">
        <v>74</v>
      </c>
      <c r="BH387" t="s">
        <v>6218</v>
      </c>
      <c r="BI387">
        <v>16</v>
      </c>
      <c r="BJ387" t="s">
        <v>456</v>
      </c>
      <c r="BK387" t="s">
        <v>103</v>
      </c>
      <c r="BL387" t="s">
        <v>457</v>
      </c>
      <c r="BM387" t="s">
        <v>7868</v>
      </c>
      <c r="BN387" t="s">
        <v>74</v>
      </c>
      <c r="BO387" t="s">
        <v>387</v>
      </c>
      <c r="BP387" t="s">
        <v>74</v>
      </c>
      <c r="BQ387" t="s">
        <v>74</v>
      </c>
      <c r="BR387" t="s">
        <v>106</v>
      </c>
      <c r="BS387" t="s">
        <v>7869</v>
      </c>
      <c r="BT387" t="str">
        <f>HYPERLINK("https%3A%2F%2Fwww.webofscience.com%2Fwos%2Fwoscc%2Ffull-record%2FWOS:001030366500001","View Full Record in Web of Science")</f>
        <v>View Full Record in Web of Science</v>
      </c>
    </row>
    <row r="388" spans="1:72" x14ac:dyDescent="0.15">
      <c r="A388" t="s">
        <v>72</v>
      </c>
      <c r="B388" t="s">
        <v>7870</v>
      </c>
      <c r="C388" t="s">
        <v>74</v>
      </c>
      <c r="D388" t="s">
        <v>74</v>
      </c>
      <c r="E388" t="s">
        <v>74</v>
      </c>
      <c r="F388" t="s">
        <v>7871</v>
      </c>
      <c r="G388" t="s">
        <v>74</v>
      </c>
      <c r="H388" t="s">
        <v>74</v>
      </c>
      <c r="I388" t="s">
        <v>7872</v>
      </c>
      <c r="J388" t="s">
        <v>869</v>
      </c>
      <c r="K388" t="s">
        <v>74</v>
      </c>
      <c r="L388" t="s">
        <v>74</v>
      </c>
      <c r="M388" t="s">
        <v>78</v>
      </c>
      <c r="N388" t="s">
        <v>112</v>
      </c>
      <c r="O388" t="s">
        <v>74</v>
      </c>
      <c r="P388" t="s">
        <v>74</v>
      </c>
      <c r="Q388" t="s">
        <v>74</v>
      </c>
      <c r="R388" t="s">
        <v>74</v>
      </c>
      <c r="S388" t="s">
        <v>74</v>
      </c>
      <c r="T388" t="s">
        <v>7873</v>
      </c>
      <c r="U388" t="s">
        <v>7874</v>
      </c>
      <c r="V388" t="s">
        <v>7875</v>
      </c>
      <c r="W388" t="s">
        <v>7876</v>
      </c>
      <c r="X388" t="s">
        <v>7877</v>
      </c>
      <c r="Y388" t="s">
        <v>7878</v>
      </c>
      <c r="Z388" t="s">
        <v>7879</v>
      </c>
      <c r="AA388" t="s">
        <v>7880</v>
      </c>
      <c r="AB388" t="s">
        <v>7881</v>
      </c>
      <c r="AC388" t="s">
        <v>7882</v>
      </c>
      <c r="AD388" t="s">
        <v>7883</v>
      </c>
      <c r="AE388" t="s">
        <v>7884</v>
      </c>
      <c r="AF388" t="s">
        <v>74</v>
      </c>
      <c r="AG388">
        <v>80</v>
      </c>
      <c r="AH388">
        <v>0</v>
      </c>
      <c r="AI388">
        <v>0</v>
      </c>
      <c r="AJ388">
        <v>9</v>
      </c>
      <c r="AK388">
        <v>9</v>
      </c>
      <c r="AL388" t="s">
        <v>305</v>
      </c>
      <c r="AM388" t="s">
        <v>306</v>
      </c>
      <c r="AN388" t="s">
        <v>307</v>
      </c>
      <c r="AO388" t="s">
        <v>882</v>
      </c>
      <c r="AP388" t="s">
        <v>883</v>
      </c>
      <c r="AQ388" t="s">
        <v>74</v>
      </c>
      <c r="AR388" t="s">
        <v>884</v>
      </c>
      <c r="AS388" t="s">
        <v>885</v>
      </c>
      <c r="AT388" t="s">
        <v>7848</v>
      </c>
      <c r="AU388">
        <v>2023</v>
      </c>
      <c r="AV388">
        <v>128</v>
      </c>
      <c r="AW388">
        <v>5</v>
      </c>
      <c r="AX388" t="s">
        <v>74</v>
      </c>
      <c r="AY388" t="s">
        <v>74</v>
      </c>
      <c r="AZ388" t="s">
        <v>74</v>
      </c>
      <c r="BA388" t="s">
        <v>74</v>
      </c>
      <c r="BB388" t="s">
        <v>74</v>
      </c>
      <c r="BC388" t="s">
        <v>74</v>
      </c>
      <c r="BD388" t="s">
        <v>7885</v>
      </c>
      <c r="BE388" t="s">
        <v>7886</v>
      </c>
      <c r="BF388" t="str">
        <f>HYPERLINK("http://dx.doi.org/10.1029/2022JD037276","http://dx.doi.org/10.1029/2022JD037276")</f>
        <v>http://dx.doi.org/10.1029/2022JD037276</v>
      </c>
      <c r="BG388" t="s">
        <v>74</v>
      </c>
      <c r="BH388" t="s">
        <v>74</v>
      </c>
      <c r="BI388">
        <v>32</v>
      </c>
      <c r="BJ388" t="s">
        <v>102</v>
      </c>
      <c r="BK388" t="s">
        <v>103</v>
      </c>
      <c r="BL388" t="s">
        <v>102</v>
      </c>
      <c r="BM388" t="s">
        <v>7887</v>
      </c>
      <c r="BN388" t="s">
        <v>74</v>
      </c>
      <c r="BO388" t="s">
        <v>315</v>
      </c>
      <c r="BP388" t="s">
        <v>74</v>
      </c>
      <c r="BQ388" t="s">
        <v>74</v>
      </c>
      <c r="BR388" t="s">
        <v>106</v>
      </c>
      <c r="BS388" t="s">
        <v>7888</v>
      </c>
      <c r="BT388" t="str">
        <f>HYPERLINK("https%3A%2F%2Fwww.webofscience.com%2Fwos%2Fwoscc%2Ffull-record%2FWOS:000949144500001","View Full Record in Web of Science")</f>
        <v>View Full Record in Web of Science</v>
      </c>
    </row>
    <row r="389" spans="1:72" x14ac:dyDescent="0.15">
      <c r="A389" t="s">
        <v>72</v>
      </c>
      <c r="B389" t="s">
        <v>7889</v>
      </c>
      <c r="C389" t="s">
        <v>74</v>
      </c>
      <c r="D389" t="s">
        <v>74</v>
      </c>
      <c r="E389" t="s">
        <v>74</v>
      </c>
      <c r="F389" t="s">
        <v>7890</v>
      </c>
      <c r="G389" t="s">
        <v>74</v>
      </c>
      <c r="H389" t="s">
        <v>74</v>
      </c>
      <c r="I389" t="s">
        <v>7891</v>
      </c>
      <c r="J389" t="s">
        <v>869</v>
      </c>
      <c r="K389" t="s">
        <v>74</v>
      </c>
      <c r="L389" t="s">
        <v>74</v>
      </c>
      <c r="M389" t="s">
        <v>78</v>
      </c>
      <c r="N389" t="s">
        <v>112</v>
      </c>
      <c r="O389" t="s">
        <v>74</v>
      </c>
      <c r="P389" t="s">
        <v>74</v>
      </c>
      <c r="Q389" t="s">
        <v>74</v>
      </c>
      <c r="R389" t="s">
        <v>74</v>
      </c>
      <c r="S389" t="s">
        <v>74</v>
      </c>
      <c r="T389" t="s">
        <v>7892</v>
      </c>
      <c r="U389" t="s">
        <v>7893</v>
      </c>
      <c r="V389" t="s">
        <v>7894</v>
      </c>
      <c r="W389" t="s">
        <v>7895</v>
      </c>
      <c r="X389" t="s">
        <v>7896</v>
      </c>
      <c r="Y389" t="s">
        <v>7897</v>
      </c>
      <c r="Z389" t="s">
        <v>7898</v>
      </c>
      <c r="AA389" t="s">
        <v>74</v>
      </c>
      <c r="AB389" t="s">
        <v>74</v>
      </c>
      <c r="AC389" t="s">
        <v>7899</v>
      </c>
      <c r="AD389" t="s">
        <v>7900</v>
      </c>
      <c r="AE389" t="s">
        <v>7901</v>
      </c>
      <c r="AF389" t="s">
        <v>74</v>
      </c>
      <c r="AG389">
        <v>57</v>
      </c>
      <c r="AH389">
        <v>1</v>
      </c>
      <c r="AI389">
        <v>1</v>
      </c>
      <c r="AJ389">
        <v>0</v>
      </c>
      <c r="AK389">
        <v>1</v>
      </c>
      <c r="AL389" t="s">
        <v>305</v>
      </c>
      <c r="AM389" t="s">
        <v>306</v>
      </c>
      <c r="AN389" t="s">
        <v>307</v>
      </c>
      <c r="AO389" t="s">
        <v>882</v>
      </c>
      <c r="AP389" t="s">
        <v>883</v>
      </c>
      <c r="AQ389" t="s">
        <v>74</v>
      </c>
      <c r="AR389" t="s">
        <v>884</v>
      </c>
      <c r="AS389" t="s">
        <v>885</v>
      </c>
      <c r="AT389" t="s">
        <v>7848</v>
      </c>
      <c r="AU389">
        <v>2023</v>
      </c>
      <c r="AV389">
        <v>128</v>
      </c>
      <c r="AW389">
        <v>5</v>
      </c>
      <c r="AX389" t="s">
        <v>74</v>
      </c>
      <c r="AY389" t="s">
        <v>74</v>
      </c>
      <c r="AZ389" t="s">
        <v>74</v>
      </c>
      <c r="BA389" t="s">
        <v>74</v>
      </c>
      <c r="BB389" t="s">
        <v>74</v>
      </c>
      <c r="BC389" t="s">
        <v>74</v>
      </c>
      <c r="BD389" t="s">
        <v>7902</v>
      </c>
      <c r="BE389" t="s">
        <v>7903</v>
      </c>
      <c r="BF389" t="str">
        <f>HYPERLINK("http://dx.doi.org/10.1029/2022JD036866","http://dx.doi.org/10.1029/2022JD036866")</f>
        <v>http://dx.doi.org/10.1029/2022JD036866</v>
      </c>
      <c r="BG389" t="s">
        <v>74</v>
      </c>
      <c r="BH389" t="s">
        <v>74</v>
      </c>
      <c r="BI389">
        <v>20</v>
      </c>
      <c r="BJ389" t="s">
        <v>102</v>
      </c>
      <c r="BK389" t="s">
        <v>103</v>
      </c>
      <c r="BL389" t="s">
        <v>102</v>
      </c>
      <c r="BM389" t="s">
        <v>7904</v>
      </c>
      <c r="BN389" t="s">
        <v>74</v>
      </c>
      <c r="BO389" t="s">
        <v>387</v>
      </c>
      <c r="BP389" t="s">
        <v>74</v>
      </c>
      <c r="BQ389" t="s">
        <v>74</v>
      </c>
      <c r="BR389" t="s">
        <v>106</v>
      </c>
      <c r="BS389" t="s">
        <v>7905</v>
      </c>
      <c r="BT389" t="str">
        <f>HYPERLINK("https%3A%2F%2Fwww.webofscience.com%2Fwos%2Fwoscc%2Ffull-record%2FWOS:000943097100001","View Full Record in Web of Science")</f>
        <v>View Full Record in Web of Science</v>
      </c>
    </row>
    <row r="390" spans="1:72" x14ac:dyDescent="0.15">
      <c r="A390" t="s">
        <v>72</v>
      </c>
      <c r="B390" t="s">
        <v>7906</v>
      </c>
      <c r="C390" t="s">
        <v>74</v>
      </c>
      <c r="D390" t="s">
        <v>74</v>
      </c>
      <c r="E390" t="s">
        <v>74</v>
      </c>
      <c r="F390" t="s">
        <v>7907</v>
      </c>
      <c r="G390" t="s">
        <v>74</v>
      </c>
      <c r="H390" t="s">
        <v>74</v>
      </c>
      <c r="I390" t="s">
        <v>7908</v>
      </c>
      <c r="J390" t="s">
        <v>869</v>
      </c>
      <c r="K390" t="s">
        <v>74</v>
      </c>
      <c r="L390" t="s">
        <v>74</v>
      </c>
      <c r="M390" t="s">
        <v>78</v>
      </c>
      <c r="N390" t="s">
        <v>112</v>
      </c>
      <c r="O390" t="s">
        <v>74</v>
      </c>
      <c r="P390" t="s">
        <v>74</v>
      </c>
      <c r="Q390" t="s">
        <v>74</v>
      </c>
      <c r="R390" t="s">
        <v>74</v>
      </c>
      <c r="S390" t="s">
        <v>74</v>
      </c>
      <c r="T390" t="s">
        <v>7909</v>
      </c>
      <c r="U390" t="s">
        <v>7910</v>
      </c>
      <c r="V390" t="s">
        <v>7911</v>
      </c>
      <c r="W390" t="s">
        <v>7912</v>
      </c>
      <c r="X390" t="s">
        <v>7913</v>
      </c>
      <c r="Y390" t="s">
        <v>7914</v>
      </c>
      <c r="Z390" t="s">
        <v>7915</v>
      </c>
      <c r="AA390" t="s">
        <v>7916</v>
      </c>
      <c r="AB390" t="s">
        <v>7917</v>
      </c>
      <c r="AC390" t="s">
        <v>7918</v>
      </c>
      <c r="AD390" t="s">
        <v>7919</v>
      </c>
      <c r="AE390" t="s">
        <v>7920</v>
      </c>
      <c r="AF390" t="s">
        <v>74</v>
      </c>
      <c r="AG390">
        <v>44</v>
      </c>
      <c r="AH390">
        <v>0</v>
      </c>
      <c r="AI390">
        <v>0</v>
      </c>
      <c r="AJ390">
        <v>0</v>
      </c>
      <c r="AK390">
        <v>0</v>
      </c>
      <c r="AL390" t="s">
        <v>305</v>
      </c>
      <c r="AM390" t="s">
        <v>306</v>
      </c>
      <c r="AN390" t="s">
        <v>307</v>
      </c>
      <c r="AO390" t="s">
        <v>882</v>
      </c>
      <c r="AP390" t="s">
        <v>883</v>
      </c>
      <c r="AQ390" t="s">
        <v>74</v>
      </c>
      <c r="AR390" t="s">
        <v>884</v>
      </c>
      <c r="AS390" t="s">
        <v>885</v>
      </c>
      <c r="AT390" t="s">
        <v>7848</v>
      </c>
      <c r="AU390">
        <v>2023</v>
      </c>
      <c r="AV390">
        <v>128</v>
      </c>
      <c r="AW390">
        <v>5</v>
      </c>
      <c r="AX390" t="s">
        <v>74</v>
      </c>
      <c r="AY390" t="s">
        <v>74</v>
      </c>
      <c r="AZ390" t="s">
        <v>74</v>
      </c>
      <c r="BA390" t="s">
        <v>74</v>
      </c>
      <c r="BB390" t="s">
        <v>74</v>
      </c>
      <c r="BC390" t="s">
        <v>74</v>
      </c>
      <c r="BD390" t="s">
        <v>7921</v>
      </c>
      <c r="BE390" t="s">
        <v>7922</v>
      </c>
      <c r="BF390" t="str">
        <f>HYPERLINK("http://dx.doi.org/10.1029/2021JD035732","http://dx.doi.org/10.1029/2021JD035732")</f>
        <v>http://dx.doi.org/10.1029/2021JD035732</v>
      </c>
      <c r="BG390" t="s">
        <v>74</v>
      </c>
      <c r="BH390" t="s">
        <v>74</v>
      </c>
      <c r="BI390">
        <v>17</v>
      </c>
      <c r="BJ390" t="s">
        <v>102</v>
      </c>
      <c r="BK390" t="s">
        <v>103</v>
      </c>
      <c r="BL390" t="s">
        <v>102</v>
      </c>
      <c r="BM390" t="s">
        <v>7923</v>
      </c>
      <c r="BN390" t="s">
        <v>74</v>
      </c>
      <c r="BO390" t="s">
        <v>74</v>
      </c>
      <c r="BP390" t="s">
        <v>74</v>
      </c>
      <c r="BQ390" t="s">
        <v>74</v>
      </c>
      <c r="BR390" t="s">
        <v>106</v>
      </c>
      <c r="BS390" t="s">
        <v>7924</v>
      </c>
      <c r="BT390" t="str">
        <f>HYPERLINK("https%3A%2F%2Fwww.webofscience.com%2Fwos%2Fwoscc%2Ffull-record%2FWOS:000943862800001","View Full Record in Web of Science")</f>
        <v>View Full Record in Web of Science</v>
      </c>
    </row>
    <row r="391" spans="1:72" x14ac:dyDescent="0.15">
      <c r="A391" t="s">
        <v>72</v>
      </c>
      <c r="B391" t="s">
        <v>7925</v>
      </c>
      <c r="C391" t="s">
        <v>74</v>
      </c>
      <c r="D391" t="s">
        <v>74</v>
      </c>
      <c r="E391" t="s">
        <v>74</v>
      </c>
      <c r="F391" t="s">
        <v>7926</v>
      </c>
      <c r="G391" t="s">
        <v>74</v>
      </c>
      <c r="H391" t="s">
        <v>74</v>
      </c>
      <c r="I391" t="s">
        <v>7927</v>
      </c>
      <c r="J391" t="s">
        <v>7928</v>
      </c>
      <c r="K391" t="s">
        <v>74</v>
      </c>
      <c r="L391" t="s">
        <v>74</v>
      </c>
      <c r="M391" t="s">
        <v>78</v>
      </c>
      <c r="N391" t="s">
        <v>112</v>
      </c>
      <c r="O391" t="s">
        <v>74</v>
      </c>
      <c r="P391" t="s">
        <v>74</v>
      </c>
      <c r="Q391" t="s">
        <v>74</v>
      </c>
      <c r="R391" t="s">
        <v>74</v>
      </c>
      <c r="S391" t="s">
        <v>74</v>
      </c>
      <c r="T391" t="s">
        <v>7929</v>
      </c>
      <c r="U391" t="s">
        <v>7930</v>
      </c>
      <c r="V391" t="s">
        <v>7931</v>
      </c>
      <c r="W391" t="s">
        <v>7932</v>
      </c>
      <c r="X391" t="s">
        <v>7933</v>
      </c>
      <c r="Y391" t="s">
        <v>7934</v>
      </c>
      <c r="Z391" t="s">
        <v>7935</v>
      </c>
      <c r="AA391" t="s">
        <v>74</v>
      </c>
      <c r="AB391" t="s">
        <v>74</v>
      </c>
      <c r="AC391" t="s">
        <v>7936</v>
      </c>
      <c r="AD391" t="s">
        <v>7936</v>
      </c>
      <c r="AE391" t="s">
        <v>7937</v>
      </c>
      <c r="AF391" t="s">
        <v>74</v>
      </c>
      <c r="AG391">
        <v>41</v>
      </c>
      <c r="AH391">
        <v>0</v>
      </c>
      <c r="AI391">
        <v>0</v>
      </c>
      <c r="AJ391">
        <v>0</v>
      </c>
      <c r="AK391">
        <v>0</v>
      </c>
      <c r="AL391" t="s">
        <v>7938</v>
      </c>
      <c r="AM391" t="s">
        <v>7939</v>
      </c>
      <c r="AN391" t="s">
        <v>7940</v>
      </c>
      <c r="AO391" t="s">
        <v>7941</v>
      </c>
      <c r="AP391" t="s">
        <v>7942</v>
      </c>
      <c r="AQ391" t="s">
        <v>74</v>
      </c>
      <c r="AR391" t="s">
        <v>7943</v>
      </c>
      <c r="AS391" t="s">
        <v>7944</v>
      </c>
      <c r="AT391" t="s">
        <v>7848</v>
      </c>
      <c r="AU391">
        <v>2023</v>
      </c>
      <c r="AV391">
        <v>19</v>
      </c>
      <c r="AW391" t="s">
        <v>7945</v>
      </c>
      <c r="AX391" t="s">
        <v>74</v>
      </c>
      <c r="AY391" t="s">
        <v>74</v>
      </c>
      <c r="AZ391" t="s">
        <v>74</v>
      </c>
      <c r="BA391" t="s">
        <v>74</v>
      </c>
      <c r="BB391">
        <v>154</v>
      </c>
      <c r="BC391">
        <v>164</v>
      </c>
      <c r="BD391" t="s">
        <v>74</v>
      </c>
      <c r="BE391" t="s">
        <v>7946</v>
      </c>
      <c r="BF391" t="str">
        <f>HYPERLINK("http://dx.doi.org/10.1080/17451000.2023.2205149","http://dx.doi.org/10.1080/17451000.2023.2205149")</f>
        <v>http://dx.doi.org/10.1080/17451000.2023.2205149</v>
      </c>
      <c r="BG391" t="s">
        <v>74</v>
      </c>
      <c r="BH391" t="s">
        <v>6218</v>
      </c>
      <c r="BI391">
        <v>11</v>
      </c>
      <c r="BJ391" t="s">
        <v>7947</v>
      </c>
      <c r="BK391" t="s">
        <v>103</v>
      </c>
      <c r="BL391" t="s">
        <v>637</v>
      </c>
      <c r="BM391" t="s">
        <v>7948</v>
      </c>
      <c r="BN391" t="s">
        <v>74</v>
      </c>
      <c r="BO391" t="s">
        <v>74</v>
      </c>
      <c r="BP391" t="s">
        <v>74</v>
      </c>
      <c r="BQ391" t="s">
        <v>74</v>
      </c>
      <c r="BR391" t="s">
        <v>106</v>
      </c>
      <c r="BS391" t="s">
        <v>7949</v>
      </c>
      <c r="BT391" t="str">
        <f>HYPERLINK("https%3A%2F%2Fwww.webofscience.com%2Fwos%2Fwoscc%2Ffull-record%2FWOS:000993473200001","View Full Record in Web of Science")</f>
        <v>View Full Record in Web of Science</v>
      </c>
    </row>
    <row r="392" spans="1:72" x14ac:dyDescent="0.15">
      <c r="A392" t="s">
        <v>72</v>
      </c>
      <c r="B392" t="s">
        <v>7950</v>
      </c>
      <c r="C392" t="s">
        <v>74</v>
      </c>
      <c r="D392" t="s">
        <v>74</v>
      </c>
      <c r="E392" t="s">
        <v>74</v>
      </c>
      <c r="F392" t="s">
        <v>7951</v>
      </c>
      <c r="G392" t="s">
        <v>74</v>
      </c>
      <c r="H392" t="s">
        <v>74</v>
      </c>
      <c r="I392" t="s">
        <v>7952</v>
      </c>
      <c r="J392" t="s">
        <v>2563</v>
      </c>
      <c r="K392" t="s">
        <v>74</v>
      </c>
      <c r="L392" t="s">
        <v>74</v>
      </c>
      <c r="M392" t="s">
        <v>78</v>
      </c>
      <c r="N392" t="s">
        <v>112</v>
      </c>
      <c r="O392" t="s">
        <v>74</v>
      </c>
      <c r="P392" t="s">
        <v>74</v>
      </c>
      <c r="Q392" t="s">
        <v>74</v>
      </c>
      <c r="R392" t="s">
        <v>74</v>
      </c>
      <c r="S392" t="s">
        <v>74</v>
      </c>
      <c r="T392" t="s">
        <v>7953</v>
      </c>
      <c r="U392" t="s">
        <v>7954</v>
      </c>
      <c r="V392" t="s">
        <v>7955</v>
      </c>
      <c r="W392" t="s">
        <v>7956</v>
      </c>
      <c r="X392" t="s">
        <v>74</v>
      </c>
      <c r="Y392" t="s">
        <v>7957</v>
      </c>
      <c r="Z392" t="s">
        <v>7958</v>
      </c>
      <c r="AA392" t="s">
        <v>74</v>
      </c>
      <c r="AB392" t="s">
        <v>7959</v>
      </c>
      <c r="AC392" t="s">
        <v>7960</v>
      </c>
      <c r="AD392" t="s">
        <v>7961</v>
      </c>
      <c r="AE392" t="s">
        <v>7962</v>
      </c>
      <c r="AF392" t="s">
        <v>74</v>
      </c>
      <c r="AG392">
        <v>90</v>
      </c>
      <c r="AH392">
        <v>1</v>
      </c>
      <c r="AI392">
        <v>1</v>
      </c>
      <c r="AJ392">
        <v>1</v>
      </c>
      <c r="AK392">
        <v>4</v>
      </c>
      <c r="AL392" t="s">
        <v>2575</v>
      </c>
      <c r="AM392" t="s">
        <v>2576</v>
      </c>
      <c r="AN392" t="s">
        <v>2577</v>
      </c>
      <c r="AO392" t="s">
        <v>2578</v>
      </c>
      <c r="AP392" t="s">
        <v>2579</v>
      </c>
      <c r="AQ392" t="s">
        <v>74</v>
      </c>
      <c r="AR392" t="s">
        <v>2563</v>
      </c>
      <c r="AS392" t="s">
        <v>2580</v>
      </c>
      <c r="AT392" t="s">
        <v>7848</v>
      </c>
      <c r="AU392">
        <v>2023</v>
      </c>
      <c r="AV392">
        <v>5256</v>
      </c>
      <c r="AW392">
        <v>1</v>
      </c>
      <c r="AX392" t="s">
        <v>74</v>
      </c>
      <c r="AY392" t="s">
        <v>74</v>
      </c>
      <c r="AZ392" t="s">
        <v>74</v>
      </c>
      <c r="BA392" t="s">
        <v>74</v>
      </c>
      <c r="BB392">
        <v>43</v>
      </c>
      <c r="BC392">
        <v>62</v>
      </c>
      <c r="BD392" t="s">
        <v>74</v>
      </c>
      <c r="BE392" t="s">
        <v>7963</v>
      </c>
      <c r="BF392" t="str">
        <f>HYPERLINK("http://dx.doi.org/10.11646/zootaxa.5256.1.3","http://dx.doi.org/10.11646/zootaxa.5256.1.3")</f>
        <v>http://dx.doi.org/10.11646/zootaxa.5256.1.3</v>
      </c>
      <c r="BG392" t="s">
        <v>74</v>
      </c>
      <c r="BH392" t="s">
        <v>74</v>
      </c>
      <c r="BI392">
        <v>20</v>
      </c>
      <c r="BJ392" t="s">
        <v>2582</v>
      </c>
      <c r="BK392" t="s">
        <v>103</v>
      </c>
      <c r="BL392" t="s">
        <v>2582</v>
      </c>
      <c r="BM392" t="s">
        <v>7964</v>
      </c>
      <c r="BN392">
        <v>37045242</v>
      </c>
      <c r="BO392" t="s">
        <v>74</v>
      </c>
      <c r="BP392" t="s">
        <v>74</v>
      </c>
      <c r="BQ392" t="s">
        <v>74</v>
      </c>
      <c r="BR392" t="s">
        <v>106</v>
      </c>
      <c r="BS392" t="s">
        <v>7965</v>
      </c>
      <c r="BT392" t="str">
        <f>HYPERLINK("https%3A%2F%2Fwww.webofscience.com%2Fwos%2Fwoscc%2Ffull-record%2FWOS:000976744200003","View Full Record in Web of Science")</f>
        <v>View Full Record in Web of Science</v>
      </c>
    </row>
    <row r="393" spans="1:72" x14ac:dyDescent="0.15">
      <c r="A393" t="s">
        <v>72</v>
      </c>
      <c r="B393" t="s">
        <v>7966</v>
      </c>
      <c r="C393" t="s">
        <v>74</v>
      </c>
      <c r="D393" t="s">
        <v>74</v>
      </c>
      <c r="E393" t="s">
        <v>74</v>
      </c>
      <c r="F393" t="s">
        <v>7967</v>
      </c>
      <c r="G393" t="s">
        <v>74</v>
      </c>
      <c r="H393" t="s">
        <v>74</v>
      </c>
      <c r="I393" t="s">
        <v>7968</v>
      </c>
      <c r="J393" t="s">
        <v>643</v>
      </c>
      <c r="K393" t="s">
        <v>74</v>
      </c>
      <c r="L393" t="s">
        <v>74</v>
      </c>
      <c r="M393" t="s">
        <v>78</v>
      </c>
      <c r="N393" t="s">
        <v>112</v>
      </c>
      <c r="O393" t="s">
        <v>74</v>
      </c>
      <c r="P393" t="s">
        <v>74</v>
      </c>
      <c r="Q393" t="s">
        <v>74</v>
      </c>
      <c r="R393" t="s">
        <v>74</v>
      </c>
      <c r="S393" t="s">
        <v>74</v>
      </c>
      <c r="T393" t="s">
        <v>7969</v>
      </c>
      <c r="U393" t="s">
        <v>7970</v>
      </c>
      <c r="V393" t="s">
        <v>7971</v>
      </c>
      <c r="W393" t="s">
        <v>7972</v>
      </c>
      <c r="X393" t="s">
        <v>7973</v>
      </c>
      <c r="Y393" t="s">
        <v>7974</v>
      </c>
      <c r="Z393" t="s">
        <v>7975</v>
      </c>
      <c r="AA393" t="s">
        <v>74</v>
      </c>
      <c r="AB393" t="s">
        <v>7976</v>
      </c>
      <c r="AC393" t="s">
        <v>7977</v>
      </c>
      <c r="AD393" t="s">
        <v>7978</v>
      </c>
      <c r="AE393" t="s">
        <v>7979</v>
      </c>
      <c r="AF393" t="s">
        <v>74</v>
      </c>
      <c r="AG393">
        <v>59</v>
      </c>
      <c r="AH393">
        <v>4</v>
      </c>
      <c r="AI393">
        <v>4</v>
      </c>
      <c r="AJ393">
        <v>2</v>
      </c>
      <c r="AK393">
        <v>3</v>
      </c>
      <c r="AL393" t="s">
        <v>305</v>
      </c>
      <c r="AM393" t="s">
        <v>306</v>
      </c>
      <c r="AN393" t="s">
        <v>307</v>
      </c>
      <c r="AO393" t="s">
        <v>656</v>
      </c>
      <c r="AP393" t="s">
        <v>657</v>
      </c>
      <c r="AQ393" t="s">
        <v>74</v>
      </c>
      <c r="AR393" t="s">
        <v>658</v>
      </c>
      <c r="AS393" t="s">
        <v>659</v>
      </c>
      <c r="AT393" t="s">
        <v>7848</v>
      </c>
      <c r="AU393">
        <v>2023</v>
      </c>
      <c r="AV393">
        <v>50</v>
      </c>
      <c r="AW393">
        <v>5</v>
      </c>
      <c r="AX393" t="s">
        <v>74</v>
      </c>
      <c r="AY393" t="s">
        <v>74</v>
      </c>
      <c r="AZ393" t="s">
        <v>74</v>
      </c>
      <c r="BA393" t="s">
        <v>74</v>
      </c>
      <c r="BB393" t="s">
        <v>74</v>
      </c>
      <c r="BC393" t="s">
        <v>74</v>
      </c>
      <c r="BD393" t="s">
        <v>7980</v>
      </c>
      <c r="BE393" t="s">
        <v>7981</v>
      </c>
      <c r="BF393" t="str">
        <f>HYPERLINK("http://dx.doi.org/10.1029/2022GL102550","http://dx.doi.org/10.1029/2022GL102550")</f>
        <v>http://dx.doi.org/10.1029/2022GL102550</v>
      </c>
      <c r="BG393" t="s">
        <v>74</v>
      </c>
      <c r="BH393" t="s">
        <v>74</v>
      </c>
      <c r="BI393">
        <v>11</v>
      </c>
      <c r="BJ393" t="s">
        <v>261</v>
      </c>
      <c r="BK393" t="s">
        <v>103</v>
      </c>
      <c r="BL393" t="s">
        <v>262</v>
      </c>
      <c r="BM393" t="s">
        <v>7982</v>
      </c>
      <c r="BN393" t="s">
        <v>74</v>
      </c>
      <c r="BO393" t="s">
        <v>387</v>
      </c>
      <c r="BP393" t="s">
        <v>74</v>
      </c>
      <c r="BQ393" t="s">
        <v>74</v>
      </c>
      <c r="BR393" t="s">
        <v>106</v>
      </c>
      <c r="BS393" t="s">
        <v>7983</v>
      </c>
      <c r="BT393" t="str">
        <f>HYPERLINK("https%3A%2F%2Fwww.webofscience.com%2Fwos%2Fwoscc%2Ffull-record%2FWOS:000949610600001","View Full Record in Web of Science")</f>
        <v>View Full Record in Web of Science</v>
      </c>
    </row>
    <row r="394" spans="1:72" x14ac:dyDescent="0.15">
      <c r="A394" t="s">
        <v>72</v>
      </c>
      <c r="B394" t="s">
        <v>7984</v>
      </c>
      <c r="C394" t="s">
        <v>74</v>
      </c>
      <c r="D394" t="s">
        <v>74</v>
      </c>
      <c r="E394" t="s">
        <v>74</v>
      </c>
      <c r="F394" t="s">
        <v>7985</v>
      </c>
      <c r="G394" t="s">
        <v>74</v>
      </c>
      <c r="H394" t="s">
        <v>74</v>
      </c>
      <c r="I394" t="s">
        <v>7986</v>
      </c>
      <c r="J394" t="s">
        <v>7987</v>
      </c>
      <c r="K394" t="s">
        <v>74</v>
      </c>
      <c r="L394" t="s">
        <v>74</v>
      </c>
      <c r="M394" t="s">
        <v>78</v>
      </c>
      <c r="N394" t="s">
        <v>112</v>
      </c>
      <c r="O394" t="s">
        <v>74</v>
      </c>
      <c r="P394" t="s">
        <v>74</v>
      </c>
      <c r="Q394" t="s">
        <v>74</v>
      </c>
      <c r="R394" t="s">
        <v>74</v>
      </c>
      <c r="S394" t="s">
        <v>74</v>
      </c>
      <c r="T394" t="s">
        <v>74</v>
      </c>
      <c r="U394" t="s">
        <v>7988</v>
      </c>
      <c r="V394" t="s">
        <v>7989</v>
      </c>
      <c r="W394" t="s">
        <v>7990</v>
      </c>
      <c r="X394" t="s">
        <v>7991</v>
      </c>
      <c r="Y394" t="s">
        <v>7992</v>
      </c>
      <c r="Z394" t="s">
        <v>7993</v>
      </c>
      <c r="AA394" t="s">
        <v>7994</v>
      </c>
      <c r="AB394" t="s">
        <v>7995</v>
      </c>
      <c r="AC394" t="s">
        <v>7996</v>
      </c>
      <c r="AD394" t="s">
        <v>7997</v>
      </c>
      <c r="AE394" t="s">
        <v>7998</v>
      </c>
      <c r="AF394" t="s">
        <v>74</v>
      </c>
      <c r="AG394">
        <v>166</v>
      </c>
      <c r="AH394">
        <v>16</v>
      </c>
      <c r="AI394">
        <v>17</v>
      </c>
      <c r="AJ394">
        <v>35</v>
      </c>
      <c r="AK394">
        <v>118</v>
      </c>
      <c r="AL394" t="s">
        <v>7999</v>
      </c>
      <c r="AM394" t="s">
        <v>1102</v>
      </c>
      <c r="AN394" t="s">
        <v>8000</v>
      </c>
      <c r="AO394" t="s">
        <v>8001</v>
      </c>
      <c r="AP394" t="s">
        <v>8002</v>
      </c>
      <c r="AQ394" t="s">
        <v>74</v>
      </c>
      <c r="AR394" t="s">
        <v>7987</v>
      </c>
      <c r="AS394" t="s">
        <v>8003</v>
      </c>
      <c r="AT394" t="s">
        <v>7848</v>
      </c>
      <c r="AU394">
        <v>2023</v>
      </c>
      <c r="AV394">
        <v>186</v>
      </c>
      <c r="AW394">
        <v>6</v>
      </c>
      <c r="AX394" t="s">
        <v>74</v>
      </c>
      <c r="AY394" t="s">
        <v>74</v>
      </c>
      <c r="AZ394" t="s">
        <v>74</v>
      </c>
      <c r="BA394" t="s">
        <v>74</v>
      </c>
      <c r="BB394">
        <v>1279</v>
      </c>
      <c r="BC394" t="s">
        <v>1385</v>
      </c>
      <c r="BD394" t="s">
        <v>74</v>
      </c>
      <c r="BE394" t="s">
        <v>8004</v>
      </c>
      <c r="BF394" t="str">
        <f>HYPERLINK("http://dx.doi.org/10.1016/j.cell.2023.02.005","http://dx.doi.org/10.1016/j.cell.2023.02.005")</f>
        <v>http://dx.doi.org/10.1016/j.cell.2023.02.005</v>
      </c>
      <c r="BG394" t="s">
        <v>74</v>
      </c>
      <c r="BH394" t="s">
        <v>6218</v>
      </c>
      <c r="BI394">
        <v>36</v>
      </c>
      <c r="BJ394" t="s">
        <v>8005</v>
      </c>
      <c r="BK394" t="s">
        <v>103</v>
      </c>
      <c r="BL394" t="s">
        <v>8005</v>
      </c>
      <c r="BM394" t="s">
        <v>8006</v>
      </c>
      <c r="BN394">
        <v>36868220</v>
      </c>
      <c r="BO394" t="s">
        <v>1748</v>
      </c>
      <c r="BP394" t="s">
        <v>74</v>
      </c>
      <c r="BQ394" t="s">
        <v>74</v>
      </c>
      <c r="BR394" t="s">
        <v>106</v>
      </c>
      <c r="BS394" t="s">
        <v>8007</v>
      </c>
      <c r="BT394" t="str">
        <f>HYPERLINK("https%3A%2F%2Fwww.webofscience.com%2Fwos%2Fwoscc%2Ffull-record%2FWOS:000958684800001","View Full Record in Web of Science")</f>
        <v>View Full Record in Web of Science</v>
      </c>
    </row>
    <row r="395" spans="1:72" x14ac:dyDescent="0.15">
      <c r="A395" t="s">
        <v>72</v>
      </c>
      <c r="B395" t="s">
        <v>8008</v>
      </c>
      <c r="C395" t="s">
        <v>74</v>
      </c>
      <c r="D395" t="s">
        <v>74</v>
      </c>
      <c r="E395" t="s">
        <v>74</v>
      </c>
      <c r="F395" t="s">
        <v>8009</v>
      </c>
      <c r="G395" t="s">
        <v>74</v>
      </c>
      <c r="H395" t="s">
        <v>74</v>
      </c>
      <c r="I395" t="s">
        <v>8010</v>
      </c>
      <c r="J395" t="s">
        <v>2461</v>
      </c>
      <c r="K395" t="s">
        <v>74</v>
      </c>
      <c r="L395" t="s">
        <v>74</v>
      </c>
      <c r="M395" t="s">
        <v>78</v>
      </c>
      <c r="N395" t="s">
        <v>112</v>
      </c>
      <c r="O395" t="s">
        <v>74</v>
      </c>
      <c r="P395" t="s">
        <v>74</v>
      </c>
      <c r="Q395" t="s">
        <v>74</v>
      </c>
      <c r="R395" t="s">
        <v>74</v>
      </c>
      <c r="S395" t="s">
        <v>74</v>
      </c>
      <c r="T395" t="s">
        <v>74</v>
      </c>
      <c r="U395" t="s">
        <v>8011</v>
      </c>
      <c r="V395" t="s">
        <v>8012</v>
      </c>
      <c r="W395" t="s">
        <v>8013</v>
      </c>
      <c r="X395" t="s">
        <v>8014</v>
      </c>
      <c r="Y395" t="s">
        <v>8015</v>
      </c>
      <c r="Z395" t="s">
        <v>8016</v>
      </c>
      <c r="AA395" t="s">
        <v>8017</v>
      </c>
      <c r="AB395" t="s">
        <v>8018</v>
      </c>
      <c r="AC395" t="s">
        <v>8019</v>
      </c>
      <c r="AD395" t="s">
        <v>8020</v>
      </c>
      <c r="AE395" t="s">
        <v>8021</v>
      </c>
      <c r="AF395" t="s">
        <v>74</v>
      </c>
      <c r="AG395">
        <v>93</v>
      </c>
      <c r="AH395">
        <v>2</v>
      </c>
      <c r="AI395">
        <v>2</v>
      </c>
      <c r="AJ395">
        <v>1</v>
      </c>
      <c r="AK395">
        <v>3</v>
      </c>
      <c r="AL395" t="s">
        <v>1357</v>
      </c>
      <c r="AM395" t="s">
        <v>525</v>
      </c>
      <c r="AN395" t="s">
        <v>1358</v>
      </c>
      <c r="AO395" t="s">
        <v>74</v>
      </c>
      <c r="AP395" t="s">
        <v>2470</v>
      </c>
      <c r="AQ395" t="s">
        <v>74</v>
      </c>
      <c r="AR395" t="s">
        <v>2471</v>
      </c>
      <c r="AS395" t="s">
        <v>2472</v>
      </c>
      <c r="AT395" t="s">
        <v>7848</v>
      </c>
      <c r="AU395">
        <v>2023</v>
      </c>
      <c r="AV395">
        <v>4</v>
      </c>
      <c r="AW395">
        <v>1</v>
      </c>
      <c r="AX395" t="s">
        <v>74</v>
      </c>
      <c r="AY395" t="s">
        <v>74</v>
      </c>
      <c r="AZ395" t="s">
        <v>74</v>
      </c>
      <c r="BA395" t="s">
        <v>74</v>
      </c>
      <c r="BB395" t="s">
        <v>74</v>
      </c>
      <c r="BC395" t="s">
        <v>74</v>
      </c>
      <c r="BD395">
        <v>78</v>
      </c>
      <c r="BE395" t="s">
        <v>8022</v>
      </c>
      <c r="BF395" t="str">
        <f>HYPERLINK("http://dx.doi.org/10.1038/s43247-023-00719-3","http://dx.doi.org/10.1038/s43247-023-00719-3")</f>
        <v>http://dx.doi.org/10.1038/s43247-023-00719-3</v>
      </c>
      <c r="BG395" t="s">
        <v>74</v>
      </c>
      <c r="BH395" t="s">
        <v>74</v>
      </c>
      <c r="BI395">
        <v>13</v>
      </c>
      <c r="BJ395" t="s">
        <v>2474</v>
      </c>
      <c r="BK395" t="s">
        <v>103</v>
      </c>
      <c r="BL395" t="s">
        <v>2475</v>
      </c>
      <c r="BM395" t="s">
        <v>7850</v>
      </c>
      <c r="BN395" t="s">
        <v>74</v>
      </c>
      <c r="BO395" t="s">
        <v>6496</v>
      </c>
      <c r="BP395" t="s">
        <v>74</v>
      </c>
      <c r="BQ395" t="s">
        <v>74</v>
      </c>
      <c r="BR395" t="s">
        <v>106</v>
      </c>
      <c r="BS395" t="s">
        <v>8023</v>
      </c>
      <c r="BT395" t="str">
        <f>HYPERLINK("https%3A%2F%2Fwww.webofscience.com%2Fwos%2Fwoscc%2Ffull-record%2FWOS:000952023600003","View Full Record in Web of Science")</f>
        <v>View Full Record in Web of Science</v>
      </c>
    </row>
    <row r="396" spans="1:72" x14ac:dyDescent="0.15">
      <c r="A396" t="s">
        <v>72</v>
      </c>
      <c r="B396" t="s">
        <v>8024</v>
      </c>
      <c r="C396" t="s">
        <v>74</v>
      </c>
      <c r="D396" t="s">
        <v>74</v>
      </c>
      <c r="E396" t="s">
        <v>74</v>
      </c>
      <c r="F396" t="s">
        <v>8025</v>
      </c>
      <c r="G396" t="s">
        <v>74</v>
      </c>
      <c r="H396" t="s">
        <v>74</v>
      </c>
      <c r="I396" t="s">
        <v>8026</v>
      </c>
      <c r="J396" t="s">
        <v>8027</v>
      </c>
      <c r="K396" t="s">
        <v>74</v>
      </c>
      <c r="L396" t="s">
        <v>74</v>
      </c>
      <c r="M396" t="s">
        <v>78</v>
      </c>
      <c r="N396" t="s">
        <v>112</v>
      </c>
      <c r="O396" t="s">
        <v>74</v>
      </c>
      <c r="P396" t="s">
        <v>74</v>
      </c>
      <c r="Q396" t="s">
        <v>74</v>
      </c>
      <c r="R396" t="s">
        <v>74</v>
      </c>
      <c r="S396" t="s">
        <v>74</v>
      </c>
      <c r="T396" t="s">
        <v>8028</v>
      </c>
      <c r="U396" t="s">
        <v>8029</v>
      </c>
      <c r="V396" t="s">
        <v>8030</v>
      </c>
      <c r="W396" t="s">
        <v>8031</v>
      </c>
      <c r="X396" t="s">
        <v>8032</v>
      </c>
      <c r="Y396" t="s">
        <v>8033</v>
      </c>
      <c r="Z396" t="s">
        <v>8034</v>
      </c>
      <c r="AA396" t="s">
        <v>74</v>
      </c>
      <c r="AB396" t="s">
        <v>8035</v>
      </c>
      <c r="AC396" t="s">
        <v>8036</v>
      </c>
      <c r="AD396" t="s">
        <v>4427</v>
      </c>
      <c r="AE396" t="s">
        <v>8037</v>
      </c>
      <c r="AF396" t="s">
        <v>74</v>
      </c>
      <c r="AG396">
        <v>145</v>
      </c>
      <c r="AH396">
        <v>0</v>
      </c>
      <c r="AI396">
        <v>0</v>
      </c>
      <c r="AJ396">
        <v>3</v>
      </c>
      <c r="AK396">
        <v>11</v>
      </c>
      <c r="AL396" t="s">
        <v>2092</v>
      </c>
      <c r="AM396" t="s">
        <v>2093</v>
      </c>
      <c r="AN396" t="s">
        <v>2094</v>
      </c>
      <c r="AO396" t="s">
        <v>8038</v>
      </c>
      <c r="AP396" t="s">
        <v>8039</v>
      </c>
      <c r="AQ396" t="s">
        <v>74</v>
      </c>
      <c r="AR396" t="s">
        <v>8040</v>
      </c>
      <c r="AS396" t="s">
        <v>8041</v>
      </c>
      <c r="AT396" t="s">
        <v>8042</v>
      </c>
      <c r="AU396">
        <v>2023</v>
      </c>
      <c r="AV396">
        <v>110</v>
      </c>
      <c r="AW396">
        <v>3</v>
      </c>
      <c r="AX396" t="s">
        <v>74</v>
      </c>
      <c r="AY396" t="s">
        <v>74</v>
      </c>
      <c r="AZ396" t="s">
        <v>74</v>
      </c>
      <c r="BA396" t="s">
        <v>74</v>
      </c>
      <c r="BB396" t="s">
        <v>74</v>
      </c>
      <c r="BC396" t="s">
        <v>74</v>
      </c>
      <c r="BD396" t="s">
        <v>8043</v>
      </c>
      <c r="BE396" t="s">
        <v>8044</v>
      </c>
      <c r="BF396" t="str">
        <f>HYPERLINK("http://dx.doi.org/10.1002/ajb2.16137","http://dx.doi.org/10.1002/ajb2.16137")</f>
        <v>http://dx.doi.org/10.1002/ajb2.16137</v>
      </c>
      <c r="BG396" t="s">
        <v>74</v>
      </c>
      <c r="BH396" t="s">
        <v>6218</v>
      </c>
      <c r="BI396">
        <v>16</v>
      </c>
      <c r="BJ396" t="s">
        <v>2123</v>
      </c>
      <c r="BK396" t="s">
        <v>103</v>
      </c>
      <c r="BL396" t="s">
        <v>2123</v>
      </c>
      <c r="BM396" t="s">
        <v>8045</v>
      </c>
      <c r="BN396">
        <v>36735676</v>
      </c>
      <c r="BO396" t="s">
        <v>74</v>
      </c>
      <c r="BP396" t="s">
        <v>74</v>
      </c>
      <c r="BQ396" t="s">
        <v>74</v>
      </c>
      <c r="BR396" t="s">
        <v>106</v>
      </c>
      <c r="BS396" t="s">
        <v>8046</v>
      </c>
      <c r="BT396" t="str">
        <f>HYPERLINK("https%3A%2F%2Fwww.webofscience.com%2Fwos%2Fwoscc%2Ffull-record%2FWOS:000949121800001","View Full Record in Web of Science")</f>
        <v>View Full Record in Web of Science</v>
      </c>
    </row>
    <row r="397" spans="1:72" x14ac:dyDescent="0.15">
      <c r="A397" t="s">
        <v>72</v>
      </c>
      <c r="B397" t="s">
        <v>8047</v>
      </c>
      <c r="C397" t="s">
        <v>74</v>
      </c>
      <c r="D397" t="s">
        <v>74</v>
      </c>
      <c r="E397" t="s">
        <v>74</v>
      </c>
      <c r="F397" t="s">
        <v>8048</v>
      </c>
      <c r="G397" t="s">
        <v>74</v>
      </c>
      <c r="H397" t="s">
        <v>74</v>
      </c>
      <c r="I397" t="s">
        <v>8049</v>
      </c>
      <c r="J397" t="s">
        <v>8050</v>
      </c>
      <c r="K397" t="s">
        <v>74</v>
      </c>
      <c r="L397" t="s">
        <v>74</v>
      </c>
      <c r="M397" t="s">
        <v>78</v>
      </c>
      <c r="N397" t="s">
        <v>112</v>
      </c>
      <c r="O397" t="s">
        <v>74</v>
      </c>
      <c r="P397" t="s">
        <v>74</v>
      </c>
      <c r="Q397" t="s">
        <v>74</v>
      </c>
      <c r="R397" t="s">
        <v>74</v>
      </c>
      <c r="S397" t="s">
        <v>74</v>
      </c>
      <c r="T397" t="s">
        <v>8051</v>
      </c>
      <c r="U397" t="s">
        <v>8052</v>
      </c>
      <c r="V397" t="s">
        <v>8053</v>
      </c>
      <c r="W397" t="s">
        <v>8054</v>
      </c>
      <c r="X397" t="s">
        <v>8055</v>
      </c>
      <c r="Y397" t="s">
        <v>8056</v>
      </c>
      <c r="Z397" t="s">
        <v>8057</v>
      </c>
      <c r="AA397" t="s">
        <v>8058</v>
      </c>
      <c r="AB397" t="s">
        <v>8059</v>
      </c>
      <c r="AC397" t="s">
        <v>8060</v>
      </c>
      <c r="AD397" t="s">
        <v>8061</v>
      </c>
      <c r="AE397" t="s">
        <v>8062</v>
      </c>
      <c r="AF397" t="s">
        <v>74</v>
      </c>
      <c r="AG397">
        <v>143</v>
      </c>
      <c r="AH397">
        <v>0</v>
      </c>
      <c r="AI397">
        <v>0</v>
      </c>
      <c r="AJ397">
        <v>5</v>
      </c>
      <c r="AK397">
        <v>12</v>
      </c>
      <c r="AL397" t="s">
        <v>2092</v>
      </c>
      <c r="AM397" t="s">
        <v>2093</v>
      </c>
      <c r="AN397" t="s">
        <v>2094</v>
      </c>
      <c r="AO397" t="s">
        <v>8063</v>
      </c>
      <c r="AP397" t="s">
        <v>8064</v>
      </c>
      <c r="AQ397" t="s">
        <v>74</v>
      </c>
      <c r="AR397" t="s">
        <v>8050</v>
      </c>
      <c r="AS397" t="s">
        <v>8065</v>
      </c>
      <c r="AT397" t="s">
        <v>507</v>
      </c>
      <c r="AU397">
        <v>2023</v>
      </c>
      <c r="AV397">
        <v>70</v>
      </c>
      <c r="AW397">
        <v>5</v>
      </c>
      <c r="AX397" t="s">
        <v>74</v>
      </c>
      <c r="AY397" t="s">
        <v>74</v>
      </c>
      <c r="AZ397" t="s">
        <v>74</v>
      </c>
      <c r="BA397" t="s">
        <v>74</v>
      </c>
      <c r="BB397">
        <v>1353</v>
      </c>
      <c r="BC397">
        <v>1378</v>
      </c>
      <c r="BD397" t="s">
        <v>74</v>
      </c>
      <c r="BE397" t="s">
        <v>8066</v>
      </c>
      <c r="BF397" t="str">
        <f>HYPERLINK("http://dx.doi.org/10.1111/sed.13092","http://dx.doi.org/10.1111/sed.13092")</f>
        <v>http://dx.doi.org/10.1111/sed.13092</v>
      </c>
      <c r="BG397" t="s">
        <v>74</v>
      </c>
      <c r="BH397" t="s">
        <v>6218</v>
      </c>
      <c r="BI397">
        <v>26</v>
      </c>
      <c r="BJ397" t="s">
        <v>262</v>
      </c>
      <c r="BK397" t="s">
        <v>103</v>
      </c>
      <c r="BL397" t="s">
        <v>262</v>
      </c>
      <c r="BM397" t="s">
        <v>8067</v>
      </c>
      <c r="BN397" t="s">
        <v>74</v>
      </c>
      <c r="BO397" t="s">
        <v>74</v>
      </c>
      <c r="BP397" t="s">
        <v>74</v>
      </c>
      <c r="BQ397" t="s">
        <v>74</v>
      </c>
      <c r="BR397" t="s">
        <v>106</v>
      </c>
      <c r="BS397" t="s">
        <v>8068</v>
      </c>
      <c r="BT397" t="str">
        <f>HYPERLINK("https%3A%2F%2Fwww.webofscience.com%2Fwos%2Fwoscc%2Ffull-record%2FWOS:000949293600001","View Full Record in Web of Science")</f>
        <v>View Full Record in Web of Science</v>
      </c>
    </row>
    <row r="398" spans="1:72" x14ac:dyDescent="0.15">
      <c r="A398" t="s">
        <v>72</v>
      </c>
      <c r="B398" t="s">
        <v>8069</v>
      </c>
      <c r="C398" t="s">
        <v>74</v>
      </c>
      <c r="D398" t="s">
        <v>74</v>
      </c>
      <c r="E398" t="s">
        <v>74</v>
      </c>
      <c r="F398" t="s">
        <v>8070</v>
      </c>
      <c r="G398" t="s">
        <v>74</v>
      </c>
      <c r="H398" t="s">
        <v>74</v>
      </c>
      <c r="I398" t="s">
        <v>8071</v>
      </c>
      <c r="J398" t="s">
        <v>8072</v>
      </c>
      <c r="K398" t="s">
        <v>74</v>
      </c>
      <c r="L398" t="s">
        <v>74</v>
      </c>
      <c r="M398" t="s">
        <v>78</v>
      </c>
      <c r="N398" t="s">
        <v>112</v>
      </c>
      <c r="O398" t="s">
        <v>74</v>
      </c>
      <c r="P398" t="s">
        <v>74</v>
      </c>
      <c r="Q398" t="s">
        <v>74</v>
      </c>
      <c r="R398" t="s">
        <v>74</v>
      </c>
      <c r="S398" t="s">
        <v>74</v>
      </c>
      <c r="T398" t="s">
        <v>8073</v>
      </c>
      <c r="U398" t="s">
        <v>8074</v>
      </c>
      <c r="V398" t="s">
        <v>8075</v>
      </c>
      <c r="W398" t="s">
        <v>8076</v>
      </c>
      <c r="X398" t="s">
        <v>8077</v>
      </c>
      <c r="Y398" t="s">
        <v>8078</v>
      </c>
      <c r="Z398" t="s">
        <v>1822</v>
      </c>
      <c r="AA398" t="s">
        <v>8079</v>
      </c>
      <c r="AB398" t="s">
        <v>8080</v>
      </c>
      <c r="AC398" t="s">
        <v>8081</v>
      </c>
      <c r="AD398" t="s">
        <v>8082</v>
      </c>
      <c r="AE398" t="s">
        <v>8083</v>
      </c>
      <c r="AF398" t="s">
        <v>74</v>
      </c>
      <c r="AG398">
        <v>59</v>
      </c>
      <c r="AH398">
        <v>1</v>
      </c>
      <c r="AI398">
        <v>1</v>
      </c>
      <c r="AJ398">
        <v>2</v>
      </c>
      <c r="AK398">
        <v>5</v>
      </c>
      <c r="AL398" t="s">
        <v>8084</v>
      </c>
      <c r="AM398" t="s">
        <v>8085</v>
      </c>
      <c r="AN398" t="s">
        <v>8086</v>
      </c>
      <c r="AO398" t="s">
        <v>8087</v>
      </c>
      <c r="AP398" t="s">
        <v>8088</v>
      </c>
      <c r="AQ398" t="s">
        <v>74</v>
      </c>
      <c r="AR398" t="s">
        <v>8089</v>
      </c>
      <c r="AS398" t="s">
        <v>8090</v>
      </c>
      <c r="AT398" t="s">
        <v>1437</v>
      </c>
      <c r="AU398">
        <v>2023</v>
      </c>
      <c r="AV398">
        <v>10</v>
      </c>
      <c r="AW398">
        <v>1</v>
      </c>
      <c r="AX398" t="s">
        <v>74</v>
      </c>
      <c r="AY398" t="s">
        <v>74</v>
      </c>
      <c r="AZ398" t="s">
        <v>185</v>
      </c>
      <c r="BA398" t="s">
        <v>74</v>
      </c>
      <c r="BB398">
        <v>251</v>
      </c>
      <c r="BC398">
        <v>268</v>
      </c>
      <c r="BD398" t="s">
        <v>74</v>
      </c>
      <c r="BE398" t="s">
        <v>8091</v>
      </c>
      <c r="BF398" t="str">
        <f>HYPERLINK("http://dx.doi.org/10.1177/20530196231155191","http://dx.doi.org/10.1177/20530196231155191")</f>
        <v>http://dx.doi.org/10.1177/20530196231155191</v>
      </c>
      <c r="BG398" t="s">
        <v>74</v>
      </c>
      <c r="BH398" t="s">
        <v>6218</v>
      </c>
      <c r="BI398">
        <v>18</v>
      </c>
      <c r="BJ398" t="s">
        <v>8092</v>
      </c>
      <c r="BK398" t="s">
        <v>595</v>
      </c>
      <c r="BL398" t="s">
        <v>1364</v>
      </c>
      <c r="BM398" t="s">
        <v>8093</v>
      </c>
      <c r="BN398" t="s">
        <v>74</v>
      </c>
      <c r="BO398" t="s">
        <v>387</v>
      </c>
      <c r="BP398" t="s">
        <v>74</v>
      </c>
      <c r="BQ398" t="s">
        <v>74</v>
      </c>
      <c r="BR398" t="s">
        <v>106</v>
      </c>
      <c r="BS398" t="s">
        <v>8094</v>
      </c>
      <c r="BT398" t="str">
        <f>HYPERLINK("https%3A%2F%2Fwww.webofscience.com%2Fwos%2Fwoscc%2Ffull-record%2FWOS:000950384200001","View Full Record in Web of Science")</f>
        <v>View Full Record in Web of Science</v>
      </c>
    </row>
    <row r="399" spans="1:72" x14ac:dyDescent="0.15">
      <c r="A399" t="s">
        <v>72</v>
      </c>
      <c r="B399" t="s">
        <v>8095</v>
      </c>
      <c r="C399" t="s">
        <v>74</v>
      </c>
      <c r="D399" t="s">
        <v>74</v>
      </c>
      <c r="E399" t="s">
        <v>74</v>
      </c>
      <c r="F399" t="s">
        <v>8096</v>
      </c>
      <c r="G399" t="s">
        <v>74</v>
      </c>
      <c r="H399" t="s">
        <v>74</v>
      </c>
      <c r="I399" t="s">
        <v>8097</v>
      </c>
      <c r="J399" t="s">
        <v>2389</v>
      </c>
      <c r="K399" t="s">
        <v>74</v>
      </c>
      <c r="L399" t="s">
        <v>74</v>
      </c>
      <c r="M399" t="s">
        <v>78</v>
      </c>
      <c r="N399" t="s">
        <v>112</v>
      </c>
      <c r="O399" t="s">
        <v>74</v>
      </c>
      <c r="P399" t="s">
        <v>74</v>
      </c>
      <c r="Q399" t="s">
        <v>74</v>
      </c>
      <c r="R399" t="s">
        <v>74</v>
      </c>
      <c r="S399" t="s">
        <v>74</v>
      </c>
      <c r="T399" t="s">
        <v>8098</v>
      </c>
      <c r="U399" t="s">
        <v>8099</v>
      </c>
      <c r="V399" t="s">
        <v>8100</v>
      </c>
      <c r="W399" t="s">
        <v>8101</v>
      </c>
      <c r="X399" t="s">
        <v>8102</v>
      </c>
      <c r="Y399" t="s">
        <v>8103</v>
      </c>
      <c r="Z399" t="s">
        <v>8104</v>
      </c>
      <c r="AA399" t="s">
        <v>8105</v>
      </c>
      <c r="AB399" t="s">
        <v>8106</v>
      </c>
      <c r="AC399" t="s">
        <v>74</v>
      </c>
      <c r="AD399" t="s">
        <v>74</v>
      </c>
      <c r="AE399" t="s">
        <v>74</v>
      </c>
      <c r="AF399" t="s">
        <v>74</v>
      </c>
      <c r="AG399">
        <v>88</v>
      </c>
      <c r="AH399">
        <v>2</v>
      </c>
      <c r="AI399">
        <v>2</v>
      </c>
      <c r="AJ399">
        <v>17</v>
      </c>
      <c r="AK399">
        <v>31</v>
      </c>
      <c r="AL399" t="s">
        <v>2399</v>
      </c>
      <c r="AM399" t="s">
        <v>525</v>
      </c>
      <c r="AN399" t="s">
        <v>2400</v>
      </c>
      <c r="AO399" t="s">
        <v>2401</v>
      </c>
      <c r="AP399" t="s">
        <v>74</v>
      </c>
      <c r="AQ399" t="s">
        <v>74</v>
      </c>
      <c r="AR399" t="s">
        <v>2402</v>
      </c>
      <c r="AS399" t="s">
        <v>2403</v>
      </c>
      <c r="AT399" t="s">
        <v>8107</v>
      </c>
      <c r="AU399">
        <v>2023</v>
      </c>
      <c r="AV399">
        <v>10</v>
      </c>
      <c r="AW399">
        <v>3</v>
      </c>
      <c r="AX399" t="s">
        <v>74</v>
      </c>
      <c r="AY399" t="s">
        <v>74</v>
      </c>
      <c r="AZ399" t="s">
        <v>74</v>
      </c>
      <c r="BA399" t="s">
        <v>74</v>
      </c>
      <c r="BB399" t="s">
        <v>74</v>
      </c>
      <c r="BC399" t="s">
        <v>74</v>
      </c>
      <c r="BD399">
        <v>221507</v>
      </c>
      <c r="BE399" t="s">
        <v>8108</v>
      </c>
      <c r="BF399" t="str">
        <f>HYPERLINK("http://dx.doi.org/10.1098/rsos.221507","http://dx.doi.org/10.1098/rsos.221507")</f>
        <v>http://dx.doi.org/10.1098/rsos.221507</v>
      </c>
      <c r="BG399" t="s">
        <v>74</v>
      </c>
      <c r="BH399" t="s">
        <v>74</v>
      </c>
      <c r="BI399">
        <v>18</v>
      </c>
      <c r="BJ399" t="s">
        <v>210</v>
      </c>
      <c r="BK399" t="s">
        <v>103</v>
      </c>
      <c r="BL399" t="s">
        <v>211</v>
      </c>
      <c r="BM399" t="s">
        <v>8109</v>
      </c>
      <c r="BN399">
        <v>36938535</v>
      </c>
      <c r="BO399" t="s">
        <v>804</v>
      </c>
      <c r="BP399" t="s">
        <v>74</v>
      </c>
      <c r="BQ399" t="s">
        <v>74</v>
      </c>
      <c r="BR399" t="s">
        <v>106</v>
      </c>
      <c r="BS399" t="s">
        <v>8110</v>
      </c>
      <c r="BT399" t="str">
        <f>HYPERLINK("https%3A%2F%2Fwww.webofscience.com%2Fwos%2Fwoscc%2Ffull-record%2FWOS:000971911100003","View Full Record in Web of Science")</f>
        <v>View Full Record in Web of Science</v>
      </c>
    </row>
    <row r="400" spans="1:72" x14ac:dyDescent="0.15">
      <c r="A400" t="s">
        <v>72</v>
      </c>
      <c r="B400" t="s">
        <v>8111</v>
      </c>
      <c r="C400" t="s">
        <v>74</v>
      </c>
      <c r="D400" t="s">
        <v>74</v>
      </c>
      <c r="E400" t="s">
        <v>74</v>
      </c>
      <c r="F400" t="s">
        <v>8112</v>
      </c>
      <c r="G400" t="s">
        <v>74</v>
      </c>
      <c r="H400" t="s">
        <v>74</v>
      </c>
      <c r="I400" t="s">
        <v>8113</v>
      </c>
      <c r="J400" t="s">
        <v>3620</v>
      </c>
      <c r="K400" t="s">
        <v>74</v>
      </c>
      <c r="L400" t="s">
        <v>74</v>
      </c>
      <c r="M400" t="s">
        <v>78</v>
      </c>
      <c r="N400" t="s">
        <v>1118</v>
      </c>
      <c r="O400" t="s">
        <v>74</v>
      </c>
      <c r="P400" t="s">
        <v>74</v>
      </c>
      <c r="Q400" t="s">
        <v>74</v>
      </c>
      <c r="R400" t="s">
        <v>74</v>
      </c>
      <c r="S400" t="s">
        <v>74</v>
      </c>
      <c r="T400" t="s">
        <v>74</v>
      </c>
      <c r="U400" t="s">
        <v>8114</v>
      </c>
      <c r="V400" t="s">
        <v>8115</v>
      </c>
      <c r="W400" t="s">
        <v>8116</v>
      </c>
      <c r="X400" t="s">
        <v>8117</v>
      </c>
      <c r="Y400" t="s">
        <v>8118</v>
      </c>
      <c r="Z400" t="s">
        <v>8119</v>
      </c>
      <c r="AA400" t="s">
        <v>74</v>
      </c>
      <c r="AB400" t="s">
        <v>8120</v>
      </c>
      <c r="AC400" t="s">
        <v>8121</v>
      </c>
      <c r="AD400" t="s">
        <v>8122</v>
      </c>
      <c r="AE400" t="s">
        <v>8123</v>
      </c>
      <c r="AF400" t="s">
        <v>74</v>
      </c>
      <c r="AG400">
        <v>83</v>
      </c>
      <c r="AH400">
        <v>4</v>
      </c>
      <c r="AI400">
        <v>4</v>
      </c>
      <c r="AJ400">
        <v>1</v>
      </c>
      <c r="AK400">
        <v>4</v>
      </c>
      <c r="AL400" t="s">
        <v>203</v>
      </c>
      <c r="AM400" t="s">
        <v>204</v>
      </c>
      <c r="AN400" t="s">
        <v>205</v>
      </c>
      <c r="AO400" t="s">
        <v>74</v>
      </c>
      <c r="AP400" t="s">
        <v>3632</v>
      </c>
      <c r="AQ400" t="s">
        <v>74</v>
      </c>
      <c r="AR400" t="s">
        <v>3633</v>
      </c>
      <c r="AS400" t="s">
        <v>3634</v>
      </c>
      <c r="AT400" t="s">
        <v>8107</v>
      </c>
      <c r="AU400">
        <v>2023</v>
      </c>
      <c r="AV400">
        <v>10</v>
      </c>
      <c r="AW400">
        <v>1</v>
      </c>
      <c r="AX400" t="s">
        <v>74</v>
      </c>
      <c r="AY400" t="s">
        <v>74</v>
      </c>
      <c r="AZ400" t="s">
        <v>74</v>
      </c>
      <c r="BA400" t="s">
        <v>74</v>
      </c>
      <c r="BB400" t="s">
        <v>74</v>
      </c>
      <c r="BC400" t="s">
        <v>74</v>
      </c>
      <c r="BD400">
        <v>138</v>
      </c>
      <c r="BE400" t="s">
        <v>8124</v>
      </c>
      <c r="BF400" t="str">
        <f>HYPERLINK("http://dx.doi.org/10.1038/s41597-023-02045-x","http://dx.doi.org/10.1038/s41597-023-02045-x")</f>
        <v>http://dx.doi.org/10.1038/s41597-023-02045-x</v>
      </c>
      <c r="BG400" t="s">
        <v>74</v>
      </c>
      <c r="BH400" t="s">
        <v>74</v>
      </c>
      <c r="BI400">
        <v>10</v>
      </c>
      <c r="BJ400" t="s">
        <v>210</v>
      </c>
      <c r="BK400" t="s">
        <v>103</v>
      </c>
      <c r="BL400" t="s">
        <v>211</v>
      </c>
      <c r="BM400" t="s">
        <v>8125</v>
      </c>
      <c r="BN400">
        <v>36922563</v>
      </c>
      <c r="BO400" t="s">
        <v>614</v>
      </c>
      <c r="BP400" t="s">
        <v>74</v>
      </c>
      <c r="BQ400" t="s">
        <v>74</v>
      </c>
      <c r="BR400" t="s">
        <v>106</v>
      </c>
      <c r="BS400" t="s">
        <v>8126</v>
      </c>
      <c r="BT400" t="str">
        <f>HYPERLINK("https%3A%2F%2Fwww.webofscience.com%2Fwos%2Fwoscc%2Ffull-record%2FWOS:000953181000004","View Full Record in Web of Science")</f>
        <v>View Full Record in Web of Science</v>
      </c>
    </row>
    <row r="401" spans="1:72" x14ac:dyDescent="0.15">
      <c r="A401" t="s">
        <v>72</v>
      </c>
      <c r="B401" t="s">
        <v>8127</v>
      </c>
      <c r="C401" t="s">
        <v>74</v>
      </c>
      <c r="D401" t="s">
        <v>74</v>
      </c>
      <c r="E401" t="s">
        <v>74</v>
      </c>
      <c r="F401" t="s">
        <v>8128</v>
      </c>
      <c r="G401" t="s">
        <v>74</v>
      </c>
      <c r="H401" t="s">
        <v>74</v>
      </c>
      <c r="I401" t="s">
        <v>8129</v>
      </c>
      <c r="J401" t="s">
        <v>1215</v>
      </c>
      <c r="K401" t="s">
        <v>74</v>
      </c>
      <c r="L401" t="s">
        <v>74</v>
      </c>
      <c r="M401" t="s">
        <v>78</v>
      </c>
      <c r="N401" t="s">
        <v>112</v>
      </c>
      <c r="O401" t="s">
        <v>74</v>
      </c>
      <c r="P401" t="s">
        <v>74</v>
      </c>
      <c r="Q401" t="s">
        <v>74</v>
      </c>
      <c r="R401" t="s">
        <v>74</v>
      </c>
      <c r="S401" t="s">
        <v>74</v>
      </c>
      <c r="T401" t="s">
        <v>8130</v>
      </c>
      <c r="U401" t="s">
        <v>8131</v>
      </c>
      <c r="V401" t="s">
        <v>8132</v>
      </c>
      <c r="W401" t="s">
        <v>8133</v>
      </c>
      <c r="X401" t="s">
        <v>8134</v>
      </c>
      <c r="Y401" t="s">
        <v>8135</v>
      </c>
      <c r="Z401" t="s">
        <v>8136</v>
      </c>
      <c r="AA401" t="s">
        <v>8137</v>
      </c>
      <c r="AB401" t="s">
        <v>8138</v>
      </c>
      <c r="AC401" t="s">
        <v>74</v>
      </c>
      <c r="AD401" t="s">
        <v>74</v>
      </c>
      <c r="AE401" t="s">
        <v>74</v>
      </c>
      <c r="AF401" t="s">
        <v>74</v>
      </c>
      <c r="AG401">
        <v>62</v>
      </c>
      <c r="AH401">
        <v>3</v>
      </c>
      <c r="AI401">
        <v>3</v>
      </c>
      <c r="AJ401">
        <v>1</v>
      </c>
      <c r="AK401">
        <v>2</v>
      </c>
      <c r="AL401" t="s">
        <v>700</v>
      </c>
      <c r="AM401" t="s">
        <v>701</v>
      </c>
      <c r="AN401" t="s">
        <v>702</v>
      </c>
      <c r="AO401" t="s">
        <v>74</v>
      </c>
      <c r="AP401" t="s">
        <v>1228</v>
      </c>
      <c r="AQ401" t="s">
        <v>74</v>
      </c>
      <c r="AR401" t="s">
        <v>1229</v>
      </c>
      <c r="AS401" t="s">
        <v>1230</v>
      </c>
      <c r="AT401" t="s">
        <v>8107</v>
      </c>
      <c r="AU401">
        <v>2023</v>
      </c>
      <c r="AV401">
        <v>10</v>
      </c>
      <c r="AW401" t="s">
        <v>74</v>
      </c>
      <c r="AX401" t="s">
        <v>74</v>
      </c>
      <c r="AY401" t="s">
        <v>74</v>
      </c>
      <c r="AZ401" t="s">
        <v>74</v>
      </c>
      <c r="BA401" t="s">
        <v>74</v>
      </c>
      <c r="BB401" t="s">
        <v>74</v>
      </c>
      <c r="BC401" t="s">
        <v>74</v>
      </c>
      <c r="BD401">
        <v>1111541</v>
      </c>
      <c r="BE401" t="s">
        <v>8139</v>
      </c>
      <c r="BF401" t="str">
        <f>HYPERLINK("http://dx.doi.org/10.3389/fmars.2023.1111541","http://dx.doi.org/10.3389/fmars.2023.1111541")</f>
        <v>http://dx.doi.org/10.3389/fmars.2023.1111541</v>
      </c>
      <c r="BG401" t="s">
        <v>74</v>
      </c>
      <c r="BH401" t="s">
        <v>74</v>
      </c>
      <c r="BI401">
        <v>21</v>
      </c>
      <c r="BJ401" t="s">
        <v>636</v>
      </c>
      <c r="BK401" t="s">
        <v>103</v>
      </c>
      <c r="BL401" t="s">
        <v>637</v>
      </c>
      <c r="BM401" t="s">
        <v>8140</v>
      </c>
      <c r="BN401" t="s">
        <v>74</v>
      </c>
      <c r="BO401" t="s">
        <v>359</v>
      </c>
      <c r="BP401" t="s">
        <v>74</v>
      </c>
      <c r="BQ401" t="s">
        <v>74</v>
      </c>
      <c r="BR401" t="s">
        <v>106</v>
      </c>
      <c r="BS401" t="s">
        <v>8141</v>
      </c>
      <c r="BT401" t="str">
        <f>HYPERLINK("https%3A%2F%2Fwww.webofscience.com%2Fwos%2Fwoscc%2Ffull-record%2FWOS:000961533100001","View Full Record in Web of Science")</f>
        <v>View Full Record in Web of Science</v>
      </c>
    </row>
    <row r="402" spans="1:72" x14ac:dyDescent="0.15">
      <c r="A402" t="s">
        <v>72</v>
      </c>
      <c r="B402" t="s">
        <v>8142</v>
      </c>
      <c r="C402" t="s">
        <v>74</v>
      </c>
      <c r="D402" t="s">
        <v>74</v>
      </c>
      <c r="E402" t="s">
        <v>74</v>
      </c>
      <c r="F402" t="s">
        <v>8143</v>
      </c>
      <c r="G402" t="s">
        <v>74</v>
      </c>
      <c r="H402" t="s">
        <v>74</v>
      </c>
      <c r="I402" t="s">
        <v>8144</v>
      </c>
      <c r="J402" t="s">
        <v>7208</v>
      </c>
      <c r="K402" t="s">
        <v>74</v>
      </c>
      <c r="L402" t="s">
        <v>74</v>
      </c>
      <c r="M402" t="s">
        <v>78</v>
      </c>
      <c r="N402" t="s">
        <v>112</v>
      </c>
      <c r="O402" t="s">
        <v>74</v>
      </c>
      <c r="P402" t="s">
        <v>74</v>
      </c>
      <c r="Q402" t="s">
        <v>74</v>
      </c>
      <c r="R402" t="s">
        <v>74</v>
      </c>
      <c r="S402" t="s">
        <v>74</v>
      </c>
      <c r="T402" t="s">
        <v>8145</v>
      </c>
      <c r="U402" t="s">
        <v>8146</v>
      </c>
      <c r="V402" t="s">
        <v>8147</v>
      </c>
      <c r="W402" t="s">
        <v>8148</v>
      </c>
      <c r="X402" t="s">
        <v>8149</v>
      </c>
      <c r="Y402" t="s">
        <v>8150</v>
      </c>
      <c r="Z402" t="s">
        <v>8151</v>
      </c>
      <c r="AA402" t="s">
        <v>8152</v>
      </c>
      <c r="AB402" t="s">
        <v>8153</v>
      </c>
      <c r="AC402" t="s">
        <v>8154</v>
      </c>
      <c r="AD402" t="s">
        <v>8155</v>
      </c>
      <c r="AE402" t="s">
        <v>8156</v>
      </c>
      <c r="AF402" t="s">
        <v>74</v>
      </c>
      <c r="AG402">
        <v>42</v>
      </c>
      <c r="AH402">
        <v>2</v>
      </c>
      <c r="AI402">
        <v>2</v>
      </c>
      <c r="AJ402">
        <v>11</v>
      </c>
      <c r="AK402">
        <v>26</v>
      </c>
      <c r="AL402" t="s">
        <v>447</v>
      </c>
      <c r="AM402" t="s">
        <v>448</v>
      </c>
      <c r="AN402" t="s">
        <v>449</v>
      </c>
      <c r="AO402" t="s">
        <v>7220</v>
      </c>
      <c r="AP402" t="s">
        <v>7221</v>
      </c>
      <c r="AQ402" t="s">
        <v>74</v>
      </c>
      <c r="AR402" t="s">
        <v>7222</v>
      </c>
      <c r="AS402" t="s">
        <v>7223</v>
      </c>
      <c r="AT402" t="s">
        <v>232</v>
      </c>
      <c r="AU402">
        <v>2023</v>
      </c>
      <c r="AV402">
        <v>53</v>
      </c>
      <c r="AW402" t="s">
        <v>74</v>
      </c>
      <c r="AX402" t="s">
        <v>74</v>
      </c>
      <c r="AY402" t="s">
        <v>74</v>
      </c>
      <c r="AZ402" t="s">
        <v>74</v>
      </c>
      <c r="BA402" t="s">
        <v>74</v>
      </c>
      <c r="BB402" t="s">
        <v>74</v>
      </c>
      <c r="BC402" t="s">
        <v>74</v>
      </c>
      <c r="BD402">
        <v>102565</v>
      </c>
      <c r="BE402" t="s">
        <v>8157</v>
      </c>
      <c r="BF402" t="str">
        <f>HYPERLINK("http://dx.doi.org/10.1016/j.fbio.2023.102565","http://dx.doi.org/10.1016/j.fbio.2023.102565")</f>
        <v>http://dx.doi.org/10.1016/j.fbio.2023.102565</v>
      </c>
      <c r="BG402" t="s">
        <v>74</v>
      </c>
      <c r="BH402" t="s">
        <v>6218</v>
      </c>
      <c r="BI402">
        <v>10</v>
      </c>
      <c r="BJ402" t="s">
        <v>1528</v>
      </c>
      <c r="BK402" t="s">
        <v>103</v>
      </c>
      <c r="BL402" t="s">
        <v>1528</v>
      </c>
      <c r="BM402" t="s">
        <v>8158</v>
      </c>
      <c r="BN402" t="s">
        <v>74</v>
      </c>
      <c r="BO402" t="s">
        <v>74</v>
      </c>
      <c r="BP402" t="s">
        <v>74</v>
      </c>
      <c r="BQ402" t="s">
        <v>74</v>
      </c>
      <c r="BR402" t="s">
        <v>106</v>
      </c>
      <c r="BS402" t="s">
        <v>8159</v>
      </c>
      <c r="BT402" t="str">
        <f>HYPERLINK("https%3A%2F%2Fwww.webofscience.com%2Fwos%2Fwoscc%2Ffull-record%2FWOS:000958929800001","View Full Record in Web of Science")</f>
        <v>View Full Record in Web of Science</v>
      </c>
    </row>
    <row r="403" spans="1:72" x14ac:dyDescent="0.15">
      <c r="A403" t="s">
        <v>72</v>
      </c>
      <c r="B403" t="s">
        <v>8160</v>
      </c>
      <c r="C403" t="s">
        <v>74</v>
      </c>
      <c r="D403" t="s">
        <v>74</v>
      </c>
      <c r="E403" t="s">
        <v>74</v>
      </c>
      <c r="F403" t="s">
        <v>8161</v>
      </c>
      <c r="G403" t="s">
        <v>74</v>
      </c>
      <c r="H403" t="s">
        <v>74</v>
      </c>
      <c r="I403" t="s">
        <v>8162</v>
      </c>
      <c r="J403" t="s">
        <v>1707</v>
      </c>
      <c r="K403" t="s">
        <v>74</v>
      </c>
      <c r="L403" t="s">
        <v>74</v>
      </c>
      <c r="M403" t="s">
        <v>78</v>
      </c>
      <c r="N403" t="s">
        <v>365</v>
      </c>
      <c r="O403" t="s">
        <v>74</v>
      </c>
      <c r="P403" t="s">
        <v>74</v>
      </c>
      <c r="Q403" t="s">
        <v>74</v>
      </c>
      <c r="R403" t="s">
        <v>74</v>
      </c>
      <c r="S403" t="s">
        <v>74</v>
      </c>
      <c r="T403" t="s">
        <v>8163</v>
      </c>
      <c r="U403" t="s">
        <v>8164</v>
      </c>
      <c r="V403" t="s">
        <v>8165</v>
      </c>
      <c r="W403" t="s">
        <v>8166</v>
      </c>
      <c r="X403" t="s">
        <v>8167</v>
      </c>
      <c r="Y403" t="s">
        <v>8168</v>
      </c>
      <c r="Z403" t="s">
        <v>8169</v>
      </c>
      <c r="AA403" t="s">
        <v>8170</v>
      </c>
      <c r="AB403" t="s">
        <v>8171</v>
      </c>
      <c r="AC403" t="s">
        <v>8172</v>
      </c>
      <c r="AD403" t="s">
        <v>8173</v>
      </c>
      <c r="AE403" t="s">
        <v>8174</v>
      </c>
      <c r="AF403" t="s">
        <v>74</v>
      </c>
      <c r="AG403">
        <v>106</v>
      </c>
      <c r="AH403">
        <v>2</v>
      </c>
      <c r="AI403">
        <v>2</v>
      </c>
      <c r="AJ403">
        <v>18</v>
      </c>
      <c r="AK403">
        <v>35</v>
      </c>
      <c r="AL403" t="s">
        <v>225</v>
      </c>
      <c r="AM403" t="s">
        <v>226</v>
      </c>
      <c r="AN403" t="s">
        <v>227</v>
      </c>
      <c r="AO403" t="s">
        <v>1719</v>
      </c>
      <c r="AP403" t="s">
        <v>1720</v>
      </c>
      <c r="AQ403" t="s">
        <v>74</v>
      </c>
      <c r="AR403" t="s">
        <v>1721</v>
      </c>
      <c r="AS403" t="s">
        <v>1722</v>
      </c>
      <c r="AT403" t="s">
        <v>6371</v>
      </c>
      <c r="AU403">
        <v>2023</v>
      </c>
      <c r="AV403">
        <v>213</v>
      </c>
      <c r="AW403" t="s">
        <v>74</v>
      </c>
      <c r="AX403" t="s">
        <v>74</v>
      </c>
      <c r="AY403" t="s">
        <v>74</v>
      </c>
      <c r="AZ403" t="s">
        <v>74</v>
      </c>
      <c r="BA403" t="s">
        <v>74</v>
      </c>
      <c r="BB403" t="s">
        <v>74</v>
      </c>
      <c r="BC403" t="s">
        <v>74</v>
      </c>
      <c r="BD403">
        <v>103006</v>
      </c>
      <c r="BE403" t="s">
        <v>8175</v>
      </c>
      <c r="BF403" t="str">
        <f>HYPERLINK("http://dx.doi.org/10.1016/j.pocean.2023.103006","http://dx.doi.org/10.1016/j.pocean.2023.103006")</f>
        <v>http://dx.doi.org/10.1016/j.pocean.2023.103006</v>
      </c>
      <c r="BG403" t="s">
        <v>74</v>
      </c>
      <c r="BH403" t="s">
        <v>6218</v>
      </c>
      <c r="BI403">
        <v>13</v>
      </c>
      <c r="BJ403" t="s">
        <v>863</v>
      </c>
      <c r="BK403" t="s">
        <v>103</v>
      </c>
      <c r="BL403" t="s">
        <v>863</v>
      </c>
      <c r="BM403" t="s">
        <v>8176</v>
      </c>
      <c r="BN403" t="s">
        <v>74</v>
      </c>
      <c r="BO403" t="s">
        <v>74</v>
      </c>
      <c r="BP403" t="s">
        <v>74</v>
      </c>
      <c r="BQ403" t="s">
        <v>74</v>
      </c>
      <c r="BR403" t="s">
        <v>106</v>
      </c>
      <c r="BS403" t="s">
        <v>8177</v>
      </c>
      <c r="BT403" t="str">
        <f>HYPERLINK("https%3A%2F%2Fwww.webofscience.com%2Fwos%2Fwoscc%2Ffull-record%2FWOS:000955897800001","View Full Record in Web of Science")</f>
        <v>View Full Record in Web of Science</v>
      </c>
    </row>
    <row r="404" spans="1:72" x14ac:dyDescent="0.15">
      <c r="A404" t="s">
        <v>72</v>
      </c>
      <c r="B404" t="s">
        <v>8178</v>
      </c>
      <c r="C404" t="s">
        <v>74</v>
      </c>
      <c r="D404" t="s">
        <v>74</v>
      </c>
      <c r="E404" t="s">
        <v>74</v>
      </c>
      <c r="F404" t="s">
        <v>8179</v>
      </c>
      <c r="G404" t="s">
        <v>74</v>
      </c>
      <c r="H404" t="s">
        <v>74</v>
      </c>
      <c r="I404" t="s">
        <v>8180</v>
      </c>
      <c r="J404" t="s">
        <v>2772</v>
      </c>
      <c r="K404" t="s">
        <v>74</v>
      </c>
      <c r="L404" t="s">
        <v>74</v>
      </c>
      <c r="M404" t="s">
        <v>78</v>
      </c>
      <c r="N404" t="s">
        <v>112</v>
      </c>
      <c r="O404" t="s">
        <v>74</v>
      </c>
      <c r="P404" t="s">
        <v>74</v>
      </c>
      <c r="Q404" t="s">
        <v>74</v>
      </c>
      <c r="R404" t="s">
        <v>74</v>
      </c>
      <c r="S404" t="s">
        <v>74</v>
      </c>
      <c r="T404" t="s">
        <v>8181</v>
      </c>
      <c r="U404" t="s">
        <v>8182</v>
      </c>
      <c r="V404" t="s">
        <v>8183</v>
      </c>
      <c r="W404" t="s">
        <v>8184</v>
      </c>
      <c r="X404" t="s">
        <v>8185</v>
      </c>
      <c r="Y404" t="s">
        <v>8186</v>
      </c>
      <c r="Z404" t="s">
        <v>8187</v>
      </c>
      <c r="AA404" t="s">
        <v>8188</v>
      </c>
      <c r="AB404" t="s">
        <v>8189</v>
      </c>
      <c r="AC404" t="s">
        <v>8190</v>
      </c>
      <c r="AD404" t="s">
        <v>8191</v>
      </c>
      <c r="AE404" t="s">
        <v>8192</v>
      </c>
      <c r="AF404" t="s">
        <v>74</v>
      </c>
      <c r="AG404">
        <v>78</v>
      </c>
      <c r="AH404">
        <v>0</v>
      </c>
      <c r="AI404">
        <v>0</v>
      </c>
      <c r="AJ404">
        <v>2</v>
      </c>
      <c r="AK404">
        <v>6</v>
      </c>
      <c r="AL404" t="s">
        <v>1101</v>
      </c>
      <c r="AM404" t="s">
        <v>1102</v>
      </c>
      <c r="AN404" t="s">
        <v>1103</v>
      </c>
      <c r="AO404" t="s">
        <v>2785</v>
      </c>
      <c r="AP404" t="s">
        <v>2786</v>
      </c>
      <c r="AQ404" t="s">
        <v>74</v>
      </c>
      <c r="AR404" t="s">
        <v>2787</v>
      </c>
      <c r="AS404" t="s">
        <v>2788</v>
      </c>
      <c r="AT404" t="s">
        <v>2789</v>
      </c>
      <c r="AU404">
        <v>2023</v>
      </c>
      <c r="AV404">
        <v>69</v>
      </c>
      <c r="AW404">
        <v>277</v>
      </c>
      <c r="AX404" t="s">
        <v>74</v>
      </c>
      <c r="AY404" t="s">
        <v>74</v>
      </c>
      <c r="AZ404" t="s">
        <v>74</v>
      </c>
      <c r="BA404" t="s">
        <v>74</v>
      </c>
      <c r="BB404">
        <v>1109</v>
      </c>
      <c r="BC404">
        <v>1124</v>
      </c>
      <c r="BD404" t="s">
        <v>8193</v>
      </c>
      <c r="BE404" t="s">
        <v>8194</v>
      </c>
      <c r="BF404" t="str">
        <f>HYPERLINK("http://dx.doi.org/10.1017/jog.2023.2","http://dx.doi.org/10.1017/jog.2023.2")</f>
        <v>http://dx.doi.org/10.1017/jog.2023.2</v>
      </c>
      <c r="BG404" t="s">
        <v>74</v>
      </c>
      <c r="BH404" t="s">
        <v>6218</v>
      </c>
      <c r="BI404">
        <v>16</v>
      </c>
      <c r="BJ404" t="s">
        <v>801</v>
      </c>
      <c r="BK404" t="s">
        <v>103</v>
      </c>
      <c r="BL404" t="s">
        <v>802</v>
      </c>
      <c r="BM404" t="s">
        <v>2792</v>
      </c>
      <c r="BN404" t="s">
        <v>74</v>
      </c>
      <c r="BO404" t="s">
        <v>614</v>
      </c>
      <c r="BP404" t="s">
        <v>74</v>
      </c>
      <c r="BQ404" t="s">
        <v>74</v>
      </c>
      <c r="BR404" t="s">
        <v>106</v>
      </c>
      <c r="BS404" t="s">
        <v>8195</v>
      </c>
      <c r="BT404" t="str">
        <f>HYPERLINK("https%3A%2F%2Fwww.webofscience.com%2Fwos%2Fwoscc%2Ffull-record%2FWOS:000950013300001","View Full Record in Web of Science")</f>
        <v>View Full Record in Web of Science</v>
      </c>
    </row>
    <row r="405" spans="1:72" x14ac:dyDescent="0.15">
      <c r="A405" t="s">
        <v>72</v>
      </c>
      <c r="B405" t="s">
        <v>8196</v>
      </c>
      <c r="C405" t="s">
        <v>74</v>
      </c>
      <c r="D405" t="s">
        <v>74</v>
      </c>
      <c r="E405" t="s">
        <v>74</v>
      </c>
      <c r="F405" t="s">
        <v>8197</v>
      </c>
      <c r="G405" t="s">
        <v>74</v>
      </c>
      <c r="H405" t="s">
        <v>74</v>
      </c>
      <c r="I405" t="s">
        <v>8198</v>
      </c>
      <c r="J405" t="s">
        <v>1534</v>
      </c>
      <c r="K405" t="s">
        <v>74</v>
      </c>
      <c r="L405" t="s">
        <v>74</v>
      </c>
      <c r="M405" t="s">
        <v>78</v>
      </c>
      <c r="N405" t="s">
        <v>112</v>
      </c>
      <c r="O405" t="s">
        <v>74</v>
      </c>
      <c r="P405" t="s">
        <v>74</v>
      </c>
      <c r="Q405" t="s">
        <v>74</v>
      </c>
      <c r="R405" t="s">
        <v>74</v>
      </c>
      <c r="S405" t="s">
        <v>74</v>
      </c>
      <c r="T405" t="s">
        <v>8199</v>
      </c>
      <c r="U405" t="s">
        <v>8200</v>
      </c>
      <c r="V405" t="s">
        <v>8201</v>
      </c>
      <c r="W405" t="s">
        <v>8202</v>
      </c>
      <c r="X405" t="s">
        <v>8203</v>
      </c>
      <c r="Y405" t="s">
        <v>8204</v>
      </c>
      <c r="Z405" t="s">
        <v>8205</v>
      </c>
      <c r="AA405" t="s">
        <v>8206</v>
      </c>
      <c r="AB405" t="s">
        <v>8207</v>
      </c>
      <c r="AC405" t="s">
        <v>8208</v>
      </c>
      <c r="AD405" t="s">
        <v>74</v>
      </c>
      <c r="AE405" t="s">
        <v>8209</v>
      </c>
      <c r="AF405" t="s">
        <v>74</v>
      </c>
      <c r="AG405">
        <v>42</v>
      </c>
      <c r="AH405">
        <v>1</v>
      </c>
      <c r="AI405">
        <v>1</v>
      </c>
      <c r="AJ405">
        <v>0</v>
      </c>
      <c r="AK405">
        <v>4</v>
      </c>
      <c r="AL405" t="s">
        <v>1101</v>
      </c>
      <c r="AM405" t="s">
        <v>179</v>
      </c>
      <c r="AN405" t="s">
        <v>1543</v>
      </c>
      <c r="AO405" t="s">
        <v>1544</v>
      </c>
      <c r="AP405" t="s">
        <v>1545</v>
      </c>
      <c r="AQ405" t="s">
        <v>74</v>
      </c>
      <c r="AR405" t="s">
        <v>1546</v>
      </c>
      <c r="AS405" t="s">
        <v>1547</v>
      </c>
      <c r="AT405" t="s">
        <v>8210</v>
      </c>
      <c r="AU405">
        <v>2023</v>
      </c>
      <c r="AV405">
        <v>35</v>
      </c>
      <c r="AW405">
        <v>1</v>
      </c>
      <c r="AX405" t="s">
        <v>74</v>
      </c>
      <c r="AY405" t="s">
        <v>74</v>
      </c>
      <c r="AZ405" t="s">
        <v>74</v>
      </c>
      <c r="BA405" t="s">
        <v>74</v>
      </c>
      <c r="BB405">
        <v>4</v>
      </c>
      <c r="BC405">
        <v>14</v>
      </c>
      <c r="BD405" t="s">
        <v>8211</v>
      </c>
      <c r="BE405" t="s">
        <v>8212</v>
      </c>
      <c r="BF405" t="str">
        <f>HYPERLINK("http://dx.doi.org/10.1017/S0954102022000529","http://dx.doi.org/10.1017/S0954102022000529")</f>
        <v>http://dx.doi.org/10.1017/S0954102022000529</v>
      </c>
      <c r="BG405" t="s">
        <v>74</v>
      </c>
      <c r="BH405" t="s">
        <v>6218</v>
      </c>
      <c r="BI405">
        <v>11</v>
      </c>
      <c r="BJ405" t="s">
        <v>1550</v>
      </c>
      <c r="BK405" t="s">
        <v>103</v>
      </c>
      <c r="BL405" t="s">
        <v>1551</v>
      </c>
      <c r="BM405" t="s">
        <v>8213</v>
      </c>
      <c r="BN405" t="s">
        <v>74</v>
      </c>
      <c r="BO405" t="s">
        <v>74</v>
      </c>
      <c r="BP405" t="s">
        <v>74</v>
      </c>
      <c r="BQ405" t="s">
        <v>74</v>
      </c>
      <c r="BR405" t="s">
        <v>106</v>
      </c>
      <c r="BS405" t="s">
        <v>8214</v>
      </c>
      <c r="BT405" t="str">
        <f>HYPERLINK("https%3A%2F%2Fwww.webofscience.com%2Fwos%2Fwoscc%2Ffull-record%2FWOS:000949016700001","View Full Record in Web of Science")</f>
        <v>View Full Record in Web of Science</v>
      </c>
    </row>
    <row r="406" spans="1:72" x14ac:dyDescent="0.15">
      <c r="A406" t="s">
        <v>72</v>
      </c>
      <c r="B406" t="s">
        <v>8215</v>
      </c>
      <c r="C406" t="s">
        <v>74</v>
      </c>
      <c r="D406" t="s">
        <v>74</v>
      </c>
      <c r="E406" t="s">
        <v>74</v>
      </c>
      <c r="F406" t="s">
        <v>8216</v>
      </c>
      <c r="G406" t="s">
        <v>74</v>
      </c>
      <c r="H406" t="s">
        <v>74</v>
      </c>
      <c r="I406" t="s">
        <v>8217</v>
      </c>
      <c r="J406" t="s">
        <v>782</v>
      </c>
      <c r="K406" t="s">
        <v>74</v>
      </c>
      <c r="L406" t="s">
        <v>74</v>
      </c>
      <c r="M406" t="s">
        <v>78</v>
      </c>
      <c r="N406" t="s">
        <v>112</v>
      </c>
      <c r="O406" t="s">
        <v>74</v>
      </c>
      <c r="P406" t="s">
        <v>74</v>
      </c>
      <c r="Q406" t="s">
        <v>74</v>
      </c>
      <c r="R406" t="s">
        <v>74</v>
      </c>
      <c r="S406" t="s">
        <v>74</v>
      </c>
      <c r="T406" t="s">
        <v>74</v>
      </c>
      <c r="U406" t="s">
        <v>8218</v>
      </c>
      <c r="V406" t="s">
        <v>8219</v>
      </c>
      <c r="W406" t="s">
        <v>8220</v>
      </c>
      <c r="X406" t="s">
        <v>8221</v>
      </c>
      <c r="Y406" t="s">
        <v>8222</v>
      </c>
      <c r="Z406" t="s">
        <v>8223</v>
      </c>
      <c r="AA406" t="s">
        <v>8224</v>
      </c>
      <c r="AB406" t="s">
        <v>8225</v>
      </c>
      <c r="AC406" t="s">
        <v>8226</v>
      </c>
      <c r="AD406" t="s">
        <v>8227</v>
      </c>
      <c r="AE406" t="s">
        <v>8228</v>
      </c>
      <c r="AF406" t="s">
        <v>74</v>
      </c>
      <c r="AG406">
        <v>102</v>
      </c>
      <c r="AH406">
        <v>2</v>
      </c>
      <c r="AI406">
        <v>2</v>
      </c>
      <c r="AJ406">
        <v>2</v>
      </c>
      <c r="AK406">
        <v>3</v>
      </c>
      <c r="AL406" t="s">
        <v>794</v>
      </c>
      <c r="AM406" t="s">
        <v>795</v>
      </c>
      <c r="AN406" t="s">
        <v>796</v>
      </c>
      <c r="AO406" t="s">
        <v>797</v>
      </c>
      <c r="AP406" t="s">
        <v>798</v>
      </c>
      <c r="AQ406" t="s">
        <v>74</v>
      </c>
      <c r="AR406" t="s">
        <v>782</v>
      </c>
      <c r="AS406" t="s">
        <v>799</v>
      </c>
      <c r="AT406" t="s">
        <v>8107</v>
      </c>
      <c r="AU406">
        <v>2023</v>
      </c>
      <c r="AV406">
        <v>17</v>
      </c>
      <c r="AW406">
        <v>3</v>
      </c>
      <c r="AX406" t="s">
        <v>74</v>
      </c>
      <c r="AY406" t="s">
        <v>74</v>
      </c>
      <c r="AZ406" t="s">
        <v>74</v>
      </c>
      <c r="BA406" t="s">
        <v>74</v>
      </c>
      <c r="BB406">
        <v>1247</v>
      </c>
      <c r="BC406">
        <v>1270</v>
      </c>
      <c r="BD406" t="s">
        <v>74</v>
      </c>
      <c r="BE406" t="s">
        <v>8229</v>
      </c>
      <c r="BF406" t="str">
        <f>HYPERLINK("http://dx.doi.org/10.5194/tc-17-1247-2023","http://dx.doi.org/10.5194/tc-17-1247-2023")</f>
        <v>http://dx.doi.org/10.5194/tc-17-1247-2023</v>
      </c>
      <c r="BG406" t="s">
        <v>74</v>
      </c>
      <c r="BH406" t="s">
        <v>74</v>
      </c>
      <c r="BI406">
        <v>24</v>
      </c>
      <c r="BJ406" t="s">
        <v>801</v>
      </c>
      <c r="BK406" t="s">
        <v>103</v>
      </c>
      <c r="BL406" t="s">
        <v>802</v>
      </c>
      <c r="BM406" t="s">
        <v>8230</v>
      </c>
      <c r="BN406" t="s">
        <v>74</v>
      </c>
      <c r="BO406" t="s">
        <v>8231</v>
      </c>
      <c r="BP406" t="s">
        <v>74</v>
      </c>
      <c r="BQ406" t="s">
        <v>74</v>
      </c>
      <c r="BR406" t="s">
        <v>106</v>
      </c>
      <c r="BS406" t="s">
        <v>8232</v>
      </c>
      <c r="BT406" t="str">
        <f>HYPERLINK("https%3A%2F%2Fwww.webofscience.com%2Fwos%2Fwoscc%2Ffull-record%2FWOS:000950532000001","View Full Record in Web of Science")</f>
        <v>View Full Record in Web of Science</v>
      </c>
    </row>
    <row r="407" spans="1:72" x14ac:dyDescent="0.15">
      <c r="A407" t="s">
        <v>72</v>
      </c>
      <c r="B407" t="s">
        <v>8233</v>
      </c>
      <c r="C407" t="s">
        <v>74</v>
      </c>
      <c r="D407" t="s">
        <v>74</v>
      </c>
      <c r="E407" t="s">
        <v>74</v>
      </c>
      <c r="F407" t="s">
        <v>8234</v>
      </c>
      <c r="G407" t="s">
        <v>74</v>
      </c>
      <c r="H407" t="s">
        <v>74</v>
      </c>
      <c r="I407" t="s">
        <v>8235</v>
      </c>
      <c r="J407" t="s">
        <v>1025</v>
      </c>
      <c r="K407" t="s">
        <v>74</v>
      </c>
      <c r="L407" t="s">
        <v>74</v>
      </c>
      <c r="M407" t="s">
        <v>78</v>
      </c>
      <c r="N407" t="s">
        <v>112</v>
      </c>
      <c r="O407" t="s">
        <v>74</v>
      </c>
      <c r="P407" t="s">
        <v>74</v>
      </c>
      <c r="Q407" t="s">
        <v>74</v>
      </c>
      <c r="R407" t="s">
        <v>74</v>
      </c>
      <c r="S407" t="s">
        <v>74</v>
      </c>
      <c r="T407" t="s">
        <v>74</v>
      </c>
      <c r="U407" t="s">
        <v>8236</v>
      </c>
      <c r="V407" t="s">
        <v>8237</v>
      </c>
      <c r="W407" t="s">
        <v>8238</v>
      </c>
      <c r="X407" t="s">
        <v>8239</v>
      </c>
      <c r="Y407" t="s">
        <v>8240</v>
      </c>
      <c r="Z407" t="s">
        <v>8241</v>
      </c>
      <c r="AA407" t="s">
        <v>8242</v>
      </c>
      <c r="AB407" t="s">
        <v>8243</v>
      </c>
      <c r="AC407" t="s">
        <v>8244</v>
      </c>
      <c r="AD407" t="s">
        <v>8245</v>
      </c>
      <c r="AE407" t="s">
        <v>8246</v>
      </c>
      <c r="AF407" t="s">
        <v>74</v>
      </c>
      <c r="AG407">
        <v>114</v>
      </c>
      <c r="AH407">
        <v>0</v>
      </c>
      <c r="AI407">
        <v>0</v>
      </c>
      <c r="AJ407">
        <v>5</v>
      </c>
      <c r="AK407">
        <v>10</v>
      </c>
      <c r="AL407" t="s">
        <v>794</v>
      </c>
      <c r="AM407" t="s">
        <v>795</v>
      </c>
      <c r="AN407" t="s">
        <v>796</v>
      </c>
      <c r="AO407" t="s">
        <v>1036</v>
      </c>
      <c r="AP407" t="s">
        <v>1037</v>
      </c>
      <c r="AQ407" t="s">
        <v>74</v>
      </c>
      <c r="AR407" t="s">
        <v>1038</v>
      </c>
      <c r="AS407" t="s">
        <v>1039</v>
      </c>
      <c r="AT407" t="s">
        <v>8107</v>
      </c>
      <c r="AU407">
        <v>2023</v>
      </c>
      <c r="AV407">
        <v>19</v>
      </c>
      <c r="AW407">
        <v>3</v>
      </c>
      <c r="AX407" t="s">
        <v>74</v>
      </c>
      <c r="AY407" t="s">
        <v>74</v>
      </c>
      <c r="AZ407" t="s">
        <v>74</v>
      </c>
      <c r="BA407" t="s">
        <v>74</v>
      </c>
      <c r="BB407">
        <v>579</v>
      </c>
      <c r="BC407">
        <v>606</v>
      </c>
      <c r="BD407" t="s">
        <v>74</v>
      </c>
      <c r="BE407" t="s">
        <v>8247</v>
      </c>
      <c r="BF407" t="str">
        <f>HYPERLINK("http://dx.doi.org/10.5194/cp-19-579-2023","http://dx.doi.org/10.5194/cp-19-579-2023")</f>
        <v>http://dx.doi.org/10.5194/cp-19-579-2023</v>
      </c>
      <c r="BG407" t="s">
        <v>74</v>
      </c>
      <c r="BH407" t="s">
        <v>74</v>
      </c>
      <c r="BI407">
        <v>28</v>
      </c>
      <c r="BJ407" t="s">
        <v>1041</v>
      </c>
      <c r="BK407" t="s">
        <v>103</v>
      </c>
      <c r="BL407" t="s">
        <v>1042</v>
      </c>
      <c r="BM407" t="s">
        <v>8248</v>
      </c>
      <c r="BN407" t="s">
        <v>74</v>
      </c>
      <c r="BO407" t="s">
        <v>6496</v>
      </c>
      <c r="BP407" t="s">
        <v>74</v>
      </c>
      <c r="BQ407" t="s">
        <v>74</v>
      </c>
      <c r="BR407" t="s">
        <v>106</v>
      </c>
      <c r="BS407" t="s">
        <v>8249</v>
      </c>
      <c r="BT407" t="str">
        <f>HYPERLINK("https%3A%2F%2Fwww.webofscience.com%2Fwos%2Fwoscc%2Ffull-record%2FWOS:000951936500001","View Full Record in Web of Science")</f>
        <v>View Full Record in Web of Science</v>
      </c>
    </row>
    <row r="408" spans="1:72" x14ac:dyDescent="0.15">
      <c r="A408" t="s">
        <v>72</v>
      </c>
      <c r="B408" t="s">
        <v>8250</v>
      </c>
      <c r="C408" t="s">
        <v>74</v>
      </c>
      <c r="D408" t="s">
        <v>74</v>
      </c>
      <c r="E408" t="s">
        <v>74</v>
      </c>
      <c r="F408" t="s">
        <v>8251</v>
      </c>
      <c r="G408" t="s">
        <v>74</v>
      </c>
      <c r="H408" t="s">
        <v>74</v>
      </c>
      <c r="I408" t="s">
        <v>8252</v>
      </c>
      <c r="J408" t="s">
        <v>2058</v>
      </c>
      <c r="K408" t="s">
        <v>74</v>
      </c>
      <c r="L408" t="s">
        <v>74</v>
      </c>
      <c r="M408" t="s">
        <v>78</v>
      </c>
      <c r="N408" t="s">
        <v>1118</v>
      </c>
      <c r="O408" t="s">
        <v>74</v>
      </c>
      <c r="P408" t="s">
        <v>74</v>
      </c>
      <c r="Q408" t="s">
        <v>74</v>
      </c>
      <c r="R408" t="s">
        <v>74</v>
      </c>
      <c r="S408" t="s">
        <v>74</v>
      </c>
      <c r="T408" t="s">
        <v>74</v>
      </c>
      <c r="U408" t="s">
        <v>8253</v>
      </c>
      <c r="V408" t="s">
        <v>8254</v>
      </c>
      <c r="W408" t="s">
        <v>8255</v>
      </c>
      <c r="X408" t="s">
        <v>8256</v>
      </c>
      <c r="Y408" t="s">
        <v>8257</v>
      </c>
      <c r="Z408" t="s">
        <v>8258</v>
      </c>
      <c r="AA408" t="s">
        <v>8259</v>
      </c>
      <c r="AB408" t="s">
        <v>8260</v>
      </c>
      <c r="AC408" t="s">
        <v>8261</v>
      </c>
      <c r="AD408" t="s">
        <v>8262</v>
      </c>
      <c r="AE408" t="s">
        <v>8263</v>
      </c>
      <c r="AF408" t="s">
        <v>74</v>
      </c>
      <c r="AG408">
        <v>46</v>
      </c>
      <c r="AH408">
        <v>1</v>
      </c>
      <c r="AI408">
        <v>1</v>
      </c>
      <c r="AJ408">
        <v>1</v>
      </c>
      <c r="AK408">
        <v>7</v>
      </c>
      <c r="AL408" t="s">
        <v>794</v>
      </c>
      <c r="AM408" t="s">
        <v>795</v>
      </c>
      <c r="AN408" t="s">
        <v>796</v>
      </c>
      <c r="AO408" t="s">
        <v>2069</v>
      </c>
      <c r="AP408" t="s">
        <v>2070</v>
      </c>
      <c r="AQ408" t="s">
        <v>74</v>
      </c>
      <c r="AR408" t="s">
        <v>2071</v>
      </c>
      <c r="AS408" t="s">
        <v>2072</v>
      </c>
      <c r="AT408" t="s">
        <v>8107</v>
      </c>
      <c r="AU408">
        <v>2023</v>
      </c>
      <c r="AV408">
        <v>15</v>
      </c>
      <c r="AW408">
        <v>3</v>
      </c>
      <c r="AX408" t="s">
        <v>74</v>
      </c>
      <c r="AY408" t="s">
        <v>74</v>
      </c>
      <c r="AZ408" t="s">
        <v>74</v>
      </c>
      <c r="BA408" t="s">
        <v>74</v>
      </c>
      <c r="BB408">
        <v>1115</v>
      </c>
      <c r="BC408">
        <v>1132</v>
      </c>
      <c r="BD408" t="s">
        <v>74</v>
      </c>
      <c r="BE408" t="s">
        <v>8264</v>
      </c>
      <c r="BF408" t="str">
        <f>HYPERLINK("http://dx.doi.org/10.5194/essd-15-1115-2023","http://dx.doi.org/10.5194/essd-15-1115-2023")</f>
        <v>http://dx.doi.org/10.5194/essd-15-1115-2023</v>
      </c>
      <c r="BG408" t="s">
        <v>74</v>
      </c>
      <c r="BH408" t="s">
        <v>74</v>
      </c>
      <c r="BI408">
        <v>18</v>
      </c>
      <c r="BJ408" t="s">
        <v>1041</v>
      </c>
      <c r="BK408" t="s">
        <v>103</v>
      </c>
      <c r="BL408" t="s">
        <v>1042</v>
      </c>
      <c r="BM408" t="s">
        <v>8265</v>
      </c>
      <c r="BN408" t="s">
        <v>74</v>
      </c>
      <c r="BO408" t="s">
        <v>3241</v>
      </c>
      <c r="BP408" t="s">
        <v>74</v>
      </c>
      <c r="BQ408" t="s">
        <v>74</v>
      </c>
      <c r="BR408" t="s">
        <v>106</v>
      </c>
      <c r="BS408" t="s">
        <v>8266</v>
      </c>
      <c r="BT408" t="str">
        <f>HYPERLINK("https%3A%2F%2Fwww.webofscience.com%2Fwos%2Fwoscc%2Ffull-record%2FWOS:000951891200001","View Full Record in Web of Science")</f>
        <v>View Full Record in Web of Science</v>
      </c>
    </row>
    <row r="409" spans="1:72" x14ac:dyDescent="0.15">
      <c r="A409" t="s">
        <v>72</v>
      </c>
      <c r="B409" t="s">
        <v>8267</v>
      </c>
      <c r="C409" t="s">
        <v>74</v>
      </c>
      <c r="D409" t="s">
        <v>74</v>
      </c>
      <c r="E409" t="s">
        <v>74</v>
      </c>
      <c r="F409" t="s">
        <v>8268</v>
      </c>
      <c r="G409" t="s">
        <v>74</v>
      </c>
      <c r="H409" t="s">
        <v>74</v>
      </c>
      <c r="I409" t="s">
        <v>8269</v>
      </c>
      <c r="J409" t="s">
        <v>1966</v>
      </c>
      <c r="K409" t="s">
        <v>74</v>
      </c>
      <c r="L409" t="s">
        <v>74</v>
      </c>
      <c r="M409" t="s">
        <v>78</v>
      </c>
      <c r="N409" t="s">
        <v>112</v>
      </c>
      <c r="O409" t="s">
        <v>74</v>
      </c>
      <c r="P409" t="s">
        <v>74</v>
      </c>
      <c r="Q409" t="s">
        <v>74</v>
      </c>
      <c r="R409" t="s">
        <v>74</v>
      </c>
      <c r="S409" t="s">
        <v>74</v>
      </c>
      <c r="T409" t="s">
        <v>8270</v>
      </c>
      <c r="U409" t="s">
        <v>8271</v>
      </c>
      <c r="V409" t="s">
        <v>8272</v>
      </c>
      <c r="W409" t="s">
        <v>8273</v>
      </c>
      <c r="X409" t="s">
        <v>8274</v>
      </c>
      <c r="Y409" t="s">
        <v>8275</v>
      </c>
      <c r="Z409" t="s">
        <v>8276</v>
      </c>
      <c r="AA409" t="s">
        <v>8277</v>
      </c>
      <c r="AB409" t="s">
        <v>8278</v>
      </c>
      <c r="AC409" t="s">
        <v>8279</v>
      </c>
      <c r="AD409" t="s">
        <v>5252</v>
      </c>
      <c r="AE409" t="s">
        <v>8280</v>
      </c>
      <c r="AF409" t="s">
        <v>74</v>
      </c>
      <c r="AG409">
        <v>57</v>
      </c>
      <c r="AH409">
        <v>7</v>
      </c>
      <c r="AI409">
        <v>7</v>
      </c>
      <c r="AJ409">
        <v>25</v>
      </c>
      <c r="AK409">
        <v>65</v>
      </c>
      <c r="AL409" t="s">
        <v>447</v>
      </c>
      <c r="AM409" t="s">
        <v>448</v>
      </c>
      <c r="AN409" t="s">
        <v>449</v>
      </c>
      <c r="AO409" t="s">
        <v>1979</v>
      </c>
      <c r="AP409" t="s">
        <v>1980</v>
      </c>
      <c r="AQ409" t="s">
        <v>74</v>
      </c>
      <c r="AR409" t="s">
        <v>1981</v>
      </c>
      <c r="AS409" t="s">
        <v>1982</v>
      </c>
      <c r="AT409" t="s">
        <v>8281</v>
      </c>
      <c r="AU409">
        <v>2023</v>
      </c>
      <c r="AV409">
        <v>451</v>
      </c>
      <c r="AW409" t="s">
        <v>74</v>
      </c>
      <c r="AX409" t="s">
        <v>74</v>
      </c>
      <c r="AY409" t="s">
        <v>74</v>
      </c>
      <c r="AZ409" t="s">
        <v>74</v>
      </c>
      <c r="BA409" t="s">
        <v>74</v>
      </c>
      <c r="BB409" t="s">
        <v>74</v>
      </c>
      <c r="BC409" t="s">
        <v>74</v>
      </c>
      <c r="BD409">
        <v>131213</v>
      </c>
      <c r="BE409" t="s">
        <v>8282</v>
      </c>
      <c r="BF409" t="str">
        <f>HYPERLINK("http://dx.doi.org/10.1016/j.jhazmat.2023.131213","http://dx.doi.org/10.1016/j.jhazmat.2023.131213")</f>
        <v>http://dx.doi.org/10.1016/j.jhazmat.2023.131213</v>
      </c>
      <c r="BG409" t="s">
        <v>74</v>
      </c>
      <c r="BH409" t="s">
        <v>6218</v>
      </c>
      <c r="BI409">
        <v>12</v>
      </c>
      <c r="BJ409" t="s">
        <v>1985</v>
      </c>
      <c r="BK409" t="s">
        <v>103</v>
      </c>
      <c r="BL409" t="s">
        <v>1986</v>
      </c>
      <c r="BM409" t="s">
        <v>8283</v>
      </c>
      <c r="BN409">
        <v>36931216</v>
      </c>
      <c r="BO409" t="s">
        <v>74</v>
      </c>
      <c r="BP409" t="s">
        <v>74</v>
      </c>
      <c r="BQ409" t="s">
        <v>74</v>
      </c>
      <c r="BR409" t="s">
        <v>106</v>
      </c>
      <c r="BS409" t="s">
        <v>8284</v>
      </c>
      <c r="BT409" t="str">
        <f>HYPERLINK("https%3A%2F%2Fwww.webofscience.com%2Fwos%2Fwoscc%2Ffull-record%2FWOS:000951782100001","View Full Record in Web of Science")</f>
        <v>View Full Record in Web of Science</v>
      </c>
    </row>
    <row r="410" spans="1:72" x14ac:dyDescent="0.15">
      <c r="A410" t="s">
        <v>72</v>
      </c>
      <c r="B410" t="s">
        <v>8285</v>
      </c>
      <c r="C410" t="s">
        <v>74</v>
      </c>
      <c r="D410" t="s">
        <v>74</v>
      </c>
      <c r="E410" t="s">
        <v>74</v>
      </c>
      <c r="F410" t="s">
        <v>8286</v>
      </c>
      <c r="G410" t="s">
        <v>74</v>
      </c>
      <c r="H410" t="s">
        <v>74</v>
      </c>
      <c r="I410" t="s">
        <v>8287</v>
      </c>
      <c r="J410" t="s">
        <v>8288</v>
      </c>
      <c r="K410" t="s">
        <v>74</v>
      </c>
      <c r="L410" t="s">
        <v>74</v>
      </c>
      <c r="M410" t="s">
        <v>78</v>
      </c>
      <c r="N410" t="s">
        <v>112</v>
      </c>
      <c r="O410" t="s">
        <v>74</v>
      </c>
      <c r="P410" t="s">
        <v>74</v>
      </c>
      <c r="Q410" t="s">
        <v>74</v>
      </c>
      <c r="R410" t="s">
        <v>74</v>
      </c>
      <c r="S410" t="s">
        <v>74</v>
      </c>
      <c r="T410" t="s">
        <v>8289</v>
      </c>
      <c r="U410" t="s">
        <v>8290</v>
      </c>
      <c r="V410" t="s">
        <v>8291</v>
      </c>
      <c r="W410" t="s">
        <v>8292</v>
      </c>
      <c r="X410" t="s">
        <v>8293</v>
      </c>
      <c r="Y410" t="s">
        <v>8294</v>
      </c>
      <c r="Z410" t="s">
        <v>8295</v>
      </c>
      <c r="AA410" t="s">
        <v>8296</v>
      </c>
      <c r="AB410" t="s">
        <v>8297</v>
      </c>
      <c r="AC410" t="s">
        <v>8298</v>
      </c>
      <c r="AD410" t="s">
        <v>8299</v>
      </c>
      <c r="AE410" t="s">
        <v>8300</v>
      </c>
      <c r="AF410" t="s">
        <v>74</v>
      </c>
      <c r="AG410">
        <v>53</v>
      </c>
      <c r="AH410">
        <v>1</v>
      </c>
      <c r="AI410">
        <v>1</v>
      </c>
      <c r="AJ410">
        <v>1</v>
      </c>
      <c r="AK410">
        <v>2</v>
      </c>
      <c r="AL410" t="s">
        <v>2092</v>
      </c>
      <c r="AM410" t="s">
        <v>2093</v>
      </c>
      <c r="AN410" t="s">
        <v>2094</v>
      </c>
      <c r="AO410" t="s">
        <v>8301</v>
      </c>
      <c r="AP410" t="s">
        <v>8302</v>
      </c>
      <c r="AQ410" t="s">
        <v>74</v>
      </c>
      <c r="AR410" t="s">
        <v>8303</v>
      </c>
      <c r="AS410" t="s">
        <v>8304</v>
      </c>
      <c r="AT410" t="s">
        <v>8107</v>
      </c>
      <c r="AU410">
        <v>2023</v>
      </c>
      <c r="AV410">
        <v>43</v>
      </c>
      <c r="AW410">
        <v>3</v>
      </c>
      <c r="AX410" t="s">
        <v>74</v>
      </c>
      <c r="AY410" t="s">
        <v>74</v>
      </c>
      <c r="AZ410" t="s">
        <v>74</v>
      </c>
      <c r="BA410" t="s">
        <v>74</v>
      </c>
      <c r="BB410">
        <v>1382</v>
      </c>
      <c r="BC410">
        <v>1395</v>
      </c>
      <c r="BD410" t="s">
        <v>74</v>
      </c>
      <c r="BE410" t="s">
        <v>8305</v>
      </c>
      <c r="BF410" t="str">
        <f>HYPERLINK("http://dx.doi.org/10.1002/joc.7921","http://dx.doi.org/10.1002/joc.7921")</f>
        <v>http://dx.doi.org/10.1002/joc.7921</v>
      </c>
      <c r="BG410" t="s">
        <v>74</v>
      </c>
      <c r="BH410" t="s">
        <v>74</v>
      </c>
      <c r="BI410">
        <v>14</v>
      </c>
      <c r="BJ410" t="s">
        <v>102</v>
      </c>
      <c r="BK410" t="s">
        <v>103</v>
      </c>
      <c r="BL410" t="s">
        <v>102</v>
      </c>
      <c r="BM410" t="s">
        <v>8306</v>
      </c>
      <c r="BN410" t="s">
        <v>74</v>
      </c>
      <c r="BO410" t="s">
        <v>74</v>
      </c>
      <c r="BP410" t="s">
        <v>74</v>
      </c>
      <c r="BQ410" t="s">
        <v>74</v>
      </c>
      <c r="BR410" t="s">
        <v>106</v>
      </c>
      <c r="BS410" t="s">
        <v>8307</v>
      </c>
      <c r="BT410" t="str">
        <f>HYPERLINK("https%3A%2F%2Fwww.webofscience.com%2Fwos%2Fwoscc%2Ffull-record%2FWOS:000947142000010","View Full Record in Web of Science")</f>
        <v>View Full Record in Web of Science</v>
      </c>
    </row>
    <row r="411" spans="1:72" x14ac:dyDescent="0.15">
      <c r="A411" t="s">
        <v>72</v>
      </c>
      <c r="B411" t="s">
        <v>8308</v>
      </c>
      <c r="C411" t="s">
        <v>74</v>
      </c>
      <c r="D411" t="s">
        <v>74</v>
      </c>
      <c r="E411" t="s">
        <v>74</v>
      </c>
      <c r="F411" t="s">
        <v>8309</v>
      </c>
      <c r="G411" t="s">
        <v>74</v>
      </c>
      <c r="H411" t="s">
        <v>74</v>
      </c>
      <c r="I411" t="s">
        <v>8310</v>
      </c>
      <c r="J411" t="s">
        <v>194</v>
      </c>
      <c r="K411" t="s">
        <v>74</v>
      </c>
      <c r="L411" t="s">
        <v>74</v>
      </c>
      <c r="M411" t="s">
        <v>78</v>
      </c>
      <c r="N411" t="s">
        <v>112</v>
      </c>
      <c r="O411" t="s">
        <v>74</v>
      </c>
      <c r="P411" t="s">
        <v>74</v>
      </c>
      <c r="Q411" t="s">
        <v>74</v>
      </c>
      <c r="R411" t="s">
        <v>74</v>
      </c>
      <c r="S411" t="s">
        <v>74</v>
      </c>
      <c r="T411" t="s">
        <v>74</v>
      </c>
      <c r="U411" t="s">
        <v>8311</v>
      </c>
      <c r="V411" t="s">
        <v>8312</v>
      </c>
      <c r="W411" t="s">
        <v>8313</v>
      </c>
      <c r="X411" t="s">
        <v>8314</v>
      </c>
      <c r="Y411" t="s">
        <v>8315</v>
      </c>
      <c r="Z411" t="s">
        <v>8316</v>
      </c>
      <c r="AA411" t="s">
        <v>8317</v>
      </c>
      <c r="AB411" t="s">
        <v>8318</v>
      </c>
      <c r="AC411" t="s">
        <v>8319</v>
      </c>
      <c r="AD411" t="s">
        <v>8320</v>
      </c>
      <c r="AE411" t="s">
        <v>8321</v>
      </c>
      <c r="AF411" t="s">
        <v>74</v>
      </c>
      <c r="AG411">
        <v>74</v>
      </c>
      <c r="AH411">
        <v>3</v>
      </c>
      <c r="AI411">
        <v>3</v>
      </c>
      <c r="AJ411">
        <v>6</v>
      </c>
      <c r="AK411">
        <v>16</v>
      </c>
      <c r="AL411" t="s">
        <v>203</v>
      </c>
      <c r="AM411" t="s">
        <v>204</v>
      </c>
      <c r="AN411" t="s">
        <v>205</v>
      </c>
      <c r="AO411" t="s">
        <v>206</v>
      </c>
      <c r="AP411" t="s">
        <v>74</v>
      </c>
      <c r="AQ411" t="s">
        <v>74</v>
      </c>
      <c r="AR411" t="s">
        <v>207</v>
      </c>
      <c r="AS411" t="s">
        <v>208</v>
      </c>
      <c r="AT411" t="s">
        <v>8322</v>
      </c>
      <c r="AU411">
        <v>2023</v>
      </c>
      <c r="AV411">
        <v>13</v>
      </c>
      <c r="AW411">
        <v>1</v>
      </c>
      <c r="AX411" t="s">
        <v>74</v>
      </c>
      <c r="AY411" t="s">
        <v>74</v>
      </c>
      <c r="AZ411" t="s">
        <v>74</v>
      </c>
      <c r="BA411" t="s">
        <v>74</v>
      </c>
      <c r="BB411" t="s">
        <v>74</v>
      </c>
      <c r="BC411" t="s">
        <v>74</v>
      </c>
      <c r="BD411">
        <v>4218</v>
      </c>
      <c r="BE411" t="s">
        <v>8323</v>
      </c>
      <c r="BF411" t="str">
        <f>HYPERLINK("http://dx.doi.org/10.1038/s41598-023-31242-2","http://dx.doi.org/10.1038/s41598-023-31242-2")</f>
        <v>http://dx.doi.org/10.1038/s41598-023-31242-2</v>
      </c>
      <c r="BG411" t="s">
        <v>74</v>
      </c>
      <c r="BH411" t="s">
        <v>74</v>
      </c>
      <c r="BI411">
        <v>16</v>
      </c>
      <c r="BJ411" t="s">
        <v>210</v>
      </c>
      <c r="BK411" t="s">
        <v>103</v>
      </c>
      <c r="BL411" t="s">
        <v>211</v>
      </c>
      <c r="BM411" t="s">
        <v>8324</v>
      </c>
      <c r="BN411">
        <v>36918611</v>
      </c>
      <c r="BO411" t="s">
        <v>614</v>
      </c>
      <c r="BP411" t="s">
        <v>74</v>
      </c>
      <c r="BQ411" t="s">
        <v>74</v>
      </c>
      <c r="BR411" t="s">
        <v>106</v>
      </c>
      <c r="BS411" t="s">
        <v>8325</v>
      </c>
      <c r="BT411" t="str">
        <f>HYPERLINK("https%3A%2F%2Fwww.webofscience.com%2Fwos%2Fwoscc%2Ffull-record%2FWOS:000984342100077","View Full Record in Web of Science")</f>
        <v>View Full Record in Web of Science</v>
      </c>
    </row>
    <row r="412" spans="1:72" x14ac:dyDescent="0.15">
      <c r="A412" t="s">
        <v>72</v>
      </c>
      <c r="B412" t="s">
        <v>8326</v>
      </c>
      <c r="C412" t="s">
        <v>74</v>
      </c>
      <c r="D412" t="s">
        <v>74</v>
      </c>
      <c r="E412" t="s">
        <v>74</v>
      </c>
      <c r="F412" t="s">
        <v>8327</v>
      </c>
      <c r="G412" t="s">
        <v>74</v>
      </c>
      <c r="H412" t="s">
        <v>74</v>
      </c>
      <c r="I412" t="s">
        <v>8328</v>
      </c>
      <c r="J412" t="s">
        <v>8329</v>
      </c>
      <c r="K412" t="s">
        <v>74</v>
      </c>
      <c r="L412" t="s">
        <v>74</v>
      </c>
      <c r="M412" t="s">
        <v>78</v>
      </c>
      <c r="N412" t="s">
        <v>3844</v>
      </c>
      <c r="O412" t="s">
        <v>74</v>
      </c>
      <c r="P412" t="s">
        <v>74</v>
      </c>
      <c r="Q412" t="s">
        <v>74</v>
      </c>
      <c r="R412" t="s">
        <v>74</v>
      </c>
      <c r="S412" t="s">
        <v>74</v>
      </c>
      <c r="T412" t="s">
        <v>74</v>
      </c>
      <c r="U412" t="s">
        <v>74</v>
      </c>
      <c r="V412" t="s">
        <v>74</v>
      </c>
      <c r="W412" t="s">
        <v>8330</v>
      </c>
      <c r="X412" t="s">
        <v>8331</v>
      </c>
      <c r="Y412" t="s">
        <v>8332</v>
      </c>
      <c r="Z412" t="s">
        <v>8333</v>
      </c>
      <c r="AA412" t="s">
        <v>8334</v>
      </c>
      <c r="AB412" t="s">
        <v>8335</v>
      </c>
      <c r="AC412" t="s">
        <v>74</v>
      </c>
      <c r="AD412" t="s">
        <v>74</v>
      </c>
      <c r="AE412" t="s">
        <v>74</v>
      </c>
      <c r="AF412" t="s">
        <v>74</v>
      </c>
      <c r="AG412">
        <v>1</v>
      </c>
      <c r="AH412">
        <v>0</v>
      </c>
      <c r="AI412">
        <v>0</v>
      </c>
      <c r="AJ412">
        <v>0</v>
      </c>
      <c r="AK412">
        <v>0</v>
      </c>
      <c r="AL412" t="s">
        <v>1357</v>
      </c>
      <c r="AM412" t="s">
        <v>525</v>
      </c>
      <c r="AN412" t="s">
        <v>1358</v>
      </c>
      <c r="AO412" t="s">
        <v>74</v>
      </c>
      <c r="AP412" t="s">
        <v>8336</v>
      </c>
      <c r="AQ412" t="s">
        <v>74</v>
      </c>
      <c r="AR412" t="s">
        <v>8337</v>
      </c>
      <c r="AS412" t="s">
        <v>8338</v>
      </c>
      <c r="AT412" t="s">
        <v>8322</v>
      </c>
      <c r="AU412">
        <v>2023</v>
      </c>
      <c r="AV412">
        <v>3</v>
      </c>
      <c r="AW412">
        <v>1</v>
      </c>
      <c r="AX412" t="s">
        <v>74</v>
      </c>
      <c r="AY412" t="s">
        <v>74</v>
      </c>
      <c r="AZ412" t="s">
        <v>74</v>
      </c>
      <c r="BA412" t="s">
        <v>74</v>
      </c>
      <c r="BB412" t="s">
        <v>74</v>
      </c>
      <c r="BC412" t="s">
        <v>74</v>
      </c>
      <c r="BD412">
        <v>16</v>
      </c>
      <c r="BE412" t="s">
        <v>8339</v>
      </c>
      <c r="BF412" t="str">
        <f>HYPERLINK("http://dx.doi.org/10.1038/s42949-023-00097-x","http://dx.doi.org/10.1038/s42949-023-00097-x")</f>
        <v>http://dx.doi.org/10.1038/s42949-023-00097-x</v>
      </c>
      <c r="BG412" t="s">
        <v>74</v>
      </c>
      <c r="BH412" t="s">
        <v>74</v>
      </c>
      <c r="BI412">
        <v>1</v>
      </c>
      <c r="BJ412" t="s">
        <v>8340</v>
      </c>
      <c r="BK412" t="s">
        <v>160</v>
      </c>
      <c r="BL412" t="s">
        <v>8341</v>
      </c>
      <c r="BM412" t="s">
        <v>8342</v>
      </c>
      <c r="BN412" t="s">
        <v>74</v>
      </c>
      <c r="BO412" t="s">
        <v>359</v>
      </c>
      <c r="BP412" t="s">
        <v>74</v>
      </c>
      <c r="BQ412" t="s">
        <v>74</v>
      </c>
      <c r="BR412" t="s">
        <v>106</v>
      </c>
      <c r="BS412" t="s">
        <v>8343</v>
      </c>
      <c r="BT412" t="str">
        <f>HYPERLINK("https%3A%2F%2Fwww.webofscience.com%2Fwos%2Fwoscc%2Ffull-record%2FWOS:001000590200001","View Full Record in Web of Science")</f>
        <v>View Full Record in Web of Science</v>
      </c>
    </row>
    <row r="413" spans="1:72" x14ac:dyDescent="0.15">
      <c r="A413" t="s">
        <v>72</v>
      </c>
      <c r="B413" t="s">
        <v>8344</v>
      </c>
      <c r="C413" t="s">
        <v>74</v>
      </c>
      <c r="D413" t="s">
        <v>74</v>
      </c>
      <c r="E413" t="s">
        <v>74</v>
      </c>
      <c r="F413" t="s">
        <v>8345</v>
      </c>
      <c r="G413" t="s">
        <v>74</v>
      </c>
      <c r="H413" t="s">
        <v>74</v>
      </c>
      <c r="I413" t="s">
        <v>8346</v>
      </c>
      <c r="J413" t="s">
        <v>1215</v>
      </c>
      <c r="K413" t="s">
        <v>74</v>
      </c>
      <c r="L413" t="s">
        <v>74</v>
      </c>
      <c r="M413" t="s">
        <v>78</v>
      </c>
      <c r="N413" t="s">
        <v>79</v>
      </c>
      <c r="O413" t="s">
        <v>74</v>
      </c>
      <c r="P413" t="s">
        <v>74</v>
      </c>
      <c r="Q413" t="s">
        <v>74</v>
      </c>
      <c r="R413" t="s">
        <v>74</v>
      </c>
      <c r="S413" t="s">
        <v>74</v>
      </c>
      <c r="T413" t="s">
        <v>8347</v>
      </c>
      <c r="U413" t="s">
        <v>8348</v>
      </c>
      <c r="V413" t="s">
        <v>74</v>
      </c>
      <c r="W413" t="s">
        <v>8349</v>
      </c>
      <c r="X413" t="s">
        <v>8350</v>
      </c>
      <c r="Y413" t="s">
        <v>8351</v>
      </c>
      <c r="Z413" t="s">
        <v>74</v>
      </c>
      <c r="AA413" t="s">
        <v>8352</v>
      </c>
      <c r="AB413" t="s">
        <v>8353</v>
      </c>
      <c r="AC413" t="s">
        <v>8354</v>
      </c>
      <c r="AD413" t="s">
        <v>8355</v>
      </c>
      <c r="AE413" t="s">
        <v>8356</v>
      </c>
      <c r="AF413" t="s">
        <v>74</v>
      </c>
      <c r="AG413">
        <v>12</v>
      </c>
      <c r="AH413">
        <v>1</v>
      </c>
      <c r="AI413">
        <v>1</v>
      </c>
      <c r="AJ413">
        <v>5</v>
      </c>
      <c r="AK413">
        <v>10</v>
      </c>
      <c r="AL413" t="s">
        <v>700</v>
      </c>
      <c r="AM413" t="s">
        <v>701</v>
      </c>
      <c r="AN413" t="s">
        <v>702</v>
      </c>
      <c r="AO413" t="s">
        <v>74</v>
      </c>
      <c r="AP413" t="s">
        <v>1228</v>
      </c>
      <c r="AQ413" t="s">
        <v>74</v>
      </c>
      <c r="AR413" t="s">
        <v>1229</v>
      </c>
      <c r="AS413" t="s">
        <v>1230</v>
      </c>
      <c r="AT413" t="s">
        <v>8322</v>
      </c>
      <c r="AU413">
        <v>2023</v>
      </c>
      <c r="AV413">
        <v>10</v>
      </c>
      <c r="AW413" t="s">
        <v>74</v>
      </c>
      <c r="AX413" t="s">
        <v>74</v>
      </c>
      <c r="AY413" t="s">
        <v>74</v>
      </c>
      <c r="AZ413" t="s">
        <v>74</v>
      </c>
      <c r="BA413" t="s">
        <v>74</v>
      </c>
      <c r="BB413" t="s">
        <v>74</v>
      </c>
      <c r="BC413" t="s">
        <v>74</v>
      </c>
      <c r="BD413">
        <v>1160656</v>
      </c>
      <c r="BE413" t="s">
        <v>8357</v>
      </c>
      <c r="BF413" t="str">
        <f>HYPERLINK("http://dx.doi.org/10.3389/fmars.2023.1160656","http://dx.doi.org/10.3389/fmars.2023.1160656")</f>
        <v>http://dx.doi.org/10.3389/fmars.2023.1160656</v>
      </c>
      <c r="BG413" t="s">
        <v>74</v>
      </c>
      <c r="BH413" t="s">
        <v>74</v>
      </c>
      <c r="BI413">
        <v>4</v>
      </c>
      <c r="BJ413" t="s">
        <v>636</v>
      </c>
      <c r="BK413" t="s">
        <v>103</v>
      </c>
      <c r="BL413" t="s">
        <v>637</v>
      </c>
      <c r="BM413" t="s">
        <v>8358</v>
      </c>
      <c r="BN413" t="s">
        <v>74</v>
      </c>
      <c r="BO413" t="s">
        <v>359</v>
      </c>
      <c r="BP413" t="s">
        <v>74</v>
      </c>
      <c r="BQ413" t="s">
        <v>74</v>
      </c>
      <c r="BR413" t="s">
        <v>106</v>
      </c>
      <c r="BS413" t="s">
        <v>8359</v>
      </c>
      <c r="BT413" t="str">
        <f>HYPERLINK("https%3A%2F%2Fwww.webofscience.com%2Fwos%2Fwoscc%2Ffull-record%2FWOS:000959441600001","View Full Record in Web of Science")</f>
        <v>View Full Record in Web of Science</v>
      </c>
    </row>
    <row r="414" spans="1:72" x14ac:dyDescent="0.15">
      <c r="A414" t="s">
        <v>72</v>
      </c>
      <c r="B414" t="s">
        <v>8360</v>
      </c>
      <c r="C414" t="s">
        <v>74</v>
      </c>
      <c r="D414" t="s">
        <v>74</v>
      </c>
      <c r="E414" t="s">
        <v>74</v>
      </c>
      <c r="F414" t="s">
        <v>8361</v>
      </c>
      <c r="G414" t="s">
        <v>74</v>
      </c>
      <c r="H414" t="s">
        <v>74</v>
      </c>
      <c r="I414" t="s">
        <v>8362</v>
      </c>
      <c r="J414" t="s">
        <v>1215</v>
      </c>
      <c r="K414" t="s">
        <v>74</v>
      </c>
      <c r="L414" t="s">
        <v>74</v>
      </c>
      <c r="M414" t="s">
        <v>78</v>
      </c>
      <c r="N414" t="s">
        <v>112</v>
      </c>
      <c r="O414" t="s">
        <v>74</v>
      </c>
      <c r="P414" t="s">
        <v>74</v>
      </c>
      <c r="Q414" t="s">
        <v>74</v>
      </c>
      <c r="R414" t="s">
        <v>74</v>
      </c>
      <c r="S414" t="s">
        <v>74</v>
      </c>
      <c r="T414" t="s">
        <v>8363</v>
      </c>
      <c r="U414" t="s">
        <v>8364</v>
      </c>
      <c r="V414" t="s">
        <v>8365</v>
      </c>
      <c r="W414" t="s">
        <v>8366</v>
      </c>
      <c r="X414" t="s">
        <v>8367</v>
      </c>
      <c r="Y414" t="s">
        <v>8368</v>
      </c>
      <c r="Z414" t="s">
        <v>8369</v>
      </c>
      <c r="AA414" t="s">
        <v>8370</v>
      </c>
      <c r="AB414" t="s">
        <v>8371</v>
      </c>
      <c r="AC414" t="s">
        <v>74</v>
      </c>
      <c r="AD414" t="s">
        <v>74</v>
      </c>
      <c r="AE414" t="s">
        <v>74</v>
      </c>
      <c r="AF414" t="s">
        <v>74</v>
      </c>
      <c r="AG414">
        <v>63</v>
      </c>
      <c r="AH414">
        <v>2</v>
      </c>
      <c r="AI414">
        <v>2</v>
      </c>
      <c r="AJ414">
        <v>0</v>
      </c>
      <c r="AK414">
        <v>2</v>
      </c>
      <c r="AL414" t="s">
        <v>700</v>
      </c>
      <c r="AM414" t="s">
        <v>701</v>
      </c>
      <c r="AN414" t="s">
        <v>702</v>
      </c>
      <c r="AO414" t="s">
        <v>74</v>
      </c>
      <c r="AP414" t="s">
        <v>1228</v>
      </c>
      <c r="AQ414" t="s">
        <v>74</v>
      </c>
      <c r="AR414" t="s">
        <v>1229</v>
      </c>
      <c r="AS414" t="s">
        <v>1230</v>
      </c>
      <c r="AT414" t="s">
        <v>8322</v>
      </c>
      <c r="AU414">
        <v>2023</v>
      </c>
      <c r="AV414">
        <v>10</v>
      </c>
      <c r="AW414" t="s">
        <v>74</v>
      </c>
      <c r="AX414" t="s">
        <v>74</v>
      </c>
      <c r="AY414" t="s">
        <v>74</v>
      </c>
      <c r="AZ414" t="s">
        <v>74</v>
      </c>
      <c r="BA414" t="s">
        <v>74</v>
      </c>
      <c r="BB414" t="s">
        <v>74</v>
      </c>
      <c r="BC414" t="s">
        <v>74</v>
      </c>
      <c r="BD414">
        <v>1120112</v>
      </c>
      <c r="BE414" t="s">
        <v>8372</v>
      </c>
      <c r="BF414" t="str">
        <f>HYPERLINK("http://dx.doi.org/10.3389/fmars.2023.1120112","http://dx.doi.org/10.3389/fmars.2023.1120112")</f>
        <v>http://dx.doi.org/10.3389/fmars.2023.1120112</v>
      </c>
      <c r="BG414" t="s">
        <v>74</v>
      </c>
      <c r="BH414" t="s">
        <v>74</v>
      </c>
      <c r="BI414">
        <v>21</v>
      </c>
      <c r="BJ414" t="s">
        <v>636</v>
      </c>
      <c r="BK414" t="s">
        <v>103</v>
      </c>
      <c r="BL414" t="s">
        <v>637</v>
      </c>
      <c r="BM414" t="s">
        <v>8373</v>
      </c>
      <c r="BN414" t="s">
        <v>74</v>
      </c>
      <c r="BO414" t="s">
        <v>8374</v>
      </c>
      <c r="BP414" t="s">
        <v>74</v>
      </c>
      <c r="BQ414" t="s">
        <v>74</v>
      </c>
      <c r="BR414" t="s">
        <v>106</v>
      </c>
      <c r="BS414" t="s">
        <v>8375</v>
      </c>
      <c r="BT414" t="str">
        <f>HYPERLINK("https%3A%2F%2Fwww.webofscience.com%2Fwos%2Fwoscc%2Ffull-record%2FWOS:000953178600001","View Full Record in Web of Science")</f>
        <v>View Full Record in Web of Science</v>
      </c>
    </row>
    <row r="415" spans="1:72" x14ac:dyDescent="0.15">
      <c r="A415" t="s">
        <v>72</v>
      </c>
      <c r="B415" t="s">
        <v>8376</v>
      </c>
      <c r="C415" t="s">
        <v>74</v>
      </c>
      <c r="D415" t="s">
        <v>74</v>
      </c>
      <c r="E415" t="s">
        <v>74</v>
      </c>
      <c r="F415" t="s">
        <v>8377</v>
      </c>
      <c r="G415" t="s">
        <v>74</v>
      </c>
      <c r="H415" t="s">
        <v>74</v>
      </c>
      <c r="I415" t="s">
        <v>8378</v>
      </c>
      <c r="J415" t="s">
        <v>8379</v>
      </c>
      <c r="K415" t="s">
        <v>74</v>
      </c>
      <c r="L415" t="s">
        <v>74</v>
      </c>
      <c r="M415" t="s">
        <v>78</v>
      </c>
      <c r="N415" t="s">
        <v>112</v>
      </c>
      <c r="O415" t="s">
        <v>74</v>
      </c>
      <c r="P415" t="s">
        <v>74</v>
      </c>
      <c r="Q415" t="s">
        <v>74</v>
      </c>
      <c r="R415" t="s">
        <v>74</v>
      </c>
      <c r="S415" t="s">
        <v>74</v>
      </c>
      <c r="T415" t="s">
        <v>8380</v>
      </c>
      <c r="U415" t="s">
        <v>8381</v>
      </c>
      <c r="V415" t="s">
        <v>8382</v>
      </c>
      <c r="W415" t="s">
        <v>8383</v>
      </c>
      <c r="X415" t="s">
        <v>8384</v>
      </c>
      <c r="Y415" t="s">
        <v>8385</v>
      </c>
      <c r="Z415" t="s">
        <v>8386</v>
      </c>
      <c r="AA415" t="s">
        <v>8387</v>
      </c>
      <c r="AB415" t="s">
        <v>74</v>
      </c>
      <c r="AC415" t="s">
        <v>8388</v>
      </c>
      <c r="AD415" t="s">
        <v>8389</v>
      </c>
      <c r="AE415" t="s">
        <v>8390</v>
      </c>
      <c r="AF415" t="s">
        <v>74</v>
      </c>
      <c r="AG415">
        <v>102</v>
      </c>
      <c r="AH415">
        <v>0</v>
      </c>
      <c r="AI415">
        <v>0</v>
      </c>
      <c r="AJ415">
        <v>1</v>
      </c>
      <c r="AK415">
        <v>2</v>
      </c>
      <c r="AL415" t="s">
        <v>2092</v>
      </c>
      <c r="AM415" t="s">
        <v>2093</v>
      </c>
      <c r="AN415" t="s">
        <v>2094</v>
      </c>
      <c r="AO415" t="s">
        <v>8391</v>
      </c>
      <c r="AP415" t="s">
        <v>8392</v>
      </c>
      <c r="AQ415" t="s">
        <v>74</v>
      </c>
      <c r="AR415" t="s">
        <v>8393</v>
      </c>
      <c r="AS415" t="s">
        <v>8394</v>
      </c>
      <c r="AT415" t="s">
        <v>570</v>
      </c>
      <c r="AU415">
        <v>2023</v>
      </c>
      <c r="AV415">
        <v>58</v>
      </c>
      <c r="AW415">
        <v>7</v>
      </c>
      <c r="AX415" t="s">
        <v>74</v>
      </c>
      <c r="AY415" t="s">
        <v>74</v>
      </c>
      <c r="AZ415" t="s">
        <v>74</v>
      </c>
      <c r="BA415" t="s">
        <v>74</v>
      </c>
      <c r="BB415">
        <v>2473</v>
      </c>
      <c r="BC415">
        <v>2489</v>
      </c>
      <c r="BD415" t="s">
        <v>74</v>
      </c>
      <c r="BE415" t="s">
        <v>8395</v>
      </c>
      <c r="BF415" t="str">
        <f>HYPERLINK("http://dx.doi.org/10.1002/gj.4716","http://dx.doi.org/10.1002/gj.4716")</f>
        <v>http://dx.doi.org/10.1002/gj.4716</v>
      </c>
      <c r="BG415" t="s">
        <v>74</v>
      </c>
      <c r="BH415" t="s">
        <v>6218</v>
      </c>
      <c r="BI415">
        <v>17</v>
      </c>
      <c r="BJ415" t="s">
        <v>261</v>
      </c>
      <c r="BK415" t="s">
        <v>103</v>
      </c>
      <c r="BL415" t="s">
        <v>262</v>
      </c>
      <c r="BM415" t="s">
        <v>8396</v>
      </c>
      <c r="BN415" t="s">
        <v>74</v>
      </c>
      <c r="BO415" t="s">
        <v>74</v>
      </c>
      <c r="BP415" t="s">
        <v>74</v>
      </c>
      <c r="BQ415" t="s">
        <v>74</v>
      </c>
      <c r="BR415" t="s">
        <v>106</v>
      </c>
      <c r="BS415" t="s">
        <v>8397</v>
      </c>
      <c r="BT415" t="str">
        <f>HYPERLINK("https%3A%2F%2Fwww.webofscience.com%2Fwos%2Fwoscc%2Ffull-record%2FWOS:000952819400001","View Full Record in Web of Science")</f>
        <v>View Full Record in Web of Science</v>
      </c>
    </row>
    <row r="416" spans="1:72" x14ac:dyDescent="0.15">
      <c r="A416" t="s">
        <v>72</v>
      </c>
      <c r="B416" t="s">
        <v>8398</v>
      </c>
      <c r="C416" t="s">
        <v>74</v>
      </c>
      <c r="D416" t="s">
        <v>74</v>
      </c>
      <c r="E416" t="s">
        <v>74</v>
      </c>
      <c r="F416" t="s">
        <v>8399</v>
      </c>
      <c r="G416" t="s">
        <v>74</v>
      </c>
      <c r="H416" t="s">
        <v>74</v>
      </c>
      <c r="I416" t="s">
        <v>8400</v>
      </c>
      <c r="J416" t="s">
        <v>8401</v>
      </c>
      <c r="K416" t="s">
        <v>74</v>
      </c>
      <c r="L416" t="s">
        <v>74</v>
      </c>
      <c r="M416" t="s">
        <v>78</v>
      </c>
      <c r="N416" t="s">
        <v>112</v>
      </c>
      <c r="O416" t="s">
        <v>74</v>
      </c>
      <c r="P416" t="s">
        <v>74</v>
      </c>
      <c r="Q416" t="s">
        <v>74</v>
      </c>
      <c r="R416" t="s">
        <v>74</v>
      </c>
      <c r="S416" t="s">
        <v>74</v>
      </c>
      <c r="T416" t="s">
        <v>8402</v>
      </c>
      <c r="U416" t="s">
        <v>8403</v>
      </c>
      <c r="V416" t="s">
        <v>8404</v>
      </c>
      <c r="W416" t="s">
        <v>8405</v>
      </c>
      <c r="X416" t="s">
        <v>8406</v>
      </c>
      <c r="Y416" t="s">
        <v>8407</v>
      </c>
      <c r="Z416" t="s">
        <v>8408</v>
      </c>
      <c r="AA416" t="s">
        <v>74</v>
      </c>
      <c r="AB416" t="s">
        <v>8409</v>
      </c>
      <c r="AC416" t="s">
        <v>8410</v>
      </c>
      <c r="AD416" t="s">
        <v>8411</v>
      </c>
      <c r="AE416" t="s">
        <v>8412</v>
      </c>
      <c r="AF416" t="s">
        <v>74</v>
      </c>
      <c r="AG416">
        <v>42</v>
      </c>
      <c r="AH416">
        <v>1</v>
      </c>
      <c r="AI416">
        <v>1</v>
      </c>
      <c r="AJ416">
        <v>2</v>
      </c>
      <c r="AK416">
        <v>5</v>
      </c>
      <c r="AL416" t="s">
        <v>447</v>
      </c>
      <c r="AM416" t="s">
        <v>448</v>
      </c>
      <c r="AN416" t="s">
        <v>449</v>
      </c>
      <c r="AO416" t="s">
        <v>8413</v>
      </c>
      <c r="AP416" t="s">
        <v>8414</v>
      </c>
      <c r="AQ416" t="s">
        <v>74</v>
      </c>
      <c r="AR416" t="s">
        <v>8415</v>
      </c>
      <c r="AS416" t="s">
        <v>8416</v>
      </c>
      <c r="AT416" t="s">
        <v>8042</v>
      </c>
      <c r="AU416">
        <v>2023</v>
      </c>
      <c r="AV416">
        <v>35</v>
      </c>
      <c r="AW416" t="s">
        <v>74</v>
      </c>
      <c r="AX416" t="s">
        <v>74</v>
      </c>
      <c r="AY416" t="s">
        <v>74</v>
      </c>
      <c r="AZ416" t="s">
        <v>74</v>
      </c>
      <c r="BA416" t="s">
        <v>74</v>
      </c>
      <c r="BB416" t="s">
        <v>74</v>
      </c>
      <c r="BC416" t="s">
        <v>74</v>
      </c>
      <c r="BD416">
        <v>100927</v>
      </c>
      <c r="BE416" t="s">
        <v>8417</v>
      </c>
      <c r="BF416" t="str">
        <f>HYPERLINK("http://dx.doi.org/10.1016/j.polar.2023.100927","http://dx.doi.org/10.1016/j.polar.2023.100927")</f>
        <v>http://dx.doi.org/10.1016/j.polar.2023.100927</v>
      </c>
      <c r="BG416" t="s">
        <v>74</v>
      </c>
      <c r="BH416" t="s">
        <v>6218</v>
      </c>
      <c r="BI416">
        <v>9</v>
      </c>
      <c r="BJ416" t="s">
        <v>1897</v>
      </c>
      <c r="BK416" t="s">
        <v>103</v>
      </c>
      <c r="BL416" t="s">
        <v>1364</v>
      </c>
      <c r="BM416" t="s">
        <v>8418</v>
      </c>
      <c r="BN416" t="s">
        <v>74</v>
      </c>
      <c r="BO416" t="s">
        <v>387</v>
      </c>
      <c r="BP416" t="s">
        <v>74</v>
      </c>
      <c r="BQ416" t="s">
        <v>74</v>
      </c>
      <c r="BR416" t="s">
        <v>106</v>
      </c>
      <c r="BS416" t="s">
        <v>8419</v>
      </c>
      <c r="BT416" t="str">
        <f>HYPERLINK("https%3A%2F%2Fwww.webofscience.com%2Fwos%2Fwoscc%2Ffull-record%2FWOS:000956335000001","View Full Record in Web of Science")</f>
        <v>View Full Record in Web of Science</v>
      </c>
    </row>
    <row r="417" spans="1:72" x14ac:dyDescent="0.15">
      <c r="A417" t="s">
        <v>72</v>
      </c>
      <c r="B417" t="s">
        <v>8420</v>
      </c>
      <c r="C417" t="s">
        <v>74</v>
      </c>
      <c r="D417" t="s">
        <v>74</v>
      </c>
      <c r="E417" t="s">
        <v>74</v>
      </c>
      <c r="F417" t="s">
        <v>8421</v>
      </c>
      <c r="G417" t="s">
        <v>74</v>
      </c>
      <c r="H417" t="s">
        <v>74</v>
      </c>
      <c r="I417" t="s">
        <v>8422</v>
      </c>
      <c r="J417" t="s">
        <v>8401</v>
      </c>
      <c r="K417" t="s">
        <v>74</v>
      </c>
      <c r="L417" t="s">
        <v>74</v>
      </c>
      <c r="M417" t="s">
        <v>78</v>
      </c>
      <c r="N417" t="s">
        <v>112</v>
      </c>
      <c r="O417" t="s">
        <v>74</v>
      </c>
      <c r="P417" t="s">
        <v>74</v>
      </c>
      <c r="Q417" t="s">
        <v>74</v>
      </c>
      <c r="R417" t="s">
        <v>74</v>
      </c>
      <c r="S417" t="s">
        <v>74</v>
      </c>
      <c r="T417" t="s">
        <v>8423</v>
      </c>
      <c r="U417" t="s">
        <v>8424</v>
      </c>
      <c r="V417" t="s">
        <v>8425</v>
      </c>
      <c r="W417" t="s">
        <v>8426</v>
      </c>
      <c r="X417" t="s">
        <v>8427</v>
      </c>
      <c r="Y417" t="s">
        <v>8428</v>
      </c>
      <c r="Z417" t="s">
        <v>8429</v>
      </c>
      <c r="AA417" t="s">
        <v>8430</v>
      </c>
      <c r="AB417" t="s">
        <v>8431</v>
      </c>
      <c r="AC417" t="s">
        <v>8432</v>
      </c>
      <c r="AD417" t="s">
        <v>8433</v>
      </c>
      <c r="AE417" t="s">
        <v>8434</v>
      </c>
      <c r="AF417" t="s">
        <v>74</v>
      </c>
      <c r="AG417">
        <v>44</v>
      </c>
      <c r="AH417">
        <v>3</v>
      </c>
      <c r="AI417">
        <v>3</v>
      </c>
      <c r="AJ417">
        <v>7</v>
      </c>
      <c r="AK417">
        <v>10</v>
      </c>
      <c r="AL417" t="s">
        <v>447</v>
      </c>
      <c r="AM417" t="s">
        <v>448</v>
      </c>
      <c r="AN417" t="s">
        <v>449</v>
      </c>
      <c r="AO417" t="s">
        <v>8413</v>
      </c>
      <c r="AP417" t="s">
        <v>8414</v>
      </c>
      <c r="AQ417" t="s">
        <v>74</v>
      </c>
      <c r="AR417" t="s">
        <v>8415</v>
      </c>
      <c r="AS417" t="s">
        <v>8416</v>
      </c>
      <c r="AT417" t="s">
        <v>8042</v>
      </c>
      <c r="AU417">
        <v>2023</v>
      </c>
      <c r="AV417">
        <v>35</v>
      </c>
      <c r="AW417" t="s">
        <v>74</v>
      </c>
      <c r="AX417" t="s">
        <v>74</v>
      </c>
      <c r="AY417" t="s">
        <v>74</v>
      </c>
      <c r="AZ417" t="s">
        <v>74</v>
      </c>
      <c r="BA417" t="s">
        <v>74</v>
      </c>
      <c r="BB417" t="s">
        <v>74</v>
      </c>
      <c r="BC417" t="s">
        <v>74</v>
      </c>
      <c r="BD417">
        <v>100924</v>
      </c>
      <c r="BE417" t="s">
        <v>8435</v>
      </c>
      <c r="BF417" t="str">
        <f>HYPERLINK("http://dx.doi.org/10.1016/j.polar.2023.100924","http://dx.doi.org/10.1016/j.polar.2023.100924")</f>
        <v>http://dx.doi.org/10.1016/j.polar.2023.100924</v>
      </c>
      <c r="BG417" t="s">
        <v>74</v>
      </c>
      <c r="BH417" t="s">
        <v>6218</v>
      </c>
      <c r="BI417">
        <v>9</v>
      </c>
      <c r="BJ417" t="s">
        <v>1897</v>
      </c>
      <c r="BK417" t="s">
        <v>103</v>
      </c>
      <c r="BL417" t="s">
        <v>1364</v>
      </c>
      <c r="BM417" t="s">
        <v>8436</v>
      </c>
      <c r="BN417" t="s">
        <v>74</v>
      </c>
      <c r="BO417" t="s">
        <v>334</v>
      </c>
      <c r="BP417" t="s">
        <v>74</v>
      </c>
      <c r="BQ417" t="s">
        <v>74</v>
      </c>
      <c r="BR417" t="s">
        <v>106</v>
      </c>
      <c r="BS417" t="s">
        <v>8437</v>
      </c>
      <c r="BT417" t="str">
        <f>HYPERLINK("https%3A%2F%2Fwww.webofscience.com%2Fwos%2Fwoscc%2Ffull-record%2FWOS:000956349400001","View Full Record in Web of Science")</f>
        <v>View Full Record in Web of Science</v>
      </c>
    </row>
    <row r="418" spans="1:72" x14ac:dyDescent="0.15">
      <c r="A418" t="s">
        <v>72</v>
      </c>
      <c r="B418" t="s">
        <v>8438</v>
      </c>
      <c r="C418" t="s">
        <v>74</v>
      </c>
      <c r="D418" t="s">
        <v>74</v>
      </c>
      <c r="E418" t="s">
        <v>74</v>
      </c>
      <c r="F418" t="s">
        <v>8439</v>
      </c>
      <c r="G418" t="s">
        <v>74</v>
      </c>
      <c r="H418" t="s">
        <v>74</v>
      </c>
      <c r="I418" t="s">
        <v>8440</v>
      </c>
      <c r="J418" t="s">
        <v>8401</v>
      </c>
      <c r="K418" t="s">
        <v>74</v>
      </c>
      <c r="L418" t="s">
        <v>74</v>
      </c>
      <c r="M418" t="s">
        <v>78</v>
      </c>
      <c r="N418" t="s">
        <v>112</v>
      </c>
      <c r="O418" t="s">
        <v>74</v>
      </c>
      <c r="P418" t="s">
        <v>74</v>
      </c>
      <c r="Q418" t="s">
        <v>74</v>
      </c>
      <c r="R418" t="s">
        <v>74</v>
      </c>
      <c r="S418" t="s">
        <v>74</v>
      </c>
      <c r="T418" t="s">
        <v>8441</v>
      </c>
      <c r="U418" t="s">
        <v>74</v>
      </c>
      <c r="V418" t="s">
        <v>8442</v>
      </c>
      <c r="W418" t="s">
        <v>8443</v>
      </c>
      <c r="X418" t="s">
        <v>8444</v>
      </c>
      <c r="Y418" t="s">
        <v>8445</v>
      </c>
      <c r="Z418" t="s">
        <v>8446</v>
      </c>
      <c r="AA418" t="s">
        <v>8447</v>
      </c>
      <c r="AB418" t="s">
        <v>8448</v>
      </c>
      <c r="AC418" t="s">
        <v>8449</v>
      </c>
      <c r="AD418" t="s">
        <v>8450</v>
      </c>
      <c r="AE418" t="s">
        <v>8451</v>
      </c>
      <c r="AF418" t="s">
        <v>74</v>
      </c>
      <c r="AG418">
        <v>22</v>
      </c>
      <c r="AH418">
        <v>0</v>
      </c>
      <c r="AI418">
        <v>0</v>
      </c>
      <c r="AJ418">
        <v>4</v>
      </c>
      <c r="AK418">
        <v>10</v>
      </c>
      <c r="AL418" t="s">
        <v>447</v>
      </c>
      <c r="AM418" t="s">
        <v>448</v>
      </c>
      <c r="AN418" t="s">
        <v>449</v>
      </c>
      <c r="AO418" t="s">
        <v>8413</v>
      </c>
      <c r="AP418" t="s">
        <v>8414</v>
      </c>
      <c r="AQ418" t="s">
        <v>74</v>
      </c>
      <c r="AR418" t="s">
        <v>8415</v>
      </c>
      <c r="AS418" t="s">
        <v>8416</v>
      </c>
      <c r="AT418" t="s">
        <v>8042</v>
      </c>
      <c r="AU418">
        <v>2023</v>
      </c>
      <c r="AV418">
        <v>35</v>
      </c>
      <c r="AW418" t="s">
        <v>74</v>
      </c>
      <c r="AX418" t="s">
        <v>74</v>
      </c>
      <c r="AY418" t="s">
        <v>74</v>
      </c>
      <c r="AZ418" t="s">
        <v>74</v>
      </c>
      <c r="BA418" t="s">
        <v>74</v>
      </c>
      <c r="BB418" t="s">
        <v>74</v>
      </c>
      <c r="BC418" t="s">
        <v>74</v>
      </c>
      <c r="BD418">
        <v>100919</v>
      </c>
      <c r="BE418" t="s">
        <v>8452</v>
      </c>
      <c r="BF418" t="str">
        <f>HYPERLINK("http://dx.doi.org/10.1016/j.polar.2022.100919","http://dx.doi.org/10.1016/j.polar.2022.100919")</f>
        <v>http://dx.doi.org/10.1016/j.polar.2022.100919</v>
      </c>
      <c r="BG418" t="s">
        <v>74</v>
      </c>
      <c r="BH418" t="s">
        <v>6218</v>
      </c>
      <c r="BI418">
        <v>10</v>
      </c>
      <c r="BJ418" t="s">
        <v>1897</v>
      </c>
      <c r="BK418" t="s">
        <v>103</v>
      </c>
      <c r="BL418" t="s">
        <v>1364</v>
      </c>
      <c r="BM418" t="s">
        <v>8453</v>
      </c>
      <c r="BN418" t="s">
        <v>74</v>
      </c>
      <c r="BO418" t="s">
        <v>334</v>
      </c>
      <c r="BP418" t="s">
        <v>74</v>
      </c>
      <c r="BQ418" t="s">
        <v>74</v>
      </c>
      <c r="BR418" t="s">
        <v>106</v>
      </c>
      <c r="BS418" t="s">
        <v>8454</v>
      </c>
      <c r="BT418" t="str">
        <f>HYPERLINK("https%3A%2F%2Fwww.webofscience.com%2Fwos%2Fwoscc%2Ffull-record%2FWOS:000952102200001","View Full Record in Web of Science")</f>
        <v>View Full Record in Web of Science</v>
      </c>
    </row>
    <row r="419" spans="1:72" x14ac:dyDescent="0.15">
      <c r="A419" t="s">
        <v>72</v>
      </c>
      <c r="B419" t="s">
        <v>8455</v>
      </c>
      <c r="C419" t="s">
        <v>74</v>
      </c>
      <c r="D419" t="s">
        <v>74</v>
      </c>
      <c r="E419" t="s">
        <v>74</v>
      </c>
      <c r="F419" t="s">
        <v>8456</v>
      </c>
      <c r="G419" t="s">
        <v>74</v>
      </c>
      <c r="H419" t="s">
        <v>74</v>
      </c>
      <c r="I419" t="s">
        <v>8457</v>
      </c>
      <c r="J419" t="s">
        <v>8401</v>
      </c>
      <c r="K419" t="s">
        <v>74</v>
      </c>
      <c r="L419" t="s">
        <v>74</v>
      </c>
      <c r="M419" t="s">
        <v>78</v>
      </c>
      <c r="N419" t="s">
        <v>112</v>
      </c>
      <c r="O419" t="s">
        <v>74</v>
      </c>
      <c r="P419" t="s">
        <v>74</v>
      </c>
      <c r="Q419" t="s">
        <v>74</v>
      </c>
      <c r="R419" t="s">
        <v>74</v>
      </c>
      <c r="S419" t="s">
        <v>74</v>
      </c>
      <c r="T419" t="s">
        <v>8458</v>
      </c>
      <c r="U419" t="s">
        <v>8459</v>
      </c>
      <c r="V419" t="s">
        <v>8460</v>
      </c>
      <c r="W419" t="s">
        <v>8461</v>
      </c>
      <c r="X419" t="s">
        <v>8462</v>
      </c>
      <c r="Y419" t="s">
        <v>8463</v>
      </c>
      <c r="Z419" t="s">
        <v>8464</v>
      </c>
      <c r="AA419" t="s">
        <v>74</v>
      </c>
      <c r="AB419" t="s">
        <v>8465</v>
      </c>
      <c r="AC419" t="s">
        <v>8466</v>
      </c>
      <c r="AD419" t="s">
        <v>8467</v>
      </c>
      <c r="AE419" t="s">
        <v>8468</v>
      </c>
      <c r="AF419" t="s">
        <v>74</v>
      </c>
      <c r="AG419">
        <v>42</v>
      </c>
      <c r="AH419">
        <v>1</v>
      </c>
      <c r="AI419">
        <v>1</v>
      </c>
      <c r="AJ419">
        <v>2</v>
      </c>
      <c r="AK419">
        <v>9</v>
      </c>
      <c r="AL419" t="s">
        <v>447</v>
      </c>
      <c r="AM419" t="s">
        <v>448</v>
      </c>
      <c r="AN419" t="s">
        <v>449</v>
      </c>
      <c r="AO419" t="s">
        <v>8413</v>
      </c>
      <c r="AP419" t="s">
        <v>8414</v>
      </c>
      <c r="AQ419" t="s">
        <v>74</v>
      </c>
      <c r="AR419" t="s">
        <v>8415</v>
      </c>
      <c r="AS419" t="s">
        <v>8416</v>
      </c>
      <c r="AT419" t="s">
        <v>8042</v>
      </c>
      <c r="AU419">
        <v>2023</v>
      </c>
      <c r="AV419">
        <v>35</v>
      </c>
      <c r="AW419" t="s">
        <v>74</v>
      </c>
      <c r="AX419" t="s">
        <v>74</v>
      </c>
      <c r="AY419" t="s">
        <v>74</v>
      </c>
      <c r="AZ419" t="s">
        <v>74</v>
      </c>
      <c r="BA419" t="s">
        <v>74</v>
      </c>
      <c r="BB419" t="s">
        <v>74</v>
      </c>
      <c r="BC419" t="s">
        <v>74</v>
      </c>
      <c r="BD419">
        <v>100917</v>
      </c>
      <c r="BE419" t="s">
        <v>8469</v>
      </c>
      <c r="BF419" t="str">
        <f>HYPERLINK("http://dx.doi.org/10.1016/j.polar.2022.100917","http://dx.doi.org/10.1016/j.polar.2022.100917")</f>
        <v>http://dx.doi.org/10.1016/j.polar.2022.100917</v>
      </c>
      <c r="BG419" t="s">
        <v>74</v>
      </c>
      <c r="BH419" t="s">
        <v>6218</v>
      </c>
      <c r="BI419">
        <v>7</v>
      </c>
      <c r="BJ419" t="s">
        <v>1897</v>
      </c>
      <c r="BK419" t="s">
        <v>103</v>
      </c>
      <c r="BL419" t="s">
        <v>1364</v>
      </c>
      <c r="BM419" t="s">
        <v>8470</v>
      </c>
      <c r="BN419" t="s">
        <v>74</v>
      </c>
      <c r="BO419" t="s">
        <v>334</v>
      </c>
      <c r="BP419" t="s">
        <v>74</v>
      </c>
      <c r="BQ419" t="s">
        <v>74</v>
      </c>
      <c r="BR419" t="s">
        <v>106</v>
      </c>
      <c r="BS419" t="s">
        <v>8471</v>
      </c>
      <c r="BT419" t="str">
        <f>HYPERLINK("https%3A%2F%2Fwww.webofscience.com%2Fwos%2Fwoscc%2Ffull-record%2FWOS:000952106700001","View Full Record in Web of Science")</f>
        <v>View Full Record in Web of Science</v>
      </c>
    </row>
    <row r="420" spans="1:72" x14ac:dyDescent="0.15">
      <c r="A420" t="s">
        <v>72</v>
      </c>
      <c r="B420" t="s">
        <v>8472</v>
      </c>
      <c r="C420" t="s">
        <v>74</v>
      </c>
      <c r="D420" t="s">
        <v>74</v>
      </c>
      <c r="E420" t="s">
        <v>74</v>
      </c>
      <c r="F420" t="s">
        <v>8473</v>
      </c>
      <c r="G420" t="s">
        <v>74</v>
      </c>
      <c r="H420" t="s">
        <v>74</v>
      </c>
      <c r="I420" t="s">
        <v>8474</v>
      </c>
      <c r="J420" t="s">
        <v>2772</v>
      </c>
      <c r="K420" t="s">
        <v>74</v>
      </c>
      <c r="L420" t="s">
        <v>74</v>
      </c>
      <c r="M420" t="s">
        <v>78</v>
      </c>
      <c r="N420" t="s">
        <v>112</v>
      </c>
      <c r="O420" t="s">
        <v>74</v>
      </c>
      <c r="P420" t="s">
        <v>74</v>
      </c>
      <c r="Q420" t="s">
        <v>74</v>
      </c>
      <c r="R420" t="s">
        <v>74</v>
      </c>
      <c r="S420" t="s">
        <v>74</v>
      </c>
      <c r="T420" t="s">
        <v>8475</v>
      </c>
      <c r="U420" t="s">
        <v>8476</v>
      </c>
      <c r="V420" t="s">
        <v>8477</v>
      </c>
      <c r="W420" t="s">
        <v>8478</v>
      </c>
      <c r="X420" t="s">
        <v>8479</v>
      </c>
      <c r="Y420" t="s">
        <v>8480</v>
      </c>
      <c r="Z420" t="s">
        <v>8481</v>
      </c>
      <c r="AA420" t="s">
        <v>8482</v>
      </c>
      <c r="AB420" t="s">
        <v>8483</v>
      </c>
      <c r="AC420" t="s">
        <v>74</v>
      </c>
      <c r="AD420" t="s">
        <v>74</v>
      </c>
      <c r="AE420" t="s">
        <v>74</v>
      </c>
      <c r="AF420" t="s">
        <v>74</v>
      </c>
      <c r="AG420">
        <v>63</v>
      </c>
      <c r="AH420">
        <v>0</v>
      </c>
      <c r="AI420">
        <v>0</v>
      </c>
      <c r="AJ420">
        <v>0</v>
      </c>
      <c r="AK420">
        <v>2</v>
      </c>
      <c r="AL420" t="s">
        <v>1101</v>
      </c>
      <c r="AM420" t="s">
        <v>1102</v>
      </c>
      <c r="AN420" t="s">
        <v>1103</v>
      </c>
      <c r="AO420" t="s">
        <v>2785</v>
      </c>
      <c r="AP420" t="s">
        <v>2786</v>
      </c>
      <c r="AQ420" t="s">
        <v>74</v>
      </c>
      <c r="AR420" t="s">
        <v>2787</v>
      </c>
      <c r="AS420" t="s">
        <v>2788</v>
      </c>
      <c r="AT420" t="s">
        <v>2789</v>
      </c>
      <c r="AU420">
        <v>2023</v>
      </c>
      <c r="AV420">
        <v>69</v>
      </c>
      <c r="AW420">
        <v>277</v>
      </c>
      <c r="AX420" t="s">
        <v>74</v>
      </c>
      <c r="AY420" t="s">
        <v>74</v>
      </c>
      <c r="AZ420" t="s">
        <v>74</v>
      </c>
      <c r="BA420" t="s">
        <v>74</v>
      </c>
      <c r="BB420">
        <v>1138</v>
      </c>
      <c r="BC420">
        <v>1148</v>
      </c>
      <c r="BD420" t="s">
        <v>8484</v>
      </c>
      <c r="BE420" t="s">
        <v>8485</v>
      </c>
      <c r="BF420" t="str">
        <f>HYPERLINK("http://dx.doi.org/10.1017/jog.2023.4","http://dx.doi.org/10.1017/jog.2023.4")</f>
        <v>http://dx.doi.org/10.1017/jog.2023.4</v>
      </c>
      <c r="BG420" t="s">
        <v>74</v>
      </c>
      <c r="BH420" t="s">
        <v>6218</v>
      </c>
      <c r="BI420">
        <v>11</v>
      </c>
      <c r="BJ420" t="s">
        <v>801</v>
      </c>
      <c r="BK420" t="s">
        <v>103</v>
      </c>
      <c r="BL420" t="s">
        <v>802</v>
      </c>
      <c r="BM420" t="s">
        <v>2792</v>
      </c>
      <c r="BN420" t="s">
        <v>74</v>
      </c>
      <c r="BO420" t="s">
        <v>359</v>
      </c>
      <c r="BP420" t="s">
        <v>74</v>
      </c>
      <c r="BQ420" t="s">
        <v>74</v>
      </c>
      <c r="BR420" t="s">
        <v>106</v>
      </c>
      <c r="BS420" t="s">
        <v>8486</v>
      </c>
      <c r="BT420" t="str">
        <f>HYPERLINK("https%3A%2F%2Fwww.webofscience.com%2Fwos%2Fwoscc%2Ffull-record%2FWOS:000948801400001","View Full Record in Web of Science")</f>
        <v>View Full Record in Web of Science</v>
      </c>
    </row>
    <row r="421" spans="1:72" x14ac:dyDescent="0.15">
      <c r="A421" t="s">
        <v>72</v>
      </c>
      <c r="B421" t="s">
        <v>8487</v>
      </c>
      <c r="C421" t="s">
        <v>74</v>
      </c>
      <c r="D421" t="s">
        <v>74</v>
      </c>
      <c r="E421" t="s">
        <v>74</v>
      </c>
      <c r="F421" t="s">
        <v>8488</v>
      </c>
      <c r="G421" t="s">
        <v>74</v>
      </c>
      <c r="H421" t="s">
        <v>74</v>
      </c>
      <c r="I421" t="s">
        <v>8489</v>
      </c>
      <c r="J421" t="s">
        <v>759</v>
      </c>
      <c r="K421" t="s">
        <v>74</v>
      </c>
      <c r="L421" t="s">
        <v>74</v>
      </c>
      <c r="M421" t="s">
        <v>78</v>
      </c>
      <c r="N421" t="s">
        <v>112</v>
      </c>
      <c r="O421" t="s">
        <v>74</v>
      </c>
      <c r="P421" t="s">
        <v>74</v>
      </c>
      <c r="Q421" t="s">
        <v>74</v>
      </c>
      <c r="R421" t="s">
        <v>74</v>
      </c>
      <c r="S421" t="s">
        <v>74</v>
      </c>
      <c r="T421" t="s">
        <v>8490</v>
      </c>
      <c r="U421" t="s">
        <v>8491</v>
      </c>
      <c r="V421" t="s">
        <v>8492</v>
      </c>
      <c r="W421" t="s">
        <v>8493</v>
      </c>
      <c r="X421" t="s">
        <v>8494</v>
      </c>
      <c r="Y421" t="s">
        <v>8495</v>
      </c>
      <c r="Z421" t="s">
        <v>8496</v>
      </c>
      <c r="AA421" t="s">
        <v>8497</v>
      </c>
      <c r="AB421" t="s">
        <v>8498</v>
      </c>
      <c r="AC421" t="s">
        <v>74</v>
      </c>
      <c r="AD421" t="s">
        <v>74</v>
      </c>
      <c r="AE421" t="s">
        <v>74</v>
      </c>
      <c r="AF421" t="s">
        <v>74</v>
      </c>
      <c r="AG421">
        <v>71</v>
      </c>
      <c r="AH421">
        <v>1</v>
      </c>
      <c r="AI421">
        <v>1</v>
      </c>
      <c r="AJ421">
        <v>6</v>
      </c>
      <c r="AK421">
        <v>12</v>
      </c>
      <c r="AL421" t="s">
        <v>768</v>
      </c>
      <c r="AM421" t="s">
        <v>179</v>
      </c>
      <c r="AN421" t="s">
        <v>769</v>
      </c>
      <c r="AO421" t="s">
        <v>770</v>
      </c>
      <c r="AP421" t="s">
        <v>771</v>
      </c>
      <c r="AQ421" t="s">
        <v>74</v>
      </c>
      <c r="AR421" t="s">
        <v>772</v>
      </c>
      <c r="AS421" t="s">
        <v>773</v>
      </c>
      <c r="AT421" t="s">
        <v>1437</v>
      </c>
      <c r="AU421">
        <v>2023</v>
      </c>
      <c r="AV421">
        <v>46</v>
      </c>
      <c r="AW421">
        <v>4</v>
      </c>
      <c r="AX421" t="s">
        <v>74</v>
      </c>
      <c r="AY421" t="s">
        <v>74</v>
      </c>
      <c r="AZ421" t="s">
        <v>74</v>
      </c>
      <c r="BA421" t="s">
        <v>74</v>
      </c>
      <c r="BB421">
        <v>259</v>
      </c>
      <c r="BC421">
        <v>275</v>
      </c>
      <c r="BD421" t="s">
        <v>74</v>
      </c>
      <c r="BE421" t="s">
        <v>8499</v>
      </c>
      <c r="BF421" t="str">
        <f>HYPERLINK("http://dx.doi.org/10.1007/s00300-023-03120-0","http://dx.doi.org/10.1007/s00300-023-03120-0")</f>
        <v>http://dx.doi.org/10.1007/s00300-023-03120-0</v>
      </c>
      <c r="BG421" t="s">
        <v>74</v>
      </c>
      <c r="BH421" t="s">
        <v>6218</v>
      </c>
      <c r="BI421">
        <v>17</v>
      </c>
      <c r="BJ421" t="s">
        <v>775</v>
      </c>
      <c r="BK421" t="s">
        <v>103</v>
      </c>
      <c r="BL421" t="s">
        <v>776</v>
      </c>
      <c r="BM421" t="s">
        <v>3721</v>
      </c>
      <c r="BN421" t="s">
        <v>74</v>
      </c>
      <c r="BO421" t="s">
        <v>74</v>
      </c>
      <c r="BP421" t="s">
        <v>74</v>
      </c>
      <c r="BQ421" t="s">
        <v>74</v>
      </c>
      <c r="BR421" t="s">
        <v>106</v>
      </c>
      <c r="BS421" t="s">
        <v>8500</v>
      </c>
      <c r="BT421" t="str">
        <f>HYPERLINK("https%3A%2F%2Fwww.webofscience.com%2Fwos%2Fwoscc%2Ffull-record%2FWOS:000948883100001","View Full Record in Web of Science")</f>
        <v>View Full Record in Web of Science</v>
      </c>
    </row>
    <row r="422" spans="1:72" x14ac:dyDescent="0.15">
      <c r="A422" t="s">
        <v>72</v>
      </c>
      <c r="B422" t="s">
        <v>8501</v>
      </c>
      <c r="C422" t="s">
        <v>74</v>
      </c>
      <c r="D422" t="s">
        <v>74</v>
      </c>
      <c r="E422" t="s">
        <v>74</v>
      </c>
      <c r="F422" t="s">
        <v>8502</v>
      </c>
      <c r="G422" t="s">
        <v>74</v>
      </c>
      <c r="H422" t="s">
        <v>74</v>
      </c>
      <c r="I422" t="s">
        <v>8503</v>
      </c>
      <c r="J422" t="s">
        <v>6847</v>
      </c>
      <c r="K422" t="s">
        <v>74</v>
      </c>
      <c r="L422" t="s">
        <v>74</v>
      </c>
      <c r="M422" t="s">
        <v>78</v>
      </c>
      <c r="N422" t="s">
        <v>112</v>
      </c>
      <c r="O422" t="s">
        <v>74</v>
      </c>
      <c r="P422" t="s">
        <v>74</v>
      </c>
      <c r="Q422" t="s">
        <v>74</v>
      </c>
      <c r="R422" t="s">
        <v>74</v>
      </c>
      <c r="S422" t="s">
        <v>74</v>
      </c>
      <c r="T422" t="s">
        <v>8504</v>
      </c>
      <c r="U422" t="s">
        <v>8505</v>
      </c>
      <c r="V422" t="s">
        <v>8506</v>
      </c>
      <c r="W422" t="s">
        <v>8507</v>
      </c>
      <c r="X422" t="s">
        <v>8508</v>
      </c>
      <c r="Y422" t="s">
        <v>8509</v>
      </c>
      <c r="Z422" t="s">
        <v>8510</v>
      </c>
      <c r="AA422" t="s">
        <v>8511</v>
      </c>
      <c r="AB422" t="s">
        <v>8512</v>
      </c>
      <c r="AC422" t="s">
        <v>8513</v>
      </c>
      <c r="AD422" t="s">
        <v>8514</v>
      </c>
      <c r="AE422" t="s">
        <v>8515</v>
      </c>
      <c r="AF422" t="s">
        <v>74</v>
      </c>
      <c r="AG422">
        <v>103</v>
      </c>
      <c r="AH422">
        <v>4</v>
      </c>
      <c r="AI422">
        <v>4</v>
      </c>
      <c r="AJ422">
        <v>3</v>
      </c>
      <c r="AK422">
        <v>3</v>
      </c>
      <c r="AL422" t="s">
        <v>1599</v>
      </c>
      <c r="AM422" t="s">
        <v>306</v>
      </c>
      <c r="AN422" t="s">
        <v>1600</v>
      </c>
      <c r="AO422" t="s">
        <v>6859</v>
      </c>
      <c r="AP422" t="s">
        <v>6860</v>
      </c>
      <c r="AQ422" t="s">
        <v>74</v>
      </c>
      <c r="AR422" t="s">
        <v>6861</v>
      </c>
      <c r="AS422" t="s">
        <v>6862</v>
      </c>
      <c r="AT422" t="s">
        <v>6476</v>
      </c>
      <c r="AU422">
        <v>2023</v>
      </c>
      <c r="AV422">
        <v>89</v>
      </c>
      <c r="AW422">
        <v>3</v>
      </c>
      <c r="AX422" t="s">
        <v>74</v>
      </c>
      <c r="AY422" t="s">
        <v>74</v>
      </c>
      <c r="AZ422" t="s">
        <v>74</v>
      </c>
      <c r="BA422" t="s">
        <v>74</v>
      </c>
      <c r="BB422" t="s">
        <v>74</v>
      </c>
      <c r="BC422" t="s">
        <v>74</v>
      </c>
      <c r="BD422" t="s">
        <v>74</v>
      </c>
      <c r="BE422" t="s">
        <v>8516</v>
      </c>
      <c r="BF422" t="str">
        <f>HYPERLINK("http://dx.doi.org/10.1128/aem.01304-22","http://dx.doi.org/10.1128/aem.01304-22")</f>
        <v>http://dx.doi.org/10.1128/aem.01304-22</v>
      </c>
      <c r="BG422" t="s">
        <v>74</v>
      </c>
      <c r="BH422" t="s">
        <v>6218</v>
      </c>
      <c r="BI422">
        <v>16</v>
      </c>
      <c r="BJ422" t="s">
        <v>6865</v>
      </c>
      <c r="BK422" t="s">
        <v>103</v>
      </c>
      <c r="BL422" t="s">
        <v>6865</v>
      </c>
      <c r="BM422" t="s">
        <v>8517</v>
      </c>
      <c r="BN422">
        <v>36912687</v>
      </c>
      <c r="BO422" t="s">
        <v>928</v>
      </c>
      <c r="BP422" t="s">
        <v>74</v>
      </c>
      <c r="BQ422" t="s">
        <v>74</v>
      </c>
      <c r="BR422" t="s">
        <v>106</v>
      </c>
      <c r="BS422" t="s">
        <v>8518</v>
      </c>
      <c r="BT422" t="str">
        <f>HYPERLINK("https%3A%2F%2Fwww.webofscience.com%2Fwos%2Fwoscc%2Ffull-record%2FWOS:000948373700001","View Full Record in Web of Science")</f>
        <v>View Full Record in Web of Science</v>
      </c>
    </row>
    <row r="423" spans="1:72" x14ac:dyDescent="0.15">
      <c r="A423" t="s">
        <v>72</v>
      </c>
      <c r="B423" t="s">
        <v>8519</v>
      </c>
      <c r="C423" t="s">
        <v>74</v>
      </c>
      <c r="D423" t="s">
        <v>74</v>
      </c>
      <c r="E423" t="s">
        <v>74</v>
      </c>
      <c r="F423" t="s">
        <v>8520</v>
      </c>
      <c r="G423" t="s">
        <v>74</v>
      </c>
      <c r="H423" t="s">
        <v>74</v>
      </c>
      <c r="I423" t="s">
        <v>8521</v>
      </c>
      <c r="J423" t="s">
        <v>3485</v>
      </c>
      <c r="K423" t="s">
        <v>74</v>
      </c>
      <c r="L423" t="s">
        <v>74</v>
      </c>
      <c r="M423" t="s">
        <v>78</v>
      </c>
      <c r="N423" t="s">
        <v>3192</v>
      </c>
      <c r="O423" t="s">
        <v>74</v>
      </c>
      <c r="P423" t="s">
        <v>74</v>
      </c>
      <c r="Q423" t="s">
        <v>74</v>
      </c>
      <c r="R423" t="s">
        <v>74</v>
      </c>
      <c r="S423" t="s">
        <v>74</v>
      </c>
      <c r="T423" t="s">
        <v>74</v>
      </c>
      <c r="U423" t="s">
        <v>74</v>
      </c>
      <c r="V423" t="s">
        <v>74</v>
      </c>
      <c r="W423" t="s">
        <v>8522</v>
      </c>
      <c r="X423" t="s">
        <v>8523</v>
      </c>
      <c r="Y423" t="s">
        <v>8524</v>
      </c>
      <c r="Z423" t="s">
        <v>8525</v>
      </c>
      <c r="AA423" t="s">
        <v>8526</v>
      </c>
      <c r="AB423" t="s">
        <v>8527</v>
      </c>
      <c r="AC423" t="s">
        <v>74</v>
      </c>
      <c r="AD423" t="s">
        <v>74</v>
      </c>
      <c r="AE423" t="s">
        <v>74</v>
      </c>
      <c r="AF423" t="s">
        <v>74</v>
      </c>
      <c r="AG423">
        <v>7</v>
      </c>
      <c r="AH423">
        <v>0</v>
      </c>
      <c r="AI423">
        <v>0</v>
      </c>
      <c r="AJ423">
        <v>7</v>
      </c>
      <c r="AK423">
        <v>14</v>
      </c>
      <c r="AL423" t="s">
        <v>3498</v>
      </c>
      <c r="AM423" t="s">
        <v>306</v>
      </c>
      <c r="AN423" t="s">
        <v>3499</v>
      </c>
      <c r="AO423" t="s">
        <v>3500</v>
      </c>
      <c r="AP423" t="s">
        <v>3501</v>
      </c>
      <c r="AQ423" t="s">
        <v>74</v>
      </c>
      <c r="AR423" t="s">
        <v>3502</v>
      </c>
      <c r="AS423" t="s">
        <v>3503</v>
      </c>
      <c r="AT423" t="s">
        <v>8528</v>
      </c>
      <c r="AU423">
        <v>2023</v>
      </c>
      <c r="AV423">
        <v>120</v>
      </c>
      <c r="AW423">
        <v>12</v>
      </c>
      <c r="AX423" t="s">
        <v>74</v>
      </c>
      <c r="AY423" t="s">
        <v>74</v>
      </c>
      <c r="AZ423" t="s">
        <v>74</v>
      </c>
      <c r="BA423" t="s">
        <v>74</v>
      </c>
      <c r="BB423" t="s">
        <v>74</v>
      </c>
      <c r="BC423" t="s">
        <v>74</v>
      </c>
      <c r="BD423" t="s">
        <v>8529</v>
      </c>
      <c r="BE423" t="s">
        <v>8530</v>
      </c>
      <c r="BF423" t="str">
        <f>HYPERLINK("http://dx.doi.org/10.1073/pnas.2301467120","http://dx.doi.org/10.1073/pnas.2301467120")</f>
        <v>http://dx.doi.org/10.1073/pnas.2301467120</v>
      </c>
      <c r="BG423" t="s">
        <v>74</v>
      </c>
      <c r="BH423" t="s">
        <v>74</v>
      </c>
      <c r="BI423">
        <v>2</v>
      </c>
      <c r="BJ423" t="s">
        <v>210</v>
      </c>
      <c r="BK423" t="s">
        <v>103</v>
      </c>
      <c r="BL423" t="s">
        <v>211</v>
      </c>
      <c r="BM423" t="s">
        <v>8531</v>
      </c>
      <c r="BN423">
        <v>36913583</v>
      </c>
      <c r="BO423" t="s">
        <v>8532</v>
      </c>
      <c r="BP423" t="s">
        <v>74</v>
      </c>
      <c r="BQ423" t="s">
        <v>74</v>
      </c>
      <c r="BR423" t="s">
        <v>106</v>
      </c>
      <c r="BS423" t="s">
        <v>8533</v>
      </c>
      <c r="BT423" t="str">
        <f>HYPERLINK("https%3A%2F%2Fwww.webofscience.com%2Fwos%2Fwoscc%2Ffull-record%2FWOS:000991153200010","View Full Record in Web of Science")</f>
        <v>View Full Record in Web of Science</v>
      </c>
    </row>
    <row r="424" spans="1:72" x14ac:dyDescent="0.15">
      <c r="A424" t="s">
        <v>72</v>
      </c>
      <c r="B424" t="s">
        <v>8534</v>
      </c>
      <c r="C424" t="s">
        <v>74</v>
      </c>
      <c r="D424" t="s">
        <v>74</v>
      </c>
      <c r="E424" t="s">
        <v>74</v>
      </c>
      <c r="F424" t="s">
        <v>8535</v>
      </c>
      <c r="G424" t="s">
        <v>74</v>
      </c>
      <c r="H424" t="s">
        <v>74</v>
      </c>
      <c r="I424" t="s">
        <v>8536</v>
      </c>
      <c r="J424" t="s">
        <v>8537</v>
      </c>
      <c r="K424" t="s">
        <v>74</v>
      </c>
      <c r="L424" t="s">
        <v>74</v>
      </c>
      <c r="M424" t="s">
        <v>78</v>
      </c>
      <c r="N424" t="s">
        <v>112</v>
      </c>
      <c r="O424" t="s">
        <v>74</v>
      </c>
      <c r="P424" t="s">
        <v>74</v>
      </c>
      <c r="Q424" t="s">
        <v>74</v>
      </c>
      <c r="R424" t="s">
        <v>74</v>
      </c>
      <c r="S424" t="s">
        <v>74</v>
      </c>
      <c r="T424" t="s">
        <v>74</v>
      </c>
      <c r="U424" t="s">
        <v>8538</v>
      </c>
      <c r="V424" t="s">
        <v>8539</v>
      </c>
      <c r="W424" t="s">
        <v>8540</v>
      </c>
      <c r="X424" t="s">
        <v>8541</v>
      </c>
      <c r="Y424" t="s">
        <v>8542</v>
      </c>
      <c r="Z424" t="s">
        <v>8543</v>
      </c>
      <c r="AA424" t="s">
        <v>8544</v>
      </c>
      <c r="AB424" t="s">
        <v>8545</v>
      </c>
      <c r="AC424" t="s">
        <v>8546</v>
      </c>
      <c r="AD424" t="s">
        <v>8547</v>
      </c>
      <c r="AE424" t="s">
        <v>8548</v>
      </c>
      <c r="AF424" t="s">
        <v>74</v>
      </c>
      <c r="AG424">
        <v>88</v>
      </c>
      <c r="AH424">
        <v>1</v>
      </c>
      <c r="AI424">
        <v>1</v>
      </c>
      <c r="AJ424">
        <v>8</v>
      </c>
      <c r="AK424">
        <v>20</v>
      </c>
      <c r="AL424" t="s">
        <v>7999</v>
      </c>
      <c r="AM424" t="s">
        <v>1102</v>
      </c>
      <c r="AN424" t="s">
        <v>8000</v>
      </c>
      <c r="AO424" t="s">
        <v>8549</v>
      </c>
      <c r="AP424" t="s">
        <v>8550</v>
      </c>
      <c r="AQ424" t="s">
        <v>74</v>
      </c>
      <c r="AR424" t="s">
        <v>8551</v>
      </c>
      <c r="AS424" t="s">
        <v>8552</v>
      </c>
      <c r="AT424" t="s">
        <v>8528</v>
      </c>
      <c r="AU424">
        <v>2023</v>
      </c>
      <c r="AV424">
        <v>33</v>
      </c>
      <c r="AW424">
        <v>5</v>
      </c>
      <c r="AX424" t="s">
        <v>74</v>
      </c>
      <c r="AY424" t="s">
        <v>74</v>
      </c>
      <c r="AZ424" t="s">
        <v>74</v>
      </c>
      <c r="BA424" t="s">
        <v>74</v>
      </c>
      <c r="BB424">
        <v>990</v>
      </c>
      <c r="BC424" t="s">
        <v>1385</v>
      </c>
      <c r="BD424" t="s">
        <v>74</v>
      </c>
      <c r="BE424" t="s">
        <v>8553</v>
      </c>
      <c r="BF424" t="str">
        <f>HYPERLINK("http://dx.doi.org/10.1016/j.cub.2023.01.037","http://dx.doi.org/10.1016/j.cub.2023.01.037")</f>
        <v>http://dx.doi.org/10.1016/j.cub.2023.01.037</v>
      </c>
      <c r="BG424" t="s">
        <v>74</v>
      </c>
      <c r="BH424" t="s">
        <v>6218</v>
      </c>
      <c r="BI424">
        <v>13</v>
      </c>
      <c r="BJ424" t="s">
        <v>8554</v>
      </c>
      <c r="BK424" t="s">
        <v>103</v>
      </c>
      <c r="BL424" t="s">
        <v>8555</v>
      </c>
      <c r="BM424" t="s">
        <v>8556</v>
      </c>
      <c r="BN424">
        <v>36787746</v>
      </c>
      <c r="BO424" t="s">
        <v>387</v>
      </c>
      <c r="BP424" t="s">
        <v>74</v>
      </c>
      <c r="BQ424" t="s">
        <v>74</v>
      </c>
      <c r="BR424" t="s">
        <v>106</v>
      </c>
      <c r="BS424" t="s">
        <v>8557</v>
      </c>
      <c r="BT424" t="str">
        <f>HYPERLINK("https%3A%2F%2Fwww.webofscience.com%2Fwos%2Fwoscc%2Ffull-record%2FWOS:000956338400001","View Full Record in Web of Science")</f>
        <v>View Full Record in Web of Science</v>
      </c>
    </row>
    <row r="425" spans="1:72" x14ac:dyDescent="0.15">
      <c r="A425" t="s">
        <v>72</v>
      </c>
      <c r="B425" t="s">
        <v>8558</v>
      </c>
      <c r="C425" t="s">
        <v>74</v>
      </c>
      <c r="D425" t="s">
        <v>74</v>
      </c>
      <c r="E425" t="s">
        <v>74</v>
      </c>
      <c r="F425" t="s">
        <v>8559</v>
      </c>
      <c r="G425" t="s">
        <v>74</v>
      </c>
      <c r="H425" t="s">
        <v>74</v>
      </c>
      <c r="I425" t="s">
        <v>8560</v>
      </c>
      <c r="J425" t="s">
        <v>3485</v>
      </c>
      <c r="K425" t="s">
        <v>74</v>
      </c>
      <c r="L425" t="s">
        <v>74</v>
      </c>
      <c r="M425" t="s">
        <v>78</v>
      </c>
      <c r="N425" t="s">
        <v>112</v>
      </c>
      <c r="O425" t="s">
        <v>74</v>
      </c>
      <c r="P425" t="s">
        <v>74</v>
      </c>
      <c r="Q425" t="s">
        <v>74</v>
      </c>
      <c r="R425" t="s">
        <v>74</v>
      </c>
      <c r="S425" t="s">
        <v>74</v>
      </c>
      <c r="T425" t="s">
        <v>8561</v>
      </c>
      <c r="U425" t="s">
        <v>8562</v>
      </c>
      <c r="V425" t="s">
        <v>8563</v>
      </c>
      <c r="W425" t="s">
        <v>8564</v>
      </c>
      <c r="X425" t="s">
        <v>8565</v>
      </c>
      <c r="Y425" t="s">
        <v>8566</v>
      </c>
      <c r="Z425" t="s">
        <v>8567</v>
      </c>
      <c r="AA425" t="s">
        <v>8568</v>
      </c>
      <c r="AB425" t="s">
        <v>8569</v>
      </c>
      <c r="AC425" t="s">
        <v>74</v>
      </c>
      <c r="AD425" t="s">
        <v>74</v>
      </c>
      <c r="AE425" t="s">
        <v>74</v>
      </c>
      <c r="AF425" t="s">
        <v>74</v>
      </c>
      <c r="AG425">
        <v>117</v>
      </c>
      <c r="AH425">
        <v>5</v>
      </c>
      <c r="AI425">
        <v>5</v>
      </c>
      <c r="AJ425">
        <v>3</v>
      </c>
      <c r="AK425">
        <v>12</v>
      </c>
      <c r="AL425" t="s">
        <v>3498</v>
      </c>
      <c r="AM425" t="s">
        <v>306</v>
      </c>
      <c r="AN425" t="s">
        <v>3499</v>
      </c>
      <c r="AO425" t="s">
        <v>3500</v>
      </c>
      <c r="AP425" t="s">
        <v>3501</v>
      </c>
      <c r="AQ425" t="s">
        <v>74</v>
      </c>
      <c r="AR425" t="s">
        <v>3502</v>
      </c>
      <c r="AS425" t="s">
        <v>3503</v>
      </c>
      <c r="AT425" t="s">
        <v>8528</v>
      </c>
      <c r="AU425">
        <v>2023</v>
      </c>
      <c r="AV425">
        <v>120</v>
      </c>
      <c r="AW425">
        <v>12</v>
      </c>
      <c r="AX425" t="s">
        <v>74</v>
      </c>
      <c r="AY425" t="s">
        <v>74</v>
      </c>
      <c r="AZ425" t="s">
        <v>74</v>
      </c>
      <c r="BA425" t="s">
        <v>74</v>
      </c>
      <c r="BB425" t="s">
        <v>74</v>
      </c>
      <c r="BC425" t="s">
        <v>74</v>
      </c>
      <c r="BD425" t="s">
        <v>8570</v>
      </c>
      <c r="BE425" t="s">
        <v>8571</v>
      </c>
      <c r="BF425" t="str">
        <f>HYPERLINK("http://dx.doi.org/10.1073/pnas.2209558120","http://dx.doi.org/10.1073/pnas.2209558120")</f>
        <v>http://dx.doi.org/10.1073/pnas.2209558120</v>
      </c>
      <c r="BG425" t="s">
        <v>74</v>
      </c>
      <c r="BH425" t="s">
        <v>74</v>
      </c>
      <c r="BI425">
        <v>11</v>
      </c>
      <c r="BJ425" t="s">
        <v>210</v>
      </c>
      <c r="BK425" t="s">
        <v>103</v>
      </c>
      <c r="BL425" t="s">
        <v>211</v>
      </c>
      <c r="BM425" t="s">
        <v>8572</v>
      </c>
      <c r="BN425">
        <v>36913575</v>
      </c>
      <c r="BO425" t="s">
        <v>8573</v>
      </c>
      <c r="BP425" t="s">
        <v>74</v>
      </c>
      <c r="BQ425" t="s">
        <v>74</v>
      </c>
      <c r="BR425" t="s">
        <v>106</v>
      </c>
      <c r="BS425" t="s">
        <v>8574</v>
      </c>
      <c r="BT425" t="str">
        <f>HYPERLINK("https%3A%2F%2Fwww.webofscience.com%2Fwos%2Fwoscc%2Ffull-record%2FWOS:000980501000001","View Full Record in Web of Science")</f>
        <v>View Full Record in Web of Science</v>
      </c>
    </row>
    <row r="426" spans="1:72" x14ac:dyDescent="0.15">
      <c r="A426" t="s">
        <v>72</v>
      </c>
      <c r="B426" t="s">
        <v>8575</v>
      </c>
      <c r="C426" t="s">
        <v>74</v>
      </c>
      <c r="D426" t="s">
        <v>74</v>
      </c>
      <c r="E426" t="s">
        <v>74</v>
      </c>
      <c r="F426" t="s">
        <v>8576</v>
      </c>
      <c r="G426" t="s">
        <v>74</v>
      </c>
      <c r="H426" t="s">
        <v>74</v>
      </c>
      <c r="I426" t="s">
        <v>8577</v>
      </c>
      <c r="J426" t="s">
        <v>8578</v>
      </c>
      <c r="K426" t="s">
        <v>74</v>
      </c>
      <c r="L426" t="s">
        <v>74</v>
      </c>
      <c r="M426" t="s">
        <v>78</v>
      </c>
      <c r="N426" t="s">
        <v>112</v>
      </c>
      <c r="O426" t="s">
        <v>74</v>
      </c>
      <c r="P426" t="s">
        <v>74</v>
      </c>
      <c r="Q426" t="s">
        <v>74</v>
      </c>
      <c r="R426" t="s">
        <v>74</v>
      </c>
      <c r="S426" t="s">
        <v>74</v>
      </c>
      <c r="T426" t="s">
        <v>8579</v>
      </c>
      <c r="U426" t="s">
        <v>8580</v>
      </c>
      <c r="V426" t="s">
        <v>8581</v>
      </c>
      <c r="W426" t="s">
        <v>8582</v>
      </c>
      <c r="X426" t="s">
        <v>8583</v>
      </c>
      <c r="Y426" t="s">
        <v>8584</v>
      </c>
      <c r="Z426" t="s">
        <v>8585</v>
      </c>
      <c r="AA426" t="s">
        <v>7145</v>
      </c>
      <c r="AB426" t="s">
        <v>8586</v>
      </c>
      <c r="AC426" t="s">
        <v>8587</v>
      </c>
      <c r="AD426" t="s">
        <v>8588</v>
      </c>
      <c r="AE426" t="s">
        <v>8589</v>
      </c>
      <c r="AF426" t="s">
        <v>74</v>
      </c>
      <c r="AG426">
        <v>71</v>
      </c>
      <c r="AH426">
        <v>0</v>
      </c>
      <c r="AI426">
        <v>0</v>
      </c>
      <c r="AJ426">
        <v>1</v>
      </c>
      <c r="AK426">
        <v>7</v>
      </c>
      <c r="AL426" t="s">
        <v>447</v>
      </c>
      <c r="AM426" t="s">
        <v>448</v>
      </c>
      <c r="AN426" t="s">
        <v>449</v>
      </c>
      <c r="AO426" t="s">
        <v>8590</v>
      </c>
      <c r="AP426" t="s">
        <v>8591</v>
      </c>
      <c r="AQ426" t="s">
        <v>74</v>
      </c>
      <c r="AR426" t="s">
        <v>8592</v>
      </c>
      <c r="AS426" t="s">
        <v>8593</v>
      </c>
      <c r="AT426" t="s">
        <v>131</v>
      </c>
      <c r="AU426">
        <v>2023</v>
      </c>
      <c r="AV426">
        <v>609</v>
      </c>
      <c r="AW426" t="s">
        <v>74</v>
      </c>
      <c r="AX426" t="s">
        <v>74</v>
      </c>
      <c r="AY426" t="s">
        <v>74</v>
      </c>
      <c r="AZ426" t="s">
        <v>74</v>
      </c>
      <c r="BA426" t="s">
        <v>74</v>
      </c>
      <c r="BB426" t="s">
        <v>74</v>
      </c>
      <c r="BC426" t="s">
        <v>74</v>
      </c>
      <c r="BD426">
        <v>118077</v>
      </c>
      <c r="BE426" t="s">
        <v>8594</v>
      </c>
      <c r="BF426" t="str">
        <f>HYPERLINK("http://dx.doi.org/10.1016/j.epsl.2023.118077","http://dx.doi.org/10.1016/j.epsl.2023.118077")</f>
        <v>http://dx.doi.org/10.1016/j.epsl.2023.118077</v>
      </c>
      <c r="BG426" t="s">
        <v>74</v>
      </c>
      <c r="BH426" t="s">
        <v>6218</v>
      </c>
      <c r="BI426">
        <v>16</v>
      </c>
      <c r="BJ426" t="s">
        <v>313</v>
      </c>
      <c r="BK426" t="s">
        <v>103</v>
      </c>
      <c r="BL426" t="s">
        <v>313</v>
      </c>
      <c r="BM426" t="s">
        <v>8595</v>
      </c>
      <c r="BN426" t="s">
        <v>74</v>
      </c>
      <c r="BO426" t="s">
        <v>387</v>
      </c>
      <c r="BP426" t="s">
        <v>74</v>
      </c>
      <c r="BQ426" t="s">
        <v>74</v>
      </c>
      <c r="BR426" t="s">
        <v>106</v>
      </c>
      <c r="BS426" t="s">
        <v>8596</v>
      </c>
      <c r="BT426" t="str">
        <f>HYPERLINK("https%3A%2F%2Fwww.webofscience.com%2Fwos%2Fwoscc%2Ffull-record%2FWOS:000955766600001","View Full Record in Web of Science")</f>
        <v>View Full Record in Web of Science</v>
      </c>
    </row>
    <row r="427" spans="1:72" x14ac:dyDescent="0.15">
      <c r="A427" t="s">
        <v>72</v>
      </c>
      <c r="B427" t="s">
        <v>8597</v>
      </c>
      <c r="C427" t="s">
        <v>74</v>
      </c>
      <c r="D427" t="s">
        <v>74</v>
      </c>
      <c r="E427" t="s">
        <v>74</v>
      </c>
      <c r="F427" t="s">
        <v>8598</v>
      </c>
      <c r="G427" t="s">
        <v>74</v>
      </c>
      <c r="H427" t="s">
        <v>74</v>
      </c>
      <c r="I427" t="s">
        <v>8599</v>
      </c>
      <c r="J427" t="s">
        <v>8600</v>
      </c>
      <c r="K427" t="s">
        <v>74</v>
      </c>
      <c r="L427" t="s">
        <v>74</v>
      </c>
      <c r="M427" t="s">
        <v>78</v>
      </c>
      <c r="N427" t="s">
        <v>1118</v>
      </c>
      <c r="O427" t="s">
        <v>74</v>
      </c>
      <c r="P427" t="s">
        <v>74</v>
      </c>
      <c r="Q427" t="s">
        <v>74</v>
      </c>
      <c r="R427" t="s">
        <v>74</v>
      </c>
      <c r="S427" t="s">
        <v>74</v>
      </c>
      <c r="T427" t="s">
        <v>8601</v>
      </c>
      <c r="U427" t="s">
        <v>74</v>
      </c>
      <c r="V427" t="s">
        <v>8602</v>
      </c>
      <c r="W427" t="s">
        <v>8603</v>
      </c>
      <c r="X427" t="s">
        <v>8604</v>
      </c>
      <c r="Y427" t="s">
        <v>8605</v>
      </c>
      <c r="Z427" t="s">
        <v>8606</v>
      </c>
      <c r="AA427" t="s">
        <v>8607</v>
      </c>
      <c r="AB427" t="s">
        <v>8608</v>
      </c>
      <c r="AC427" t="s">
        <v>8609</v>
      </c>
      <c r="AD427" t="s">
        <v>8609</v>
      </c>
      <c r="AE427" t="s">
        <v>8610</v>
      </c>
      <c r="AF427" t="s">
        <v>74</v>
      </c>
      <c r="AG427">
        <v>8</v>
      </c>
      <c r="AH427">
        <v>0</v>
      </c>
      <c r="AI427">
        <v>0</v>
      </c>
      <c r="AJ427">
        <v>0</v>
      </c>
      <c r="AK427">
        <v>1</v>
      </c>
      <c r="AL427" t="s">
        <v>447</v>
      </c>
      <c r="AM427" t="s">
        <v>448</v>
      </c>
      <c r="AN427" t="s">
        <v>449</v>
      </c>
      <c r="AO427" t="s">
        <v>8611</v>
      </c>
      <c r="AP427" t="s">
        <v>74</v>
      </c>
      <c r="AQ427" t="s">
        <v>74</v>
      </c>
      <c r="AR427" t="s">
        <v>8612</v>
      </c>
      <c r="AS427" t="s">
        <v>8613</v>
      </c>
      <c r="AT427" t="s">
        <v>232</v>
      </c>
      <c r="AU427">
        <v>2023</v>
      </c>
      <c r="AV427">
        <v>48</v>
      </c>
      <c r="AW427" t="s">
        <v>74</v>
      </c>
      <c r="AX427" t="s">
        <v>74</v>
      </c>
      <c r="AY427" t="s">
        <v>74</v>
      </c>
      <c r="AZ427" t="s">
        <v>74</v>
      </c>
      <c r="BA427" t="s">
        <v>74</v>
      </c>
      <c r="BB427" t="s">
        <v>74</v>
      </c>
      <c r="BC427" t="s">
        <v>74</v>
      </c>
      <c r="BD427">
        <v>109052</v>
      </c>
      <c r="BE427" t="s">
        <v>8614</v>
      </c>
      <c r="BF427" t="str">
        <f>HYPERLINK("http://dx.doi.org/10.1016/j.dib.2023.109052","http://dx.doi.org/10.1016/j.dib.2023.109052")</f>
        <v>http://dx.doi.org/10.1016/j.dib.2023.109052</v>
      </c>
      <c r="BG427" t="s">
        <v>74</v>
      </c>
      <c r="BH427" t="s">
        <v>6218</v>
      </c>
      <c r="BI427">
        <v>5</v>
      </c>
      <c r="BJ427" t="s">
        <v>210</v>
      </c>
      <c r="BK427" t="s">
        <v>160</v>
      </c>
      <c r="BL427" t="s">
        <v>211</v>
      </c>
      <c r="BM427" t="s">
        <v>8615</v>
      </c>
      <c r="BN427">
        <v>36942092</v>
      </c>
      <c r="BO427" t="s">
        <v>136</v>
      </c>
      <c r="BP427" t="s">
        <v>74</v>
      </c>
      <c r="BQ427" t="s">
        <v>74</v>
      </c>
      <c r="BR427" t="s">
        <v>106</v>
      </c>
      <c r="BS427" t="s">
        <v>8616</v>
      </c>
      <c r="BT427" t="str">
        <f>HYPERLINK("https%3A%2F%2Fwww.webofscience.com%2Fwos%2Fwoscc%2Ffull-record%2FWOS:000955369800001","View Full Record in Web of Science")</f>
        <v>View Full Record in Web of Science</v>
      </c>
    </row>
    <row r="428" spans="1:72" x14ac:dyDescent="0.15">
      <c r="A428" t="s">
        <v>72</v>
      </c>
      <c r="B428" t="s">
        <v>8617</v>
      </c>
      <c r="C428" t="s">
        <v>74</v>
      </c>
      <c r="D428" t="s">
        <v>74</v>
      </c>
      <c r="E428" t="s">
        <v>74</v>
      </c>
      <c r="F428" t="s">
        <v>8618</v>
      </c>
      <c r="G428" t="s">
        <v>74</v>
      </c>
      <c r="H428" t="s">
        <v>74</v>
      </c>
      <c r="I428" t="s">
        <v>8619</v>
      </c>
      <c r="J428" t="s">
        <v>8537</v>
      </c>
      <c r="K428" t="s">
        <v>74</v>
      </c>
      <c r="L428" t="s">
        <v>74</v>
      </c>
      <c r="M428" t="s">
        <v>78</v>
      </c>
      <c r="N428" t="s">
        <v>112</v>
      </c>
      <c r="O428" t="s">
        <v>74</v>
      </c>
      <c r="P428" t="s">
        <v>74</v>
      </c>
      <c r="Q428" t="s">
        <v>74</v>
      </c>
      <c r="R428" t="s">
        <v>74</v>
      </c>
      <c r="S428" t="s">
        <v>74</v>
      </c>
      <c r="T428" t="s">
        <v>74</v>
      </c>
      <c r="U428" t="s">
        <v>8620</v>
      </c>
      <c r="V428" t="s">
        <v>8621</v>
      </c>
      <c r="W428" t="s">
        <v>8622</v>
      </c>
      <c r="X428" t="s">
        <v>8623</v>
      </c>
      <c r="Y428" t="s">
        <v>8624</v>
      </c>
      <c r="Z428" t="s">
        <v>8625</v>
      </c>
      <c r="AA428" t="s">
        <v>8626</v>
      </c>
      <c r="AB428" t="s">
        <v>8627</v>
      </c>
      <c r="AC428" t="s">
        <v>8628</v>
      </c>
      <c r="AD428" t="s">
        <v>8629</v>
      </c>
      <c r="AE428" t="s">
        <v>8630</v>
      </c>
      <c r="AF428" t="s">
        <v>74</v>
      </c>
      <c r="AG428">
        <v>42</v>
      </c>
      <c r="AH428">
        <v>4</v>
      </c>
      <c r="AI428">
        <v>4</v>
      </c>
      <c r="AJ428">
        <v>3</v>
      </c>
      <c r="AK428">
        <v>15</v>
      </c>
      <c r="AL428" t="s">
        <v>7999</v>
      </c>
      <c r="AM428" t="s">
        <v>1102</v>
      </c>
      <c r="AN428" t="s">
        <v>8000</v>
      </c>
      <c r="AO428" t="s">
        <v>8549</v>
      </c>
      <c r="AP428" t="s">
        <v>8550</v>
      </c>
      <c r="AQ428" t="s">
        <v>74</v>
      </c>
      <c r="AR428" t="s">
        <v>8551</v>
      </c>
      <c r="AS428" t="s">
        <v>8552</v>
      </c>
      <c r="AT428" t="s">
        <v>8528</v>
      </c>
      <c r="AU428">
        <v>2023</v>
      </c>
      <c r="AV428">
        <v>33</v>
      </c>
      <c r="AW428">
        <v>5</v>
      </c>
      <c r="AX428" t="s">
        <v>74</v>
      </c>
      <c r="AY428" t="s">
        <v>74</v>
      </c>
      <c r="AZ428" t="s">
        <v>74</v>
      </c>
      <c r="BA428" t="s">
        <v>74</v>
      </c>
      <c r="BB428">
        <v>973</v>
      </c>
      <c r="BC428" t="s">
        <v>1385</v>
      </c>
      <c r="BD428" t="s">
        <v>74</v>
      </c>
      <c r="BE428" t="s">
        <v>8631</v>
      </c>
      <c r="BF428" t="str">
        <f>HYPERLINK("http://dx.doi.org/10.1016/j.cub.2023.01.027","http://dx.doi.org/10.1016/j.cub.2023.01.027")</f>
        <v>http://dx.doi.org/10.1016/j.cub.2023.01.027</v>
      </c>
      <c r="BG428" t="s">
        <v>74</v>
      </c>
      <c r="BH428" t="s">
        <v>6218</v>
      </c>
      <c r="BI428">
        <v>14</v>
      </c>
      <c r="BJ428" t="s">
        <v>8554</v>
      </c>
      <c r="BK428" t="s">
        <v>103</v>
      </c>
      <c r="BL428" t="s">
        <v>8555</v>
      </c>
      <c r="BM428" t="s">
        <v>8632</v>
      </c>
      <c r="BN428">
        <v>36773606</v>
      </c>
      <c r="BO428" t="s">
        <v>387</v>
      </c>
      <c r="BP428" t="s">
        <v>74</v>
      </c>
      <c r="BQ428" t="s">
        <v>74</v>
      </c>
      <c r="BR428" t="s">
        <v>106</v>
      </c>
      <c r="BS428" t="s">
        <v>8633</v>
      </c>
      <c r="BT428" t="str">
        <f>HYPERLINK("https%3A%2F%2Fwww.webofscience.com%2Fwos%2Fwoscc%2Ffull-record%2FWOS:000956361700001","View Full Record in Web of Science")</f>
        <v>View Full Record in Web of Science</v>
      </c>
    </row>
    <row r="429" spans="1:72" x14ac:dyDescent="0.15">
      <c r="A429" t="s">
        <v>72</v>
      </c>
      <c r="B429" t="s">
        <v>8634</v>
      </c>
      <c r="C429" t="s">
        <v>74</v>
      </c>
      <c r="D429" t="s">
        <v>74</v>
      </c>
      <c r="E429" t="s">
        <v>74</v>
      </c>
      <c r="F429" t="s">
        <v>8635</v>
      </c>
      <c r="G429" t="s">
        <v>74</v>
      </c>
      <c r="H429" t="s">
        <v>74</v>
      </c>
      <c r="I429" t="s">
        <v>8636</v>
      </c>
      <c r="J429" t="s">
        <v>8637</v>
      </c>
      <c r="K429" t="s">
        <v>74</v>
      </c>
      <c r="L429" t="s">
        <v>74</v>
      </c>
      <c r="M429" t="s">
        <v>78</v>
      </c>
      <c r="N429" t="s">
        <v>112</v>
      </c>
      <c r="O429" t="s">
        <v>74</v>
      </c>
      <c r="P429" t="s">
        <v>74</v>
      </c>
      <c r="Q429" t="s">
        <v>74</v>
      </c>
      <c r="R429" t="s">
        <v>74</v>
      </c>
      <c r="S429" t="s">
        <v>74</v>
      </c>
      <c r="T429" t="s">
        <v>74</v>
      </c>
      <c r="U429" t="s">
        <v>8638</v>
      </c>
      <c r="V429" t="s">
        <v>8639</v>
      </c>
      <c r="W429" t="s">
        <v>8640</v>
      </c>
      <c r="X429" t="s">
        <v>8641</v>
      </c>
      <c r="Y429" t="s">
        <v>8642</v>
      </c>
      <c r="Z429" t="s">
        <v>8643</v>
      </c>
      <c r="AA429" t="s">
        <v>8644</v>
      </c>
      <c r="AB429" t="s">
        <v>8645</v>
      </c>
      <c r="AC429" t="s">
        <v>8646</v>
      </c>
      <c r="AD429" t="s">
        <v>8647</v>
      </c>
      <c r="AE429" t="s">
        <v>8648</v>
      </c>
      <c r="AF429" t="s">
        <v>74</v>
      </c>
      <c r="AG429">
        <v>104</v>
      </c>
      <c r="AH429">
        <v>3</v>
      </c>
      <c r="AI429">
        <v>3</v>
      </c>
      <c r="AJ429">
        <v>2</v>
      </c>
      <c r="AK429">
        <v>6</v>
      </c>
      <c r="AL429" t="s">
        <v>203</v>
      </c>
      <c r="AM429" t="s">
        <v>204</v>
      </c>
      <c r="AN429" t="s">
        <v>205</v>
      </c>
      <c r="AO429" t="s">
        <v>8649</v>
      </c>
      <c r="AP429" t="s">
        <v>74</v>
      </c>
      <c r="AQ429" t="s">
        <v>74</v>
      </c>
      <c r="AR429" t="s">
        <v>8650</v>
      </c>
      <c r="AS429" t="s">
        <v>8651</v>
      </c>
      <c r="AT429" t="s">
        <v>1437</v>
      </c>
      <c r="AU429">
        <v>2023</v>
      </c>
      <c r="AV429">
        <v>7</v>
      </c>
      <c r="AW429">
        <v>4</v>
      </c>
      <c r="AX429" t="s">
        <v>74</v>
      </c>
      <c r="AY429" t="s">
        <v>74</v>
      </c>
      <c r="AZ429" t="s">
        <v>74</v>
      </c>
      <c r="BA429" t="s">
        <v>74</v>
      </c>
      <c r="BB429">
        <v>535</v>
      </c>
      <c r="BC429" t="s">
        <v>1385</v>
      </c>
      <c r="BD429" t="s">
        <v>74</v>
      </c>
      <c r="BE429" t="s">
        <v>8652</v>
      </c>
      <c r="BF429" t="str">
        <f>HYPERLINK("http://dx.doi.org/10.1038/s41559-023-01993-2","http://dx.doi.org/10.1038/s41559-023-01993-2")</f>
        <v>http://dx.doi.org/10.1038/s41559-023-01993-2</v>
      </c>
      <c r="BG429" t="s">
        <v>74</v>
      </c>
      <c r="BH429" t="s">
        <v>6218</v>
      </c>
      <c r="BI429">
        <v>24</v>
      </c>
      <c r="BJ429" t="s">
        <v>5065</v>
      </c>
      <c r="BK429" t="s">
        <v>103</v>
      </c>
      <c r="BL429" t="s">
        <v>5066</v>
      </c>
      <c r="BM429" t="s">
        <v>8653</v>
      </c>
      <c r="BN429">
        <v>36914772</v>
      </c>
      <c r="BO429" t="s">
        <v>74</v>
      </c>
      <c r="BP429" t="s">
        <v>74</v>
      </c>
      <c r="BQ429" t="s">
        <v>74</v>
      </c>
      <c r="BR429" t="s">
        <v>106</v>
      </c>
      <c r="BS429" t="s">
        <v>8654</v>
      </c>
      <c r="BT429" t="str">
        <f>HYPERLINK("https%3A%2F%2Fwww.webofscience.com%2Fwos%2Fwoscc%2Ffull-record%2FWOS:000949909100002","View Full Record in Web of Science")</f>
        <v>View Full Record in Web of Science</v>
      </c>
    </row>
    <row r="430" spans="1:72" x14ac:dyDescent="0.15">
      <c r="A430" t="s">
        <v>72</v>
      </c>
      <c r="B430" t="s">
        <v>8655</v>
      </c>
      <c r="C430" t="s">
        <v>74</v>
      </c>
      <c r="D430" t="s">
        <v>74</v>
      </c>
      <c r="E430" t="s">
        <v>74</v>
      </c>
      <c r="F430" t="s">
        <v>8656</v>
      </c>
      <c r="G430" t="s">
        <v>74</v>
      </c>
      <c r="H430" t="s">
        <v>74</v>
      </c>
      <c r="I430" t="s">
        <v>8657</v>
      </c>
      <c r="J430" t="s">
        <v>8658</v>
      </c>
      <c r="K430" t="s">
        <v>74</v>
      </c>
      <c r="L430" t="s">
        <v>74</v>
      </c>
      <c r="M430" t="s">
        <v>78</v>
      </c>
      <c r="N430" t="s">
        <v>112</v>
      </c>
      <c r="O430" t="s">
        <v>74</v>
      </c>
      <c r="P430" t="s">
        <v>74</v>
      </c>
      <c r="Q430" t="s">
        <v>74</v>
      </c>
      <c r="R430" t="s">
        <v>74</v>
      </c>
      <c r="S430" t="s">
        <v>74</v>
      </c>
      <c r="T430" t="s">
        <v>8659</v>
      </c>
      <c r="U430" t="s">
        <v>8660</v>
      </c>
      <c r="V430" t="s">
        <v>8661</v>
      </c>
      <c r="W430" t="s">
        <v>8662</v>
      </c>
      <c r="X430" t="s">
        <v>8663</v>
      </c>
      <c r="Y430" t="s">
        <v>8664</v>
      </c>
      <c r="Z430" t="s">
        <v>8665</v>
      </c>
      <c r="AA430" t="s">
        <v>8666</v>
      </c>
      <c r="AB430" t="s">
        <v>8667</v>
      </c>
      <c r="AC430" t="s">
        <v>8668</v>
      </c>
      <c r="AD430" t="s">
        <v>8668</v>
      </c>
      <c r="AE430" t="s">
        <v>8669</v>
      </c>
      <c r="AF430" t="s">
        <v>74</v>
      </c>
      <c r="AG430">
        <v>39</v>
      </c>
      <c r="AH430">
        <v>1</v>
      </c>
      <c r="AI430">
        <v>1</v>
      </c>
      <c r="AJ430">
        <v>2</v>
      </c>
      <c r="AK430">
        <v>5</v>
      </c>
      <c r="AL430" t="s">
        <v>8670</v>
      </c>
      <c r="AM430" t="s">
        <v>8671</v>
      </c>
      <c r="AN430" t="s">
        <v>8672</v>
      </c>
      <c r="AO430" t="s">
        <v>8673</v>
      </c>
      <c r="AP430" t="s">
        <v>74</v>
      </c>
      <c r="AQ430" t="s">
        <v>74</v>
      </c>
      <c r="AR430" t="s">
        <v>8674</v>
      </c>
      <c r="AS430" t="s">
        <v>8675</v>
      </c>
      <c r="AT430" t="s">
        <v>8528</v>
      </c>
      <c r="AU430">
        <v>2023</v>
      </c>
      <c r="AV430">
        <v>8</v>
      </c>
      <c r="AW430">
        <v>1</v>
      </c>
      <c r="AX430" t="s">
        <v>74</v>
      </c>
      <c r="AY430" t="s">
        <v>74</v>
      </c>
      <c r="AZ430" t="s">
        <v>74</v>
      </c>
      <c r="BA430" t="s">
        <v>74</v>
      </c>
      <c r="BB430" t="s">
        <v>74</v>
      </c>
      <c r="BC430" t="s">
        <v>74</v>
      </c>
      <c r="BD430" t="s">
        <v>74</v>
      </c>
      <c r="BE430" t="s">
        <v>8676</v>
      </c>
      <c r="BF430" t="str">
        <f>HYPERLINK("http://dx.doi.org/10.1515/opag-2022-0170","http://dx.doi.org/10.1515/opag-2022-0170")</f>
        <v>http://dx.doi.org/10.1515/opag-2022-0170</v>
      </c>
      <c r="BG430" t="s">
        <v>74</v>
      </c>
      <c r="BH430" t="s">
        <v>74</v>
      </c>
      <c r="BI430">
        <v>9</v>
      </c>
      <c r="BJ430" t="s">
        <v>8677</v>
      </c>
      <c r="BK430" t="s">
        <v>160</v>
      </c>
      <c r="BL430" t="s">
        <v>188</v>
      </c>
      <c r="BM430" t="s">
        <v>8678</v>
      </c>
      <c r="BN430" t="s">
        <v>74</v>
      </c>
      <c r="BO430" t="s">
        <v>614</v>
      </c>
      <c r="BP430" t="s">
        <v>74</v>
      </c>
      <c r="BQ430" t="s">
        <v>74</v>
      </c>
      <c r="BR430" t="s">
        <v>106</v>
      </c>
      <c r="BS430" t="s">
        <v>8679</v>
      </c>
      <c r="BT430" t="str">
        <f>HYPERLINK("https%3A%2F%2Fwww.webofscience.com%2Fwos%2Fwoscc%2Ffull-record%2FWOS:000950323100001","View Full Record in Web of Science")</f>
        <v>View Full Record in Web of Science</v>
      </c>
    </row>
    <row r="431" spans="1:72" x14ac:dyDescent="0.15">
      <c r="A431" t="s">
        <v>72</v>
      </c>
      <c r="B431" t="s">
        <v>8680</v>
      </c>
      <c r="C431" t="s">
        <v>74</v>
      </c>
      <c r="D431" t="s">
        <v>74</v>
      </c>
      <c r="E431" t="s">
        <v>74</v>
      </c>
      <c r="F431" t="s">
        <v>8681</v>
      </c>
      <c r="G431" t="s">
        <v>74</v>
      </c>
      <c r="H431" t="s">
        <v>74</v>
      </c>
      <c r="I431" t="s">
        <v>8682</v>
      </c>
      <c r="J431" t="s">
        <v>5950</v>
      </c>
      <c r="K431" t="s">
        <v>74</v>
      </c>
      <c r="L431" t="s">
        <v>74</v>
      </c>
      <c r="M431" t="s">
        <v>78</v>
      </c>
      <c r="N431" t="s">
        <v>112</v>
      </c>
      <c r="O431" t="s">
        <v>74</v>
      </c>
      <c r="P431" t="s">
        <v>74</v>
      </c>
      <c r="Q431" t="s">
        <v>74</v>
      </c>
      <c r="R431" t="s">
        <v>74</v>
      </c>
      <c r="S431" t="s">
        <v>74</v>
      </c>
      <c r="T431" t="s">
        <v>8683</v>
      </c>
      <c r="U431" t="s">
        <v>8684</v>
      </c>
      <c r="V431" t="s">
        <v>8685</v>
      </c>
      <c r="W431" t="s">
        <v>8686</v>
      </c>
      <c r="X431" t="s">
        <v>8687</v>
      </c>
      <c r="Y431" t="s">
        <v>8688</v>
      </c>
      <c r="Z431" t="s">
        <v>8689</v>
      </c>
      <c r="AA431" t="s">
        <v>8690</v>
      </c>
      <c r="AB431" t="s">
        <v>8691</v>
      </c>
      <c r="AC431" t="s">
        <v>8692</v>
      </c>
      <c r="AD431" t="s">
        <v>8693</v>
      </c>
      <c r="AE431" t="s">
        <v>8694</v>
      </c>
      <c r="AF431" t="s">
        <v>74</v>
      </c>
      <c r="AG431">
        <v>38</v>
      </c>
      <c r="AH431">
        <v>0</v>
      </c>
      <c r="AI431">
        <v>0</v>
      </c>
      <c r="AJ431">
        <v>9</v>
      </c>
      <c r="AK431">
        <v>17</v>
      </c>
      <c r="AL431" t="s">
        <v>5963</v>
      </c>
      <c r="AM431" t="s">
        <v>5964</v>
      </c>
      <c r="AN431" t="s">
        <v>5965</v>
      </c>
      <c r="AO431" t="s">
        <v>5966</v>
      </c>
      <c r="AP431" t="s">
        <v>5967</v>
      </c>
      <c r="AQ431" t="s">
        <v>74</v>
      </c>
      <c r="AR431" t="s">
        <v>5968</v>
      </c>
      <c r="AS431" t="s">
        <v>5969</v>
      </c>
      <c r="AT431" t="s">
        <v>232</v>
      </c>
      <c r="AU431">
        <v>2023</v>
      </c>
      <c r="AV431">
        <v>22</v>
      </c>
      <c r="AW431">
        <v>3</v>
      </c>
      <c r="AX431" t="s">
        <v>74</v>
      </c>
      <c r="AY431" t="s">
        <v>74</v>
      </c>
      <c r="AZ431" t="s">
        <v>74</v>
      </c>
      <c r="BA431" t="s">
        <v>74</v>
      </c>
      <c r="BB431">
        <v>735</v>
      </c>
      <c r="BC431">
        <v>745</v>
      </c>
      <c r="BD431" t="s">
        <v>74</v>
      </c>
      <c r="BE431" t="s">
        <v>8695</v>
      </c>
      <c r="BF431" t="str">
        <f>HYPERLINK("http://dx.doi.org/10.1007/s11802-023-5297-y","http://dx.doi.org/10.1007/s11802-023-5297-y")</f>
        <v>http://dx.doi.org/10.1007/s11802-023-5297-y</v>
      </c>
      <c r="BG431" t="s">
        <v>74</v>
      </c>
      <c r="BH431" t="s">
        <v>6218</v>
      </c>
      <c r="BI431">
        <v>11</v>
      </c>
      <c r="BJ431" t="s">
        <v>863</v>
      </c>
      <c r="BK431" t="s">
        <v>103</v>
      </c>
      <c r="BL431" t="s">
        <v>863</v>
      </c>
      <c r="BM431" t="s">
        <v>8696</v>
      </c>
      <c r="BN431" t="s">
        <v>74</v>
      </c>
      <c r="BO431" t="s">
        <v>74</v>
      </c>
      <c r="BP431" t="s">
        <v>74</v>
      </c>
      <c r="BQ431" t="s">
        <v>74</v>
      </c>
      <c r="BR431" t="s">
        <v>106</v>
      </c>
      <c r="BS431" t="s">
        <v>8697</v>
      </c>
      <c r="BT431" t="str">
        <f>HYPERLINK("https%3A%2F%2Fwww.webofscience.com%2Fwos%2Fwoscc%2Ffull-record%2FWOS:000948760900002","View Full Record in Web of Science")</f>
        <v>View Full Record in Web of Science</v>
      </c>
    </row>
    <row r="432" spans="1:72" x14ac:dyDescent="0.15">
      <c r="A432" t="s">
        <v>72</v>
      </c>
      <c r="B432" t="s">
        <v>8698</v>
      </c>
      <c r="C432" t="s">
        <v>74</v>
      </c>
      <c r="D432" t="s">
        <v>74</v>
      </c>
      <c r="E432" t="s">
        <v>74</v>
      </c>
      <c r="F432" t="s">
        <v>8699</v>
      </c>
      <c r="G432" t="s">
        <v>74</v>
      </c>
      <c r="H432" t="s">
        <v>74</v>
      </c>
      <c r="I432" t="s">
        <v>8700</v>
      </c>
      <c r="J432" t="s">
        <v>8701</v>
      </c>
      <c r="K432" t="s">
        <v>74</v>
      </c>
      <c r="L432" t="s">
        <v>74</v>
      </c>
      <c r="M432" t="s">
        <v>78</v>
      </c>
      <c r="N432" t="s">
        <v>112</v>
      </c>
      <c r="O432" t="s">
        <v>74</v>
      </c>
      <c r="P432" t="s">
        <v>74</v>
      </c>
      <c r="Q432" t="s">
        <v>74</v>
      </c>
      <c r="R432" t="s">
        <v>74</v>
      </c>
      <c r="S432" t="s">
        <v>74</v>
      </c>
      <c r="T432" t="s">
        <v>8702</v>
      </c>
      <c r="U432" t="s">
        <v>8703</v>
      </c>
      <c r="V432" t="s">
        <v>8704</v>
      </c>
      <c r="W432" t="s">
        <v>8705</v>
      </c>
      <c r="X432" t="s">
        <v>8706</v>
      </c>
      <c r="Y432" t="s">
        <v>8707</v>
      </c>
      <c r="Z432" t="s">
        <v>8708</v>
      </c>
      <c r="AA432" t="s">
        <v>8709</v>
      </c>
      <c r="AB432" t="s">
        <v>8710</v>
      </c>
      <c r="AC432" t="s">
        <v>8711</v>
      </c>
      <c r="AD432" t="s">
        <v>8712</v>
      </c>
      <c r="AE432" t="s">
        <v>8713</v>
      </c>
      <c r="AF432" t="s">
        <v>74</v>
      </c>
      <c r="AG432">
        <v>43</v>
      </c>
      <c r="AH432">
        <v>1</v>
      </c>
      <c r="AI432">
        <v>1</v>
      </c>
      <c r="AJ432">
        <v>1</v>
      </c>
      <c r="AK432">
        <v>4</v>
      </c>
      <c r="AL432" t="s">
        <v>768</v>
      </c>
      <c r="AM432" t="s">
        <v>179</v>
      </c>
      <c r="AN432" t="s">
        <v>769</v>
      </c>
      <c r="AO432" t="s">
        <v>8714</v>
      </c>
      <c r="AP432" t="s">
        <v>8715</v>
      </c>
      <c r="AQ432" t="s">
        <v>74</v>
      </c>
      <c r="AR432" t="s">
        <v>8716</v>
      </c>
      <c r="AS432" t="s">
        <v>8717</v>
      </c>
      <c r="AT432" t="s">
        <v>1437</v>
      </c>
      <c r="AU432">
        <v>2023</v>
      </c>
      <c r="AV432">
        <v>107</v>
      </c>
      <c r="AW432" t="s">
        <v>8718</v>
      </c>
      <c r="AX432" t="s">
        <v>74</v>
      </c>
      <c r="AY432" t="s">
        <v>74</v>
      </c>
      <c r="AZ432" t="s">
        <v>74</v>
      </c>
      <c r="BA432" t="s">
        <v>74</v>
      </c>
      <c r="BB432">
        <v>2469</v>
      </c>
      <c r="BC432">
        <v>2481</v>
      </c>
      <c r="BD432" t="s">
        <v>74</v>
      </c>
      <c r="BE432" t="s">
        <v>8719</v>
      </c>
      <c r="BF432" t="str">
        <f>HYPERLINK("http://dx.doi.org/10.1007/s00253-023-12448-w","http://dx.doi.org/10.1007/s00253-023-12448-w")</f>
        <v>http://dx.doi.org/10.1007/s00253-023-12448-w</v>
      </c>
      <c r="BG432" t="s">
        <v>74</v>
      </c>
      <c r="BH432" t="s">
        <v>6218</v>
      </c>
      <c r="BI432">
        <v>13</v>
      </c>
      <c r="BJ432" t="s">
        <v>531</v>
      </c>
      <c r="BK432" t="s">
        <v>103</v>
      </c>
      <c r="BL432" t="s">
        <v>531</v>
      </c>
      <c r="BM432" t="s">
        <v>8720</v>
      </c>
      <c r="BN432">
        <v>36912903</v>
      </c>
      <c r="BO432" t="s">
        <v>430</v>
      </c>
      <c r="BP432" t="s">
        <v>74</v>
      </c>
      <c r="BQ432" t="s">
        <v>74</v>
      </c>
      <c r="BR432" t="s">
        <v>106</v>
      </c>
      <c r="BS432" t="s">
        <v>8721</v>
      </c>
      <c r="BT432" t="str">
        <f>HYPERLINK("https%3A%2F%2Fwww.webofscience.com%2Fwos%2Fwoscc%2Ffull-record%2FWOS:000948820600001","View Full Record in Web of Science")</f>
        <v>View Full Record in Web of Science</v>
      </c>
    </row>
    <row r="433" spans="1:72" x14ac:dyDescent="0.15">
      <c r="A433" t="s">
        <v>72</v>
      </c>
      <c r="B433" t="s">
        <v>8722</v>
      </c>
      <c r="C433" t="s">
        <v>74</v>
      </c>
      <c r="D433" t="s">
        <v>74</v>
      </c>
      <c r="E433" t="s">
        <v>74</v>
      </c>
      <c r="F433" t="s">
        <v>8723</v>
      </c>
      <c r="G433" t="s">
        <v>74</v>
      </c>
      <c r="H433" t="s">
        <v>74</v>
      </c>
      <c r="I433" t="s">
        <v>8724</v>
      </c>
      <c r="J433" t="s">
        <v>2461</v>
      </c>
      <c r="K433" t="s">
        <v>74</v>
      </c>
      <c r="L433" t="s">
        <v>74</v>
      </c>
      <c r="M433" t="s">
        <v>78</v>
      </c>
      <c r="N433" t="s">
        <v>112</v>
      </c>
      <c r="O433" t="s">
        <v>74</v>
      </c>
      <c r="P433" t="s">
        <v>74</v>
      </c>
      <c r="Q433" t="s">
        <v>74</v>
      </c>
      <c r="R433" t="s">
        <v>74</v>
      </c>
      <c r="S433" t="s">
        <v>74</v>
      </c>
      <c r="T433" t="s">
        <v>74</v>
      </c>
      <c r="U433" t="s">
        <v>8725</v>
      </c>
      <c r="V433" t="s">
        <v>8726</v>
      </c>
      <c r="W433" t="s">
        <v>8727</v>
      </c>
      <c r="X433" t="s">
        <v>8728</v>
      </c>
      <c r="Y433" t="s">
        <v>8729</v>
      </c>
      <c r="Z433" t="s">
        <v>8730</v>
      </c>
      <c r="AA433" t="s">
        <v>8731</v>
      </c>
      <c r="AB433" t="s">
        <v>8732</v>
      </c>
      <c r="AC433" t="s">
        <v>8733</v>
      </c>
      <c r="AD433" t="s">
        <v>8734</v>
      </c>
      <c r="AE433" t="s">
        <v>8735</v>
      </c>
      <c r="AF433" t="s">
        <v>74</v>
      </c>
      <c r="AG433">
        <v>95</v>
      </c>
      <c r="AH433">
        <v>2</v>
      </c>
      <c r="AI433">
        <v>3</v>
      </c>
      <c r="AJ433">
        <v>1</v>
      </c>
      <c r="AK433">
        <v>11</v>
      </c>
      <c r="AL433" t="s">
        <v>1357</v>
      </c>
      <c r="AM433" t="s">
        <v>525</v>
      </c>
      <c r="AN433" t="s">
        <v>1358</v>
      </c>
      <c r="AO433" t="s">
        <v>74</v>
      </c>
      <c r="AP433" t="s">
        <v>2470</v>
      </c>
      <c r="AQ433" t="s">
        <v>74</v>
      </c>
      <c r="AR433" t="s">
        <v>2471</v>
      </c>
      <c r="AS433" t="s">
        <v>2472</v>
      </c>
      <c r="AT433" t="s">
        <v>8528</v>
      </c>
      <c r="AU433">
        <v>2023</v>
      </c>
      <c r="AV433">
        <v>4</v>
      </c>
      <c r="AW433">
        <v>1</v>
      </c>
      <c r="AX433" t="s">
        <v>74</v>
      </c>
      <c r="AY433" t="s">
        <v>74</v>
      </c>
      <c r="AZ433" t="s">
        <v>74</v>
      </c>
      <c r="BA433" t="s">
        <v>74</v>
      </c>
      <c r="BB433" t="s">
        <v>74</v>
      </c>
      <c r="BC433" t="s">
        <v>74</v>
      </c>
      <c r="BD433">
        <v>69</v>
      </c>
      <c r="BE433" t="s">
        <v>8736</v>
      </c>
      <c r="BF433" t="str">
        <f>HYPERLINK("http://dx.doi.org/10.1038/s43247-023-00727-3","http://dx.doi.org/10.1038/s43247-023-00727-3")</f>
        <v>http://dx.doi.org/10.1038/s43247-023-00727-3</v>
      </c>
      <c r="BG433" t="s">
        <v>74</v>
      </c>
      <c r="BH433" t="s">
        <v>74</v>
      </c>
      <c r="BI433">
        <v>12</v>
      </c>
      <c r="BJ433" t="s">
        <v>2474</v>
      </c>
      <c r="BK433" t="s">
        <v>103</v>
      </c>
      <c r="BL433" t="s">
        <v>2475</v>
      </c>
      <c r="BM433" t="s">
        <v>8737</v>
      </c>
      <c r="BN433" t="s">
        <v>74</v>
      </c>
      <c r="BO433" t="s">
        <v>8374</v>
      </c>
      <c r="BP433" t="s">
        <v>74</v>
      </c>
      <c r="BQ433" t="s">
        <v>74</v>
      </c>
      <c r="BR433" t="s">
        <v>106</v>
      </c>
      <c r="BS433" t="s">
        <v>8738</v>
      </c>
      <c r="BT433" t="str">
        <f>HYPERLINK("https%3A%2F%2Fwww.webofscience.com%2Fwos%2Fwoscc%2Ffull-record%2FWOS:000948778800002","View Full Record in Web of Science")</f>
        <v>View Full Record in Web of Science</v>
      </c>
    </row>
    <row r="434" spans="1:72" x14ac:dyDescent="0.15">
      <c r="A434" t="s">
        <v>72</v>
      </c>
      <c r="B434" t="s">
        <v>8739</v>
      </c>
      <c r="C434" t="s">
        <v>74</v>
      </c>
      <c r="D434" t="s">
        <v>74</v>
      </c>
      <c r="E434" t="s">
        <v>74</v>
      </c>
      <c r="F434" t="s">
        <v>8740</v>
      </c>
      <c r="G434" t="s">
        <v>74</v>
      </c>
      <c r="H434" t="s">
        <v>74</v>
      </c>
      <c r="I434" t="s">
        <v>8741</v>
      </c>
      <c r="J434" t="s">
        <v>8742</v>
      </c>
      <c r="K434" t="s">
        <v>74</v>
      </c>
      <c r="L434" t="s">
        <v>74</v>
      </c>
      <c r="M434" t="s">
        <v>78</v>
      </c>
      <c r="N434" t="s">
        <v>112</v>
      </c>
      <c r="O434" t="s">
        <v>74</v>
      </c>
      <c r="P434" t="s">
        <v>74</v>
      </c>
      <c r="Q434" t="s">
        <v>74</v>
      </c>
      <c r="R434" t="s">
        <v>74</v>
      </c>
      <c r="S434" t="s">
        <v>74</v>
      </c>
      <c r="T434" t="s">
        <v>8743</v>
      </c>
      <c r="U434" t="s">
        <v>8744</v>
      </c>
      <c r="V434" t="s">
        <v>8745</v>
      </c>
      <c r="W434" t="s">
        <v>8746</v>
      </c>
      <c r="X434" t="s">
        <v>8747</v>
      </c>
      <c r="Y434" t="s">
        <v>8748</v>
      </c>
      <c r="Z434" t="s">
        <v>8749</v>
      </c>
      <c r="AA434" t="s">
        <v>8750</v>
      </c>
      <c r="AB434" t="s">
        <v>8751</v>
      </c>
      <c r="AC434" t="s">
        <v>8752</v>
      </c>
      <c r="AD434" t="s">
        <v>8753</v>
      </c>
      <c r="AE434" t="s">
        <v>8754</v>
      </c>
      <c r="AF434" t="s">
        <v>74</v>
      </c>
      <c r="AG434">
        <v>262</v>
      </c>
      <c r="AH434">
        <v>4</v>
      </c>
      <c r="AI434">
        <v>4</v>
      </c>
      <c r="AJ434">
        <v>15</v>
      </c>
      <c r="AK434">
        <v>24</v>
      </c>
      <c r="AL434" t="s">
        <v>447</v>
      </c>
      <c r="AM434" t="s">
        <v>448</v>
      </c>
      <c r="AN434" t="s">
        <v>449</v>
      </c>
      <c r="AO434" t="s">
        <v>8755</v>
      </c>
      <c r="AP434" t="s">
        <v>8756</v>
      </c>
      <c r="AQ434" t="s">
        <v>74</v>
      </c>
      <c r="AR434" t="s">
        <v>8757</v>
      </c>
      <c r="AS434" t="s">
        <v>8758</v>
      </c>
      <c r="AT434" t="s">
        <v>1437</v>
      </c>
      <c r="AU434">
        <v>2023</v>
      </c>
      <c r="AV434">
        <v>239</v>
      </c>
      <c r="AW434" t="s">
        <v>74</v>
      </c>
      <c r="AX434" t="s">
        <v>74</v>
      </c>
      <c r="AY434" t="s">
        <v>74</v>
      </c>
      <c r="AZ434" t="s">
        <v>74</v>
      </c>
      <c r="BA434" t="s">
        <v>74</v>
      </c>
      <c r="BB434" t="s">
        <v>74</v>
      </c>
      <c r="BC434" t="s">
        <v>74</v>
      </c>
      <c r="BD434">
        <v>104359</v>
      </c>
      <c r="BE434" t="s">
        <v>8759</v>
      </c>
      <c r="BF434" t="str">
        <f>HYPERLINK("http://dx.doi.org/10.1016/j.earscirev.2023.104359","http://dx.doi.org/10.1016/j.earscirev.2023.104359")</f>
        <v>http://dx.doi.org/10.1016/j.earscirev.2023.104359</v>
      </c>
      <c r="BG434" t="s">
        <v>74</v>
      </c>
      <c r="BH434" t="s">
        <v>6218</v>
      </c>
      <c r="BI434">
        <v>26</v>
      </c>
      <c r="BJ434" t="s">
        <v>261</v>
      </c>
      <c r="BK434" t="s">
        <v>103</v>
      </c>
      <c r="BL434" t="s">
        <v>262</v>
      </c>
      <c r="BM434" t="s">
        <v>8760</v>
      </c>
      <c r="BN434" t="s">
        <v>74</v>
      </c>
      <c r="BO434" t="s">
        <v>430</v>
      </c>
      <c r="BP434" t="s">
        <v>74</v>
      </c>
      <c r="BQ434" t="s">
        <v>74</v>
      </c>
      <c r="BR434" t="s">
        <v>106</v>
      </c>
      <c r="BS434" t="s">
        <v>8761</v>
      </c>
      <c r="BT434" t="str">
        <f>HYPERLINK("https%3A%2F%2Fwww.webofscience.com%2Fwos%2Fwoscc%2Ffull-record%2FWOS:000995447600001","View Full Record in Web of Science")</f>
        <v>View Full Record in Web of Science</v>
      </c>
    </row>
    <row r="435" spans="1:72" x14ac:dyDescent="0.15">
      <c r="A435" t="s">
        <v>72</v>
      </c>
      <c r="B435" t="s">
        <v>8762</v>
      </c>
      <c r="C435" t="s">
        <v>74</v>
      </c>
      <c r="D435" t="s">
        <v>74</v>
      </c>
      <c r="E435" t="s">
        <v>74</v>
      </c>
      <c r="F435" t="s">
        <v>8763</v>
      </c>
      <c r="G435" t="s">
        <v>74</v>
      </c>
      <c r="H435" t="s">
        <v>74</v>
      </c>
      <c r="I435" t="s">
        <v>8764</v>
      </c>
      <c r="J435" t="s">
        <v>759</v>
      </c>
      <c r="K435" t="s">
        <v>74</v>
      </c>
      <c r="L435" t="s">
        <v>74</v>
      </c>
      <c r="M435" t="s">
        <v>78</v>
      </c>
      <c r="N435" t="s">
        <v>112</v>
      </c>
      <c r="O435" t="s">
        <v>74</v>
      </c>
      <c r="P435" t="s">
        <v>74</v>
      </c>
      <c r="Q435" t="s">
        <v>74</v>
      </c>
      <c r="R435" t="s">
        <v>74</v>
      </c>
      <c r="S435" t="s">
        <v>74</v>
      </c>
      <c r="T435" t="s">
        <v>8765</v>
      </c>
      <c r="U435" t="s">
        <v>8766</v>
      </c>
      <c r="V435" t="s">
        <v>8767</v>
      </c>
      <c r="W435" t="s">
        <v>8768</v>
      </c>
      <c r="X435" t="s">
        <v>8769</v>
      </c>
      <c r="Y435" t="s">
        <v>8770</v>
      </c>
      <c r="Z435" t="s">
        <v>8771</v>
      </c>
      <c r="AA435" t="s">
        <v>74</v>
      </c>
      <c r="AB435" t="s">
        <v>74</v>
      </c>
      <c r="AC435" t="s">
        <v>8772</v>
      </c>
      <c r="AD435" t="s">
        <v>8773</v>
      </c>
      <c r="AE435" t="s">
        <v>8774</v>
      </c>
      <c r="AF435" t="s">
        <v>74</v>
      </c>
      <c r="AG435">
        <v>50</v>
      </c>
      <c r="AH435">
        <v>0</v>
      </c>
      <c r="AI435">
        <v>0</v>
      </c>
      <c r="AJ435">
        <v>1</v>
      </c>
      <c r="AK435">
        <v>6</v>
      </c>
      <c r="AL435" t="s">
        <v>768</v>
      </c>
      <c r="AM435" t="s">
        <v>179</v>
      </c>
      <c r="AN435" t="s">
        <v>769</v>
      </c>
      <c r="AO435" t="s">
        <v>770</v>
      </c>
      <c r="AP435" t="s">
        <v>771</v>
      </c>
      <c r="AQ435" t="s">
        <v>74</v>
      </c>
      <c r="AR435" t="s">
        <v>772</v>
      </c>
      <c r="AS435" t="s">
        <v>773</v>
      </c>
      <c r="AT435" t="s">
        <v>8042</v>
      </c>
      <c r="AU435">
        <v>2023</v>
      </c>
      <c r="AV435">
        <v>46</v>
      </c>
      <c r="AW435">
        <v>3</v>
      </c>
      <c r="AX435" t="s">
        <v>74</v>
      </c>
      <c r="AY435" t="s">
        <v>74</v>
      </c>
      <c r="AZ435" t="s">
        <v>74</v>
      </c>
      <c r="BA435" t="s">
        <v>74</v>
      </c>
      <c r="BB435">
        <v>235</v>
      </c>
      <c r="BC435">
        <v>251</v>
      </c>
      <c r="BD435" t="s">
        <v>74</v>
      </c>
      <c r="BE435" t="s">
        <v>8775</v>
      </c>
      <c r="BF435" t="str">
        <f>HYPERLINK("http://dx.doi.org/10.1007/s00300-023-03119-7","http://dx.doi.org/10.1007/s00300-023-03119-7")</f>
        <v>http://dx.doi.org/10.1007/s00300-023-03119-7</v>
      </c>
      <c r="BG435" t="s">
        <v>74</v>
      </c>
      <c r="BH435" t="s">
        <v>6218</v>
      </c>
      <c r="BI435">
        <v>17</v>
      </c>
      <c r="BJ435" t="s">
        <v>775</v>
      </c>
      <c r="BK435" t="s">
        <v>103</v>
      </c>
      <c r="BL435" t="s">
        <v>776</v>
      </c>
      <c r="BM435" t="s">
        <v>8776</v>
      </c>
      <c r="BN435" t="s">
        <v>74</v>
      </c>
      <c r="BO435" t="s">
        <v>74</v>
      </c>
      <c r="BP435" t="s">
        <v>74</v>
      </c>
      <c r="BQ435" t="s">
        <v>74</v>
      </c>
      <c r="BR435" t="s">
        <v>106</v>
      </c>
      <c r="BS435" t="s">
        <v>8777</v>
      </c>
      <c r="BT435" t="str">
        <f>HYPERLINK("https%3A%2F%2Fwww.webofscience.com%2Fwos%2Fwoscc%2Ffull-record%2FWOS:000947181300001","View Full Record in Web of Science")</f>
        <v>View Full Record in Web of Science</v>
      </c>
    </row>
    <row r="436" spans="1:72" x14ac:dyDescent="0.15">
      <c r="A436" t="s">
        <v>72</v>
      </c>
      <c r="B436" t="s">
        <v>8778</v>
      </c>
      <c r="C436" t="s">
        <v>74</v>
      </c>
      <c r="D436" t="s">
        <v>74</v>
      </c>
      <c r="E436" t="s">
        <v>74</v>
      </c>
      <c r="F436" t="s">
        <v>8779</v>
      </c>
      <c r="G436" t="s">
        <v>74</v>
      </c>
      <c r="H436" t="s">
        <v>74</v>
      </c>
      <c r="I436" t="s">
        <v>8780</v>
      </c>
      <c r="J436" t="s">
        <v>1685</v>
      </c>
      <c r="K436" t="s">
        <v>74</v>
      </c>
      <c r="L436" t="s">
        <v>74</v>
      </c>
      <c r="M436" t="s">
        <v>78</v>
      </c>
      <c r="N436" t="s">
        <v>112</v>
      </c>
      <c r="O436" t="s">
        <v>74</v>
      </c>
      <c r="P436" t="s">
        <v>74</v>
      </c>
      <c r="Q436" t="s">
        <v>74</v>
      </c>
      <c r="R436" t="s">
        <v>74</v>
      </c>
      <c r="S436" t="s">
        <v>74</v>
      </c>
      <c r="T436" t="s">
        <v>74</v>
      </c>
      <c r="U436" t="s">
        <v>8781</v>
      </c>
      <c r="V436" t="s">
        <v>8782</v>
      </c>
      <c r="W436" t="s">
        <v>8783</v>
      </c>
      <c r="X436" t="s">
        <v>8784</v>
      </c>
      <c r="Y436" t="s">
        <v>8785</v>
      </c>
      <c r="Z436" t="s">
        <v>8786</v>
      </c>
      <c r="AA436" t="s">
        <v>8787</v>
      </c>
      <c r="AB436" t="s">
        <v>8788</v>
      </c>
      <c r="AC436" t="s">
        <v>8789</v>
      </c>
      <c r="AD436" t="s">
        <v>8790</v>
      </c>
      <c r="AE436" t="s">
        <v>8791</v>
      </c>
      <c r="AF436" t="s">
        <v>74</v>
      </c>
      <c r="AG436">
        <v>55</v>
      </c>
      <c r="AH436">
        <v>17</v>
      </c>
      <c r="AI436">
        <v>18</v>
      </c>
      <c r="AJ436">
        <v>18</v>
      </c>
      <c r="AK436">
        <v>35</v>
      </c>
      <c r="AL436" t="s">
        <v>203</v>
      </c>
      <c r="AM436" t="s">
        <v>204</v>
      </c>
      <c r="AN436" t="s">
        <v>205</v>
      </c>
      <c r="AO436" t="s">
        <v>74</v>
      </c>
      <c r="AP436" t="s">
        <v>1696</v>
      </c>
      <c r="AQ436" t="s">
        <v>74</v>
      </c>
      <c r="AR436" t="s">
        <v>1697</v>
      </c>
      <c r="AS436" t="s">
        <v>1698</v>
      </c>
      <c r="AT436" t="s">
        <v>8792</v>
      </c>
      <c r="AU436">
        <v>2023</v>
      </c>
      <c r="AV436">
        <v>14</v>
      </c>
      <c r="AW436">
        <v>1</v>
      </c>
      <c r="AX436" t="s">
        <v>74</v>
      </c>
      <c r="AY436" t="s">
        <v>74</v>
      </c>
      <c r="AZ436" t="s">
        <v>74</v>
      </c>
      <c r="BA436" t="s">
        <v>74</v>
      </c>
      <c r="BB436" t="s">
        <v>74</v>
      </c>
      <c r="BC436" t="s">
        <v>74</v>
      </c>
      <c r="BD436">
        <v>1335</v>
      </c>
      <c r="BE436" t="s">
        <v>8793</v>
      </c>
      <c r="BF436" t="str">
        <f>HYPERLINK("http://dx.doi.org/10.1038/s41467-023-36991-2","http://dx.doi.org/10.1038/s41467-023-36991-2")</f>
        <v>http://dx.doi.org/10.1038/s41467-023-36991-2</v>
      </c>
      <c r="BG436" t="s">
        <v>74</v>
      </c>
      <c r="BH436" t="s">
        <v>74</v>
      </c>
      <c r="BI436">
        <v>9</v>
      </c>
      <c r="BJ436" t="s">
        <v>210</v>
      </c>
      <c r="BK436" t="s">
        <v>103</v>
      </c>
      <c r="BL436" t="s">
        <v>211</v>
      </c>
      <c r="BM436" t="s">
        <v>8794</v>
      </c>
      <c r="BN436">
        <v>36906683</v>
      </c>
      <c r="BO436" t="s">
        <v>614</v>
      </c>
      <c r="BP436" t="s">
        <v>74</v>
      </c>
      <c r="BQ436" t="s">
        <v>74</v>
      </c>
      <c r="BR436" t="s">
        <v>106</v>
      </c>
      <c r="BS436" t="s">
        <v>8795</v>
      </c>
      <c r="BT436" t="str">
        <f>HYPERLINK("https%3A%2F%2Fwww.webofscience.com%2Fwos%2Fwoscc%2Ffull-record%2FWOS:001001718000011","View Full Record in Web of Science")</f>
        <v>View Full Record in Web of Science</v>
      </c>
    </row>
    <row r="437" spans="1:72" x14ac:dyDescent="0.15">
      <c r="A437" t="s">
        <v>72</v>
      </c>
      <c r="B437" t="s">
        <v>8796</v>
      </c>
      <c r="C437" t="s">
        <v>74</v>
      </c>
      <c r="D437" t="s">
        <v>74</v>
      </c>
      <c r="E437" t="s">
        <v>74</v>
      </c>
      <c r="F437" t="s">
        <v>8797</v>
      </c>
      <c r="G437" t="s">
        <v>74</v>
      </c>
      <c r="H437" t="s">
        <v>74</v>
      </c>
      <c r="I437" t="s">
        <v>8798</v>
      </c>
      <c r="J437" t="s">
        <v>8799</v>
      </c>
      <c r="K437" t="s">
        <v>74</v>
      </c>
      <c r="L437" t="s">
        <v>74</v>
      </c>
      <c r="M437" t="s">
        <v>78</v>
      </c>
      <c r="N437" t="s">
        <v>112</v>
      </c>
      <c r="O437" t="s">
        <v>74</v>
      </c>
      <c r="P437" t="s">
        <v>74</v>
      </c>
      <c r="Q437" t="s">
        <v>74</v>
      </c>
      <c r="R437" t="s">
        <v>74</v>
      </c>
      <c r="S437" t="s">
        <v>74</v>
      </c>
      <c r="T437" t="s">
        <v>8800</v>
      </c>
      <c r="U437" t="s">
        <v>8801</v>
      </c>
      <c r="V437" t="s">
        <v>8802</v>
      </c>
      <c r="W437" t="s">
        <v>8803</v>
      </c>
      <c r="X437" t="s">
        <v>8804</v>
      </c>
      <c r="Y437" t="s">
        <v>8805</v>
      </c>
      <c r="Z437" t="s">
        <v>8806</v>
      </c>
      <c r="AA437" t="s">
        <v>8807</v>
      </c>
      <c r="AB437" t="s">
        <v>74</v>
      </c>
      <c r="AC437" t="s">
        <v>8808</v>
      </c>
      <c r="AD437" t="s">
        <v>8809</v>
      </c>
      <c r="AE437" t="s">
        <v>8810</v>
      </c>
      <c r="AF437" t="s">
        <v>74</v>
      </c>
      <c r="AG437">
        <v>58</v>
      </c>
      <c r="AH437">
        <v>1</v>
      </c>
      <c r="AI437">
        <v>1</v>
      </c>
      <c r="AJ437">
        <v>30</v>
      </c>
      <c r="AK437">
        <v>46</v>
      </c>
      <c r="AL437" t="s">
        <v>447</v>
      </c>
      <c r="AM437" t="s">
        <v>448</v>
      </c>
      <c r="AN437" t="s">
        <v>449</v>
      </c>
      <c r="AO437" t="s">
        <v>8811</v>
      </c>
      <c r="AP437" t="s">
        <v>8812</v>
      </c>
      <c r="AQ437" t="s">
        <v>74</v>
      </c>
      <c r="AR437" t="s">
        <v>8813</v>
      </c>
      <c r="AS437" t="s">
        <v>8814</v>
      </c>
      <c r="AT437" t="s">
        <v>4546</v>
      </c>
      <c r="AU437">
        <v>2023</v>
      </c>
      <c r="AV437">
        <v>179</v>
      </c>
      <c r="AW437" t="s">
        <v>74</v>
      </c>
      <c r="AX437" t="s">
        <v>74</v>
      </c>
      <c r="AY437" t="s">
        <v>74</v>
      </c>
      <c r="AZ437" t="s">
        <v>74</v>
      </c>
      <c r="BA437" t="s">
        <v>74</v>
      </c>
      <c r="BB437" t="s">
        <v>74</v>
      </c>
      <c r="BC437" t="s">
        <v>74</v>
      </c>
      <c r="BD437">
        <v>114648</v>
      </c>
      <c r="BE437" t="s">
        <v>8815</v>
      </c>
      <c r="BF437" t="str">
        <f>HYPERLINK("http://dx.doi.org/10.1016/j.lwt.2023.114648","http://dx.doi.org/10.1016/j.lwt.2023.114648")</f>
        <v>http://dx.doi.org/10.1016/j.lwt.2023.114648</v>
      </c>
      <c r="BG437" t="s">
        <v>74</v>
      </c>
      <c r="BH437" t="s">
        <v>6218</v>
      </c>
      <c r="BI437">
        <v>14</v>
      </c>
      <c r="BJ437" t="s">
        <v>1528</v>
      </c>
      <c r="BK437" t="s">
        <v>103</v>
      </c>
      <c r="BL437" t="s">
        <v>1528</v>
      </c>
      <c r="BM437" t="s">
        <v>8816</v>
      </c>
      <c r="BN437" t="s">
        <v>74</v>
      </c>
      <c r="BO437" t="s">
        <v>359</v>
      </c>
      <c r="BP437" t="s">
        <v>74</v>
      </c>
      <c r="BQ437" t="s">
        <v>74</v>
      </c>
      <c r="BR437" t="s">
        <v>106</v>
      </c>
      <c r="BS437" t="s">
        <v>8817</v>
      </c>
      <c r="BT437" t="str">
        <f>HYPERLINK("https%3A%2F%2Fwww.webofscience.com%2Fwos%2Fwoscc%2Ffull-record%2FWOS:000997915800001","View Full Record in Web of Science")</f>
        <v>View Full Record in Web of Science</v>
      </c>
    </row>
    <row r="438" spans="1:72" x14ac:dyDescent="0.15">
      <c r="A438" t="s">
        <v>72</v>
      </c>
      <c r="B438" t="s">
        <v>8818</v>
      </c>
      <c r="C438" t="s">
        <v>74</v>
      </c>
      <c r="D438" t="s">
        <v>74</v>
      </c>
      <c r="E438" t="s">
        <v>74</v>
      </c>
      <c r="F438" t="s">
        <v>8819</v>
      </c>
      <c r="G438" t="s">
        <v>74</v>
      </c>
      <c r="H438" t="s">
        <v>74</v>
      </c>
      <c r="I438" t="s">
        <v>8820</v>
      </c>
      <c r="J438" t="s">
        <v>8821</v>
      </c>
      <c r="K438" t="s">
        <v>74</v>
      </c>
      <c r="L438" t="s">
        <v>74</v>
      </c>
      <c r="M438" t="s">
        <v>78</v>
      </c>
      <c r="N438" t="s">
        <v>112</v>
      </c>
      <c r="O438" t="s">
        <v>74</v>
      </c>
      <c r="P438" t="s">
        <v>74</v>
      </c>
      <c r="Q438" t="s">
        <v>74</v>
      </c>
      <c r="R438" t="s">
        <v>74</v>
      </c>
      <c r="S438" t="s">
        <v>74</v>
      </c>
      <c r="T438" t="s">
        <v>8822</v>
      </c>
      <c r="U438" t="s">
        <v>8823</v>
      </c>
      <c r="V438" t="s">
        <v>8824</v>
      </c>
      <c r="W438" t="s">
        <v>8825</v>
      </c>
      <c r="X438" t="s">
        <v>8826</v>
      </c>
      <c r="Y438" t="s">
        <v>8827</v>
      </c>
      <c r="Z438" t="s">
        <v>8828</v>
      </c>
      <c r="AA438" t="s">
        <v>74</v>
      </c>
      <c r="AB438" t="s">
        <v>8829</v>
      </c>
      <c r="AC438" t="s">
        <v>8830</v>
      </c>
      <c r="AD438" t="s">
        <v>8831</v>
      </c>
      <c r="AE438" t="s">
        <v>8832</v>
      </c>
      <c r="AF438" t="s">
        <v>74</v>
      </c>
      <c r="AG438">
        <v>78</v>
      </c>
      <c r="AH438">
        <v>4</v>
      </c>
      <c r="AI438">
        <v>4</v>
      </c>
      <c r="AJ438">
        <v>3</v>
      </c>
      <c r="AK438">
        <v>4</v>
      </c>
      <c r="AL438" t="s">
        <v>447</v>
      </c>
      <c r="AM438" t="s">
        <v>448</v>
      </c>
      <c r="AN438" t="s">
        <v>449</v>
      </c>
      <c r="AO438" t="s">
        <v>8833</v>
      </c>
      <c r="AP438" t="s">
        <v>8834</v>
      </c>
      <c r="AQ438" t="s">
        <v>74</v>
      </c>
      <c r="AR438" t="s">
        <v>8835</v>
      </c>
      <c r="AS438" t="s">
        <v>8836</v>
      </c>
      <c r="AT438" t="s">
        <v>98</v>
      </c>
      <c r="AU438">
        <v>2023</v>
      </c>
      <c r="AV438">
        <v>299</v>
      </c>
      <c r="AW438" t="s">
        <v>74</v>
      </c>
      <c r="AX438" t="s">
        <v>74</v>
      </c>
      <c r="AY438" t="s">
        <v>74</v>
      </c>
      <c r="AZ438" t="s">
        <v>74</v>
      </c>
      <c r="BA438" t="s">
        <v>74</v>
      </c>
      <c r="BB438" t="s">
        <v>74</v>
      </c>
      <c r="BC438" t="s">
        <v>74</v>
      </c>
      <c r="BD438">
        <v>115625</v>
      </c>
      <c r="BE438" t="s">
        <v>8837</v>
      </c>
      <c r="BF438" t="str">
        <f>HYPERLINK("http://dx.doi.org/10.1016/j.anifeedsci.2023.115625","http://dx.doi.org/10.1016/j.anifeedsci.2023.115625")</f>
        <v>http://dx.doi.org/10.1016/j.anifeedsci.2023.115625</v>
      </c>
      <c r="BG438" t="s">
        <v>74</v>
      </c>
      <c r="BH438" t="s">
        <v>6218</v>
      </c>
      <c r="BI438">
        <v>14</v>
      </c>
      <c r="BJ438" t="s">
        <v>6109</v>
      </c>
      <c r="BK438" t="s">
        <v>103</v>
      </c>
      <c r="BL438" t="s">
        <v>188</v>
      </c>
      <c r="BM438" t="s">
        <v>8838</v>
      </c>
      <c r="BN438" t="s">
        <v>74</v>
      </c>
      <c r="BO438" t="s">
        <v>387</v>
      </c>
      <c r="BP438" t="s">
        <v>74</v>
      </c>
      <c r="BQ438" t="s">
        <v>74</v>
      </c>
      <c r="BR438" t="s">
        <v>106</v>
      </c>
      <c r="BS438" t="s">
        <v>8839</v>
      </c>
      <c r="BT438" t="str">
        <f>HYPERLINK("https%3A%2F%2Fwww.webofscience.com%2Fwos%2Fwoscc%2Ffull-record%2FWOS:000961778200001","View Full Record in Web of Science")</f>
        <v>View Full Record in Web of Science</v>
      </c>
    </row>
    <row r="439" spans="1:72" x14ac:dyDescent="0.15">
      <c r="A439" t="s">
        <v>72</v>
      </c>
      <c r="B439" t="s">
        <v>8840</v>
      </c>
      <c r="C439" t="s">
        <v>74</v>
      </c>
      <c r="D439" t="s">
        <v>74</v>
      </c>
      <c r="E439" t="s">
        <v>74</v>
      </c>
      <c r="F439" t="s">
        <v>8841</v>
      </c>
      <c r="G439" t="s">
        <v>74</v>
      </c>
      <c r="H439" t="s">
        <v>74</v>
      </c>
      <c r="I439" t="s">
        <v>8842</v>
      </c>
      <c r="J439" t="s">
        <v>8843</v>
      </c>
      <c r="K439" t="s">
        <v>74</v>
      </c>
      <c r="L439" t="s">
        <v>74</v>
      </c>
      <c r="M439" t="s">
        <v>78</v>
      </c>
      <c r="N439" t="s">
        <v>112</v>
      </c>
      <c r="O439" t="s">
        <v>74</v>
      </c>
      <c r="P439" t="s">
        <v>74</v>
      </c>
      <c r="Q439" t="s">
        <v>74</v>
      </c>
      <c r="R439" t="s">
        <v>74</v>
      </c>
      <c r="S439" t="s">
        <v>74</v>
      </c>
      <c r="T439" t="s">
        <v>8844</v>
      </c>
      <c r="U439" t="s">
        <v>8845</v>
      </c>
      <c r="V439" t="s">
        <v>8846</v>
      </c>
      <c r="W439" t="s">
        <v>8847</v>
      </c>
      <c r="X439" t="s">
        <v>8848</v>
      </c>
      <c r="Y439" t="s">
        <v>8849</v>
      </c>
      <c r="Z439" t="s">
        <v>8850</v>
      </c>
      <c r="AA439" t="s">
        <v>74</v>
      </c>
      <c r="AB439" t="s">
        <v>8851</v>
      </c>
      <c r="AC439" t="s">
        <v>8852</v>
      </c>
      <c r="AD439" t="s">
        <v>8852</v>
      </c>
      <c r="AE439" t="s">
        <v>8853</v>
      </c>
      <c r="AF439" t="s">
        <v>74</v>
      </c>
      <c r="AG439">
        <v>87</v>
      </c>
      <c r="AH439">
        <v>1</v>
      </c>
      <c r="AI439">
        <v>1</v>
      </c>
      <c r="AJ439">
        <v>0</v>
      </c>
      <c r="AK439">
        <v>4</v>
      </c>
      <c r="AL439" t="s">
        <v>447</v>
      </c>
      <c r="AM439" t="s">
        <v>448</v>
      </c>
      <c r="AN439" t="s">
        <v>449</v>
      </c>
      <c r="AO439" t="s">
        <v>8854</v>
      </c>
      <c r="AP439" t="s">
        <v>8855</v>
      </c>
      <c r="AQ439" t="s">
        <v>74</v>
      </c>
      <c r="AR439" t="s">
        <v>8843</v>
      </c>
      <c r="AS439" t="s">
        <v>8856</v>
      </c>
      <c r="AT439" t="s">
        <v>4073</v>
      </c>
      <c r="AU439">
        <v>2023</v>
      </c>
      <c r="AV439">
        <v>852</v>
      </c>
      <c r="AW439" t="s">
        <v>74</v>
      </c>
      <c r="AX439" t="s">
        <v>74</v>
      </c>
      <c r="AY439" t="s">
        <v>74</v>
      </c>
      <c r="AZ439" t="s">
        <v>74</v>
      </c>
      <c r="BA439" t="s">
        <v>74</v>
      </c>
      <c r="BB439" t="s">
        <v>74</v>
      </c>
      <c r="BC439" t="s">
        <v>74</v>
      </c>
      <c r="BD439">
        <v>229771</v>
      </c>
      <c r="BE439" t="s">
        <v>8857</v>
      </c>
      <c r="BF439" t="str">
        <f>HYPERLINK("http://dx.doi.org/10.1016/j.tecto.2023.229771","http://dx.doi.org/10.1016/j.tecto.2023.229771")</f>
        <v>http://dx.doi.org/10.1016/j.tecto.2023.229771</v>
      </c>
      <c r="BG439" t="s">
        <v>74</v>
      </c>
      <c r="BH439" t="s">
        <v>6218</v>
      </c>
      <c r="BI439">
        <v>22</v>
      </c>
      <c r="BJ439" t="s">
        <v>313</v>
      </c>
      <c r="BK439" t="s">
        <v>103</v>
      </c>
      <c r="BL439" t="s">
        <v>313</v>
      </c>
      <c r="BM439" t="s">
        <v>8858</v>
      </c>
      <c r="BN439" t="s">
        <v>74</v>
      </c>
      <c r="BO439" t="s">
        <v>74</v>
      </c>
      <c r="BP439" t="s">
        <v>74</v>
      </c>
      <c r="BQ439" t="s">
        <v>74</v>
      </c>
      <c r="BR439" t="s">
        <v>106</v>
      </c>
      <c r="BS439" t="s">
        <v>8859</v>
      </c>
      <c r="BT439" t="str">
        <f>HYPERLINK("https%3A%2F%2Fwww.webofscience.com%2Fwos%2Fwoscc%2Ffull-record%2FWOS:000955343700001","View Full Record in Web of Science")</f>
        <v>View Full Record in Web of Science</v>
      </c>
    </row>
    <row r="440" spans="1:72" x14ac:dyDescent="0.15">
      <c r="A440" t="s">
        <v>72</v>
      </c>
      <c r="B440" t="s">
        <v>8860</v>
      </c>
      <c r="C440" t="s">
        <v>74</v>
      </c>
      <c r="D440" t="s">
        <v>74</v>
      </c>
      <c r="E440" t="s">
        <v>74</v>
      </c>
      <c r="F440" t="s">
        <v>8861</v>
      </c>
      <c r="G440" t="s">
        <v>74</v>
      </c>
      <c r="H440" t="s">
        <v>74</v>
      </c>
      <c r="I440" t="s">
        <v>8862</v>
      </c>
      <c r="J440" t="s">
        <v>1146</v>
      </c>
      <c r="K440" t="s">
        <v>74</v>
      </c>
      <c r="L440" t="s">
        <v>74</v>
      </c>
      <c r="M440" t="s">
        <v>78</v>
      </c>
      <c r="N440" t="s">
        <v>365</v>
      </c>
      <c r="O440" t="s">
        <v>74</v>
      </c>
      <c r="P440" t="s">
        <v>74</v>
      </c>
      <c r="Q440" t="s">
        <v>74</v>
      </c>
      <c r="R440" t="s">
        <v>74</v>
      </c>
      <c r="S440" t="s">
        <v>74</v>
      </c>
      <c r="T440" t="s">
        <v>8863</v>
      </c>
      <c r="U440" t="s">
        <v>8864</v>
      </c>
      <c r="V440" t="s">
        <v>8865</v>
      </c>
      <c r="W440" t="s">
        <v>8866</v>
      </c>
      <c r="X440" t="s">
        <v>8867</v>
      </c>
      <c r="Y440" t="s">
        <v>8868</v>
      </c>
      <c r="Z440" t="s">
        <v>8869</v>
      </c>
      <c r="AA440" t="s">
        <v>74</v>
      </c>
      <c r="AB440" t="s">
        <v>74</v>
      </c>
      <c r="AC440" t="s">
        <v>8870</v>
      </c>
      <c r="AD440" t="s">
        <v>74</v>
      </c>
      <c r="AE440" t="s">
        <v>8871</v>
      </c>
      <c r="AF440" t="s">
        <v>74</v>
      </c>
      <c r="AG440">
        <v>105</v>
      </c>
      <c r="AH440">
        <v>0</v>
      </c>
      <c r="AI440">
        <v>0</v>
      </c>
      <c r="AJ440">
        <v>3</v>
      </c>
      <c r="AK440">
        <v>25</v>
      </c>
      <c r="AL440" t="s">
        <v>225</v>
      </c>
      <c r="AM440" t="s">
        <v>226</v>
      </c>
      <c r="AN440" t="s">
        <v>227</v>
      </c>
      <c r="AO440" t="s">
        <v>1159</v>
      </c>
      <c r="AP440" t="s">
        <v>1160</v>
      </c>
      <c r="AQ440" t="s">
        <v>74</v>
      </c>
      <c r="AR440" t="s">
        <v>1146</v>
      </c>
      <c r="AS440" t="s">
        <v>1161</v>
      </c>
      <c r="AT440" t="s">
        <v>98</v>
      </c>
      <c r="AU440">
        <v>2023</v>
      </c>
      <c r="AV440">
        <v>324</v>
      </c>
      <c r="AW440" t="s">
        <v>74</v>
      </c>
      <c r="AX440" t="s">
        <v>74</v>
      </c>
      <c r="AY440" t="s">
        <v>74</v>
      </c>
      <c r="AZ440" t="s">
        <v>74</v>
      </c>
      <c r="BA440" t="s">
        <v>74</v>
      </c>
      <c r="BB440" t="s">
        <v>74</v>
      </c>
      <c r="BC440" t="s">
        <v>74</v>
      </c>
      <c r="BD440">
        <v>138262</v>
      </c>
      <c r="BE440" t="s">
        <v>8872</v>
      </c>
      <c r="BF440" t="str">
        <f>HYPERLINK("http://dx.doi.org/10.1016/j.chemosphere.2023.138262","http://dx.doi.org/10.1016/j.chemosphere.2023.138262")</f>
        <v>http://dx.doi.org/10.1016/j.chemosphere.2023.138262</v>
      </c>
      <c r="BG440" t="s">
        <v>74</v>
      </c>
      <c r="BH440" t="s">
        <v>6218</v>
      </c>
      <c r="BI440">
        <v>9</v>
      </c>
      <c r="BJ440" t="s">
        <v>1163</v>
      </c>
      <c r="BK440" t="s">
        <v>103</v>
      </c>
      <c r="BL440" t="s">
        <v>1164</v>
      </c>
      <c r="BM440" t="s">
        <v>8873</v>
      </c>
      <c r="BN440">
        <v>36870615</v>
      </c>
      <c r="BO440" t="s">
        <v>74</v>
      </c>
      <c r="BP440" t="s">
        <v>74</v>
      </c>
      <c r="BQ440" t="s">
        <v>74</v>
      </c>
      <c r="BR440" t="s">
        <v>106</v>
      </c>
      <c r="BS440" t="s">
        <v>8874</v>
      </c>
      <c r="BT440" t="str">
        <f>HYPERLINK("https%3A%2F%2Fwww.webofscience.com%2Fwos%2Fwoscc%2Ffull-record%2FWOS:000951392100001","View Full Record in Web of Science")</f>
        <v>View Full Record in Web of Science</v>
      </c>
    </row>
    <row r="441" spans="1:72" x14ac:dyDescent="0.15">
      <c r="A441" t="s">
        <v>72</v>
      </c>
      <c r="B441" t="s">
        <v>8875</v>
      </c>
      <c r="C441" t="s">
        <v>74</v>
      </c>
      <c r="D441" t="s">
        <v>74</v>
      </c>
      <c r="E441" t="s">
        <v>74</v>
      </c>
      <c r="F441" t="s">
        <v>8876</v>
      </c>
      <c r="G441" t="s">
        <v>74</v>
      </c>
      <c r="H441" t="s">
        <v>74</v>
      </c>
      <c r="I441" t="s">
        <v>8877</v>
      </c>
      <c r="J441" t="s">
        <v>759</v>
      </c>
      <c r="K441" t="s">
        <v>74</v>
      </c>
      <c r="L441" t="s">
        <v>74</v>
      </c>
      <c r="M441" t="s">
        <v>78</v>
      </c>
      <c r="N441" t="s">
        <v>112</v>
      </c>
      <c r="O441" t="s">
        <v>74</v>
      </c>
      <c r="P441" t="s">
        <v>74</v>
      </c>
      <c r="Q441" t="s">
        <v>74</v>
      </c>
      <c r="R441" t="s">
        <v>74</v>
      </c>
      <c r="S441" t="s">
        <v>74</v>
      </c>
      <c r="T441" t="s">
        <v>8878</v>
      </c>
      <c r="U441" t="s">
        <v>8879</v>
      </c>
      <c r="V441" t="s">
        <v>8880</v>
      </c>
      <c r="W441" t="s">
        <v>8881</v>
      </c>
      <c r="X441" t="s">
        <v>8882</v>
      </c>
      <c r="Y441" t="s">
        <v>8883</v>
      </c>
      <c r="Z441" t="s">
        <v>8884</v>
      </c>
      <c r="AA441" t="s">
        <v>74</v>
      </c>
      <c r="AB441" t="s">
        <v>74</v>
      </c>
      <c r="AC441" t="s">
        <v>8885</v>
      </c>
      <c r="AD441" t="s">
        <v>8886</v>
      </c>
      <c r="AE441" t="s">
        <v>8887</v>
      </c>
      <c r="AF441" t="s">
        <v>74</v>
      </c>
      <c r="AG441">
        <v>90</v>
      </c>
      <c r="AH441">
        <v>0</v>
      </c>
      <c r="AI441">
        <v>0</v>
      </c>
      <c r="AJ441">
        <v>1</v>
      </c>
      <c r="AK441">
        <v>4</v>
      </c>
      <c r="AL441" t="s">
        <v>768</v>
      </c>
      <c r="AM441" t="s">
        <v>179</v>
      </c>
      <c r="AN441" t="s">
        <v>769</v>
      </c>
      <c r="AO441" t="s">
        <v>770</v>
      </c>
      <c r="AP441" t="s">
        <v>771</v>
      </c>
      <c r="AQ441" t="s">
        <v>74</v>
      </c>
      <c r="AR441" t="s">
        <v>772</v>
      </c>
      <c r="AS441" t="s">
        <v>773</v>
      </c>
      <c r="AT441" t="s">
        <v>8042</v>
      </c>
      <c r="AU441">
        <v>2023</v>
      </c>
      <c r="AV441">
        <v>46</v>
      </c>
      <c r="AW441">
        <v>3</v>
      </c>
      <c r="AX441" t="s">
        <v>74</v>
      </c>
      <c r="AY441" t="s">
        <v>74</v>
      </c>
      <c r="AZ441" t="s">
        <v>74</v>
      </c>
      <c r="BA441" t="s">
        <v>74</v>
      </c>
      <c r="BB441">
        <v>215</v>
      </c>
      <c r="BC441">
        <v>234</v>
      </c>
      <c r="BD441" t="s">
        <v>74</v>
      </c>
      <c r="BE441" t="s">
        <v>8888</v>
      </c>
      <c r="BF441" t="str">
        <f>HYPERLINK("http://dx.doi.org/10.1007/s00300-023-03117-9","http://dx.doi.org/10.1007/s00300-023-03117-9")</f>
        <v>http://dx.doi.org/10.1007/s00300-023-03117-9</v>
      </c>
      <c r="BG441" t="s">
        <v>74</v>
      </c>
      <c r="BH441" t="s">
        <v>6218</v>
      </c>
      <c r="BI441">
        <v>20</v>
      </c>
      <c r="BJ441" t="s">
        <v>775</v>
      </c>
      <c r="BK441" t="s">
        <v>103</v>
      </c>
      <c r="BL441" t="s">
        <v>776</v>
      </c>
      <c r="BM441" t="s">
        <v>8776</v>
      </c>
      <c r="BN441" t="s">
        <v>74</v>
      </c>
      <c r="BO441" t="s">
        <v>74</v>
      </c>
      <c r="BP441" t="s">
        <v>74</v>
      </c>
      <c r="BQ441" t="s">
        <v>74</v>
      </c>
      <c r="BR441" t="s">
        <v>106</v>
      </c>
      <c r="BS441" t="s">
        <v>8889</v>
      </c>
      <c r="BT441" t="str">
        <f>HYPERLINK("https%3A%2F%2Fwww.webofscience.com%2Fwos%2Fwoscc%2Ffull-record%2FWOS:000946972900002","View Full Record in Web of Science")</f>
        <v>View Full Record in Web of Science</v>
      </c>
    </row>
    <row r="442" spans="1:72" x14ac:dyDescent="0.15">
      <c r="A442" t="s">
        <v>72</v>
      </c>
      <c r="B442" t="s">
        <v>8890</v>
      </c>
      <c r="C442" t="s">
        <v>74</v>
      </c>
      <c r="D442" t="s">
        <v>74</v>
      </c>
      <c r="E442" t="s">
        <v>74</v>
      </c>
      <c r="F442" t="s">
        <v>8891</v>
      </c>
      <c r="G442" t="s">
        <v>74</v>
      </c>
      <c r="H442" t="s">
        <v>74</v>
      </c>
      <c r="I442" t="s">
        <v>8892</v>
      </c>
      <c r="J442" t="s">
        <v>759</v>
      </c>
      <c r="K442" t="s">
        <v>74</v>
      </c>
      <c r="L442" t="s">
        <v>74</v>
      </c>
      <c r="M442" t="s">
        <v>78</v>
      </c>
      <c r="N442" t="s">
        <v>112</v>
      </c>
      <c r="O442" t="s">
        <v>74</v>
      </c>
      <c r="P442" t="s">
        <v>74</v>
      </c>
      <c r="Q442" t="s">
        <v>74</v>
      </c>
      <c r="R442" t="s">
        <v>74</v>
      </c>
      <c r="S442" t="s">
        <v>74</v>
      </c>
      <c r="T442" t="s">
        <v>8893</v>
      </c>
      <c r="U442" t="s">
        <v>8894</v>
      </c>
      <c r="V442" t="s">
        <v>8895</v>
      </c>
      <c r="W442" t="s">
        <v>8896</v>
      </c>
      <c r="X442" t="s">
        <v>8897</v>
      </c>
      <c r="Y442" t="s">
        <v>8898</v>
      </c>
      <c r="Z442" t="s">
        <v>8899</v>
      </c>
      <c r="AA442" t="s">
        <v>74</v>
      </c>
      <c r="AB442" t="s">
        <v>8900</v>
      </c>
      <c r="AC442" t="s">
        <v>74</v>
      </c>
      <c r="AD442" t="s">
        <v>74</v>
      </c>
      <c r="AE442" t="s">
        <v>74</v>
      </c>
      <c r="AF442" t="s">
        <v>74</v>
      </c>
      <c r="AG442">
        <v>31</v>
      </c>
      <c r="AH442">
        <v>0</v>
      </c>
      <c r="AI442">
        <v>0</v>
      </c>
      <c r="AJ442">
        <v>2</v>
      </c>
      <c r="AK442">
        <v>6</v>
      </c>
      <c r="AL442" t="s">
        <v>768</v>
      </c>
      <c r="AM442" t="s">
        <v>179</v>
      </c>
      <c r="AN442" t="s">
        <v>769</v>
      </c>
      <c r="AO442" t="s">
        <v>770</v>
      </c>
      <c r="AP442" t="s">
        <v>771</v>
      </c>
      <c r="AQ442" t="s">
        <v>74</v>
      </c>
      <c r="AR442" t="s">
        <v>772</v>
      </c>
      <c r="AS442" t="s">
        <v>773</v>
      </c>
      <c r="AT442" t="s">
        <v>8042</v>
      </c>
      <c r="AU442">
        <v>2023</v>
      </c>
      <c r="AV442">
        <v>46</v>
      </c>
      <c r="AW442">
        <v>3</v>
      </c>
      <c r="AX442" t="s">
        <v>74</v>
      </c>
      <c r="AY442" t="s">
        <v>74</v>
      </c>
      <c r="AZ442" t="s">
        <v>74</v>
      </c>
      <c r="BA442" t="s">
        <v>74</v>
      </c>
      <c r="BB442">
        <v>253</v>
      </c>
      <c r="BC442">
        <v>257</v>
      </c>
      <c r="BD442" t="s">
        <v>74</v>
      </c>
      <c r="BE442" t="s">
        <v>8901</v>
      </c>
      <c r="BF442" t="str">
        <f>HYPERLINK("http://dx.doi.org/10.1007/s00300-023-03121-z","http://dx.doi.org/10.1007/s00300-023-03121-z")</f>
        <v>http://dx.doi.org/10.1007/s00300-023-03121-z</v>
      </c>
      <c r="BG442" t="s">
        <v>74</v>
      </c>
      <c r="BH442" t="s">
        <v>6218</v>
      </c>
      <c r="BI442">
        <v>5</v>
      </c>
      <c r="BJ442" t="s">
        <v>775</v>
      </c>
      <c r="BK442" t="s">
        <v>103</v>
      </c>
      <c r="BL442" t="s">
        <v>776</v>
      </c>
      <c r="BM442" t="s">
        <v>8776</v>
      </c>
      <c r="BN442" t="s">
        <v>74</v>
      </c>
      <c r="BO442" t="s">
        <v>74</v>
      </c>
      <c r="BP442" t="s">
        <v>74</v>
      </c>
      <c r="BQ442" t="s">
        <v>74</v>
      </c>
      <c r="BR442" t="s">
        <v>106</v>
      </c>
      <c r="BS442" t="s">
        <v>8902</v>
      </c>
      <c r="BT442" t="str">
        <f>HYPERLINK("https%3A%2F%2Fwww.webofscience.com%2Fwos%2Fwoscc%2Ffull-record%2FWOS:000946972900003","View Full Record in Web of Science")</f>
        <v>View Full Record in Web of Science</v>
      </c>
    </row>
    <row r="443" spans="1:72" x14ac:dyDescent="0.15">
      <c r="A443" t="s">
        <v>72</v>
      </c>
      <c r="B443" t="s">
        <v>8903</v>
      </c>
      <c r="C443" t="s">
        <v>74</v>
      </c>
      <c r="D443" t="s">
        <v>74</v>
      </c>
      <c r="E443" t="s">
        <v>74</v>
      </c>
      <c r="F443" t="s">
        <v>8904</v>
      </c>
      <c r="G443" t="s">
        <v>74</v>
      </c>
      <c r="H443" t="s">
        <v>74</v>
      </c>
      <c r="I443" t="s">
        <v>8905</v>
      </c>
      <c r="J443" t="s">
        <v>1215</v>
      </c>
      <c r="K443" t="s">
        <v>74</v>
      </c>
      <c r="L443" t="s">
        <v>74</v>
      </c>
      <c r="M443" t="s">
        <v>78</v>
      </c>
      <c r="N443" t="s">
        <v>112</v>
      </c>
      <c r="O443" t="s">
        <v>74</v>
      </c>
      <c r="P443" t="s">
        <v>74</v>
      </c>
      <c r="Q443" t="s">
        <v>74</v>
      </c>
      <c r="R443" t="s">
        <v>74</v>
      </c>
      <c r="S443" t="s">
        <v>74</v>
      </c>
      <c r="T443" t="s">
        <v>8906</v>
      </c>
      <c r="U443" t="s">
        <v>8907</v>
      </c>
      <c r="V443" t="s">
        <v>8908</v>
      </c>
      <c r="W443" t="s">
        <v>8909</v>
      </c>
      <c r="X443" t="s">
        <v>8910</v>
      </c>
      <c r="Y443" t="s">
        <v>8911</v>
      </c>
      <c r="Z443" t="s">
        <v>8912</v>
      </c>
      <c r="AA443" t="s">
        <v>8913</v>
      </c>
      <c r="AB443" t="s">
        <v>74</v>
      </c>
      <c r="AC443" t="s">
        <v>8914</v>
      </c>
      <c r="AD443" t="s">
        <v>8915</v>
      </c>
      <c r="AE443" t="s">
        <v>8916</v>
      </c>
      <c r="AF443" t="s">
        <v>74</v>
      </c>
      <c r="AG443">
        <v>58</v>
      </c>
      <c r="AH443">
        <v>1</v>
      </c>
      <c r="AI443">
        <v>1</v>
      </c>
      <c r="AJ443">
        <v>6</v>
      </c>
      <c r="AK443">
        <v>17</v>
      </c>
      <c r="AL443" t="s">
        <v>700</v>
      </c>
      <c r="AM443" t="s">
        <v>701</v>
      </c>
      <c r="AN443" t="s">
        <v>702</v>
      </c>
      <c r="AO443" t="s">
        <v>74</v>
      </c>
      <c r="AP443" t="s">
        <v>1228</v>
      </c>
      <c r="AQ443" t="s">
        <v>74</v>
      </c>
      <c r="AR443" t="s">
        <v>1229</v>
      </c>
      <c r="AS443" t="s">
        <v>1230</v>
      </c>
      <c r="AT443" t="s">
        <v>8917</v>
      </c>
      <c r="AU443">
        <v>2023</v>
      </c>
      <c r="AV443">
        <v>10</v>
      </c>
      <c r="AW443" t="s">
        <v>74</v>
      </c>
      <c r="AX443" t="s">
        <v>74</v>
      </c>
      <c r="AY443" t="s">
        <v>74</v>
      </c>
      <c r="AZ443" t="s">
        <v>74</v>
      </c>
      <c r="BA443" t="s">
        <v>74</v>
      </c>
      <c r="BB443" t="s">
        <v>74</v>
      </c>
      <c r="BC443" t="s">
        <v>74</v>
      </c>
      <c r="BD443">
        <v>1020791</v>
      </c>
      <c r="BE443" t="s">
        <v>8918</v>
      </c>
      <c r="BF443" t="str">
        <f>HYPERLINK("http://dx.doi.org/10.3389/fmars.2023.1020791","http://dx.doi.org/10.3389/fmars.2023.1020791")</f>
        <v>http://dx.doi.org/10.3389/fmars.2023.1020791</v>
      </c>
      <c r="BG443" t="s">
        <v>74</v>
      </c>
      <c r="BH443" t="s">
        <v>74</v>
      </c>
      <c r="BI443">
        <v>13</v>
      </c>
      <c r="BJ443" t="s">
        <v>636</v>
      </c>
      <c r="BK443" t="s">
        <v>103</v>
      </c>
      <c r="BL443" t="s">
        <v>637</v>
      </c>
      <c r="BM443" t="s">
        <v>8919</v>
      </c>
      <c r="BN443" t="s">
        <v>74</v>
      </c>
      <c r="BO443" t="s">
        <v>136</v>
      </c>
      <c r="BP443" t="s">
        <v>74</v>
      </c>
      <c r="BQ443" t="s">
        <v>74</v>
      </c>
      <c r="BR443" t="s">
        <v>106</v>
      </c>
      <c r="BS443" t="s">
        <v>8920</v>
      </c>
      <c r="BT443" t="str">
        <f>HYPERLINK("https%3A%2F%2Fwww.webofscience.com%2Fwos%2Fwoscc%2Ffull-record%2FWOS:000955690800001","View Full Record in Web of Science")</f>
        <v>View Full Record in Web of Science</v>
      </c>
    </row>
    <row r="444" spans="1:72" x14ac:dyDescent="0.15">
      <c r="A444" t="s">
        <v>72</v>
      </c>
      <c r="B444" t="s">
        <v>8921</v>
      </c>
      <c r="C444" t="s">
        <v>74</v>
      </c>
      <c r="D444" t="s">
        <v>74</v>
      </c>
      <c r="E444" t="s">
        <v>74</v>
      </c>
      <c r="F444" t="s">
        <v>8922</v>
      </c>
      <c r="G444" t="s">
        <v>74</v>
      </c>
      <c r="H444" t="s">
        <v>74</v>
      </c>
      <c r="I444" t="s">
        <v>8923</v>
      </c>
      <c r="J444" t="s">
        <v>1729</v>
      </c>
      <c r="K444" t="s">
        <v>74</v>
      </c>
      <c r="L444" t="s">
        <v>74</v>
      </c>
      <c r="M444" t="s">
        <v>78</v>
      </c>
      <c r="N444" t="s">
        <v>365</v>
      </c>
      <c r="O444" t="s">
        <v>74</v>
      </c>
      <c r="P444" t="s">
        <v>74</v>
      </c>
      <c r="Q444" t="s">
        <v>74</v>
      </c>
      <c r="R444" t="s">
        <v>74</v>
      </c>
      <c r="S444" t="s">
        <v>74</v>
      </c>
      <c r="T444" t="s">
        <v>8924</v>
      </c>
      <c r="U444" t="s">
        <v>8925</v>
      </c>
      <c r="V444" t="s">
        <v>8926</v>
      </c>
      <c r="W444" t="s">
        <v>8927</v>
      </c>
      <c r="X444" t="s">
        <v>8928</v>
      </c>
      <c r="Y444" t="s">
        <v>8929</v>
      </c>
      <c r="Z444" t="s">
        <v>8930</v>
      </c>
      <c r="AA444" t="s">
        <v>74</v>
      </c>
      <c r="AB444" t="s">
        <v>8931</v>
      </c>
      <c r="AC444" t="s">
        <v>8932</v>
      </c>
      <c r="AD444" t="s">
        <v>74</v>
      </c>
      <c r="AE444" t="s">
        <v>8933</v>
      </c>
      <c r="AF444" t="s">
        <v>74</v>
      </c>
      <c r="AG444">
        <v>159</v>
      </c>
      <c r="AH444">
        <v>5</v>
      </c>
      <c r="AI444">
        <v>5</v>
      </c>
      <c r="AJ444">
        <v>21</v>
      </c>
      <c r="AK444">
        <v>63</v>
      </c>
      <c r="AL444" t="s">
        <v>1405</v>
      </c>
      <c r="AM444" t="s">
        <v>6606</v>
      </c>
      <c r="AN444" t="s">
        <v>6607</v>
      </c>
      <c r="AO444" t="s">
        <v>1742</v>
      </c>
      <c r="AP444" t="s">
        <v>1743</v>
      </c>
      <c r="AQ444" t="s">
        <v>74</v>
      </c>
      <c r="AR444" t="s">
        <v>1744</v>
      </c>
      <c r="AS444" t="s">
        <v>1745</v>
      </c>
      <c r="AT444" t="s">
        <v>131</v>
      </c>
      <c r="AU444">
        <v>2023</v>
      </c>
      <c r="AV444">
        <v>324</v>
      </c>
      <c r="AW444" t="s">
        <v>74</v>
      </c>
      <c r="AX444" t="s">
        <v>74</v>
      </c>
      <c r="AY444" t="s">
        <v>74</v>
      </c>
      <c r="AZ444" t="s">
        <v>74</v>
      </c>
      <c r="BA444" t="s">
        <v>74</v>
      </c>
      <c r="BB444" t="s">
        <v>74</v>
      </c>
      <c r="BC444" t="s">
        <v>74</v>
      </c>
      <c r="BD444">
        <v>121385</v>
      </c>
      <c r="BE444" t="s">
        <v>8934</v>
      </c>
      <c r="BF444" t="str">
        <f>HYPERLINK("http://dx.doi.org/10.1016/j.envpol.2023.121385","http://dx.doi.org/10.1016/j.envpol.2023.121385")</f>
        <v>http://dx.doi.org/10.1016/j.envpol.2023.121385</v>
      </c>
      <c r="BG444" t="s">
        <v>74</v>
      </c>
      <c r="BH444" t="s">
        <v>6218</v>
      </c>
      <c r="BI444">
        <v>13</v>
      </c>
      <c r="BJ444" t="s">
        <v>1163</v>
      </c>
      <c r="BK444" t="s">
        <v>103</v>
      </c>
      <c r="BL444" t="s">
        <v>1164</v>
      </c>
      <c r="BM444" t="s">
        <v>8935</v>
      </c>
      <c r="BN444">
        <v>36868550</v>
      </c>
      <c r="BO444" t="s">
        <v>387</v>
      </c>
      <c r="BP444" t="s">
        <v>74</v>
      </c>
      <c r="BQ444" t="s">
        <v>74</v>
      </c>
      <c r="BR444" t="s">
        <v>106</v>
      </c>
      <c r="BS444" t="s">
        <v>8936</v>
      </c>
      <c r="BT444" t="str">
        <f>HYPERLINK("https%3A%2F%2Fwww.webofscience.com%2Fwos%2Fwoscc%2Ffull-record%2FWOS:000951611000001","View Full Record in Web of Science")</f>
        <v>View Full Record in Web of Science</v>
      </c>
    </row>
    <row r="445" spans="1:72" x14ac:dyDescent="0.15">
      <c r="A445" t="s">
        <v>72</v>
      </c>
      <c r="B445" t="s">
        <v>8937</v>
      </c>
      <c r="C445" t="s">
        <v>74</v>
      </c>
      <c r="D445" t="s">
        <v>74</v>
      </c>
      <c r="E445" t="s">
        <v>74</v>
      </c>
      <c r="F445" t="s">
        <v>8938</v>
      </c>
      <c r="G445" t="s">
        <v>74</v>
      </c>
      <c r="H445" t="s">
        <v>74</v>
      </c>
      <c r="I445" t="s">
        <v>8939</v>
      </c>
      <c r="J445" t="s">
        <v>2541</v>
      </c>
      <c r="K445" t="s">
        <v>74</v>
      </c>
      <c r="L445" t="s">
        <v>74</v>
      </c>
      <c r="M445" t="s">
        <v>78</v>
      </c>
      <c r="N445" t="s">
        <v>112</v>
      </c>
      <c r="O445" t="s">
        <v>74</v>
      </c>
      <c r="P445" t="s">
        <v>74</v>
      </c>
      <c r="Q445" t="s">
        <v>74</v>
      </c>
      <c r="R445" t="s">
        <v>74</v>
      </c>
      <c r="S445" t="s">
        <v>74</v>
      </c>
      <c r="T445" t="s">
        <v>74</v>
      </c>
      <c r="U445" t="s">
        <v>8940</v>
      </c>
      <c r="V445" t="s">
        <v>8941</v>
      </c>
      <c r="W445" t="s">
        <v>8942</v>
      </c>
      <c r="X445" t="s">
        <v>8943</v>
      </c>
      <c r="Y445" t="s">
        <v>8944</v>
      </c>
      <c r="Z445" t="s">
        <v>8945</v>
      </c>
      <c r="AA445" t="s">
        <v>8946</v>
      </c>
      <c r="AB445" t="s">
        <v>8947</v>
      </c>
      <c r="AC445" t="s">
        <v>8948</v>
      </c>
      <c r="AD445" t="s">
        <v>8949</v>
      </c>
      <c r="AE445" t="s">
        <v>8950</v>
      </c>
      <c r="AF445" t="s">
        <v>74</v>
      </c>
      <c r="AG445">
        <v>74</v>
      </c>
      <c r="AH445">
        <v>3</v>
      </c>
      <c r="AI445">
        <v>3</v>
      </c>
      <c r="AJ445">
        <v>9</v>
      </c>
      <c r="AK445">
        <v>14</v>
      </c>
      <c r="AL445" t="s">
        <v>794</v>
      </c>
      <c r="AM445" t="s">
        <v>795</v>
      </c>
      <c r="AN445" t="s">
        <v>796</v>
      </c>
      <c r="AO445" t="s">
        <v>2553</v>
      </c>
      <c r="AP445" t="s">
        <v>2554</v>
      </c>
      <c r="AQ445" t="s">
        <v>74</v>
      </c>
      <c r="AR445" t="s">
        <v>2555</v>
      </c>
      <c r="AS445" t="s">
        <v>2556</v>
      </c>
      <c r="AT445" t="s">
        <v>8917</v>
      </c>
      <c r="AU445">
        <v>2023</v>
      </c>
      <c r="AV445">
        <v>23</v>
      </c>
      <c r="AW445">
        <v>5</v>
      </c>
      <c r="AX445" t="s">
        <v>74</v>
      </c>
      <c r="AY445" t="s">
        <v>74</v>
      </c>
      <c r="AZ445" t="s">
        <v>74</v>
      </c>
      <c r="BA445" t="s">
        <v>74</v>
      </c>
      <c r="BB445">
        <v>3133</v>
      </c>
      <c r="BC445">
        <v>3146</v>
      </c>
      <c r="BD445" t="s">
        <v>74</v>
      </c>
      <c r="BE445" t="s">
        <v>8951</v>
      </c>
      <c r="BF445" t="str">
        <f>HYPERLINK("http://dx.doi.org/10.5194/acp-23-3133-2023","http://dx.doi.org/10.5194/acp-23-3133-2023")</f>
        <v>http://dx.doi.org/10.5194/acp-23-3133-2023</v>
      </c>
      <c r="BG445" t="s">
        <v>74</v>
      </c>
      <c r="BH445" t="s">
        <v>74</v>
      </c>
      <c r="BI445">
        <v>14</v>
      </c>
      <c r="BJ445" t="s">
        <v>356</v>
      </c>
      <c r="BK445" t="s">
        <v>103</v>
      </c>
      <c r="BL445" t="s">
        <v>357</v>
      </c>
      <c r="BM445" t="s">
        <v>8952</v>
      </c>
      <c r="BN445" t="s">
        <v>74</v>
      </c>
      <c r="BO445" t="s">
        <v>8953</v>
      </c>
      <c r="BP445" t="s">
        <v>74</v>
      </c>
      <c r="BQ445" t="s">
        <v>74</v>
      </c>
      <c r="BR445" t="s">
        <v>106</v>
      </c>
      <c r="BS445" t="s">
        <v>8954</v>
      </c>
      <c r="BT445" t="str">
        <f>HYPERLINK("https%3A%2F%2Fwww.webofscience.com%2Fwos%2Fwoscc%2Ffull-record%2FWOS:000946536900001","View Full Record in Web of Science")</f>
        <v>View Full Record in Web of Science</v>
      </c>
    </row>
    <row r="446" spans="1:72" x14ac:dyDescent="0.15">
      <c r="A446" t="s">
        <v>72</v>
      </c>
      <c r="B446" t="s">
        <v>8955</v>
      </c>
      <c r="C446" t="s">
        <v>74</v>
      </c>
      <c r="D446" t="s">
        <v>74</v>
      </c>
      <c r="E446" t="s">
        <v>74</v>
      </c>
      <c r="F446" t="s">
        <v>8956</v>
      </c>
      <c r="G446" t="s">
        <v>74</v>
      </c>
      <c r="H446" t="s">
        <v>74</v>
      </c>
      <c r="I446" t="s">
        <v>8957</v>
      </c>
      <c r="J446" t="s">
        <v>2541</v>
      </c>
      <c r="K446" t="s">
        <v>74</v>
      </c>
      <c r="L446" t="s">
        <v>74</v>
      </c>
      <c r="M446" t="s">
        <v>78</v>
      </c>
      <c r="N446" t="s">
        <v>112</v>
      </c>
      <c r="O446" t="s">
        <v>74</v>
      </c>
      <c r="P446" t="s">
        <v>74</v>
      </c>
      <c r="Q446" t="s">
        <v>74</v>
      </c>
      <c r="R446" t="s">
        <v>74</v>
      </c>
      <c r="S446" t="s">
        <v>74</v>
      </c>
      <c r="T446" t="s">
        <v>74</v>
      </c>
      <c r="U446" t="s">
        <v>8958</v>
      </c>
      <c r="V446" t="s">
        <v>8959</v>
      </c>
      <c r="W446" t="s">
        <v>8960</v>
      </c>
      <c r="X446" t="s">
        <v>8961</v>
      </c>
      <c r="Y446" t="s">
        <v>8962</v>
      </c>
      <c r="Z446" t="s">
        <v>8963</v>
      </c>
      <c r="AA446" t="s">
        <v>8964</v>
      </c>
      <c r="AB446" t="s">
        <v>8965</v>
      </c>
      <c r="AC446" t="s">
        <v>8966</v>
      </c>
      <c r="AD446" t="s">
        <v>8967</v>
      </c>
      <c r="AE446" t="s">
        <v>8968</v>
      </c>
      <c r="AF446" t="s">
        <v>74</v>
      </c>
      <c r="AG446">
        <v>99</v>
      </c>
      <c r="AH446">
        <v>2</v>
      </c>
      <c r="AI446">
        <v>2</v>
      </c>
      <c r="AJ446">
        <v>8</v>
      </c>
      <c r="AK446">
        <v>18</v>
      </c>
      <c r="AL446" t="s">
        <v>794</v>
      </c>
      <c r="AM446" t="s">
        <v>795</v>
      </c>
      <c r="AN446" t="s">
        <v>796</v>
      </c>
      <c r="AO446" t="s">
        <v>2553</v>
      </c>
      <c r="AP446" t="s">
        <v>2554</v>
      </c>
      <c r="AQ446" t="s">
        <v>74</v>
      </c>
      <c r="AR446" t="s">
        <v>2555</v>
      </c>
      <c r="AS446" t="s">
        <v>2556</v>
      </c>
      <c r="AT446" t="s">
        <v>8917</v>
      </c>
      <c r="AU446">
        <v>2023</v>
      </c>
      <c r="AV446">
        <v>23</v>
      </c>
      <c r="AW446">
        <v>5</v>
      </c>
      <c r="AX446" t="s">
        <v>74</v>
      </c>
      <c r="AY446" t="s">
        <v>74</v>
      </c>
      <c r="AZ446" t="s">
        <v>74</v>
      </c>
      <c r="BA446" t="s">
        <v>74</v>
      </c>
      <c r="BB446">
        <v>3207</v>
      </c>
      <c r="BC446">
        <v>3232</v>
      </c>
      <c r="BD446" t="s">
        <v>74</v>
      </c>
      <c r="BE446" t="s">
        <v>8969</v>
      </c>
      <c r="BF446" t="str">
        <f>HYPERLINK("http://dx.doi.org/10.5194/acp-23-3207-2023","http://dx.doi.org/10.5194/acp-23-3207-2023")</f>
        <v>http://dx.doi.org/10.5194/acp-23-3207-2023</v>
      </c>
      <c r="BG446" t="s">
        <v>74</v>
      </c>
      <c r="BH446" t="s">
        <v>74</v>
      </c>
      <c r="BI446">
        <v>26</v>
      </c>
      <c r="BJ446" t="s">
        <v>356</v>
      </c>
      <c r="BK446" t="s">
        <v>103</v>
      </c>
      <c r="BL446" t="s">
        <v>357</v>
      </c>
      <c r="BM446" t="s">
        <v>8970</v>
      </c>
      <c r="BN446" t="s">
        <v>74</v>
      </c>
      <c r="BO446" t="s">
        <v>359</v>
      </c>
      <c r="BP446" t="s">
        <v>74</v>
      </c>
      <c r="BQ446" t="s">
        <v>74</v>
      </c>
      <c r="BR446" t="s">
        <v>106</v>
      </c>
      <c r="BS446" t="s">
        <v>8971</v>
      </c>
      <c r="BT446" t="str">
        <f>HYPERLINK("https%3A%2F%2Fwww.webofscience.com%2Fwos%2Fwoscc%2Ffull-record%2FWOS:000946586900001","View Full Record in Web of Science")</f>
        <v>View Full Record in Web of Science</v>
      </c>
    </row>
    <row r="447" spans="1:72" x14ac:dyDescent="0.15">
      <c r="A447" t="s">
        <v>72</v>
      </c>
      <c r="B447" t="s">
        <v>8972</v>
      </c>
      <c r="C447" t="s">
        <v>74</v>
      </c>
      <c r="D447" t="s">
        <v>74</v>
      </c>
      <c r="E447" t="s">
        <v>74</v>
      </c>
      <c r="F447" t="s">
        <v>8973</v>
      </c>
      <c r="G447" t="s">
        <v>74</v>
      </c>
      <c r="H447" t="s">
        <v>74</v>
      </c>
      <c r="I447" t="s">
        <v>8974</v>
      </c>
      <c r="J447" t="s">
        <v>4333</v>
      </c>
      <c r="K447" t="s">
        <v>74</v>
      </c>
      <c r="L447" t="s">
        <v>74</v>
      </c>
      <c r="M447" t="s">
        <v>78</v>
      </c>
      <c r="N447" t="s">
        <v>112</v>
      </c>
      <c r="O447" t="s">
        <v>74</v>
      </c>
      <c r="P447" t="s">
        <v>74</v>
      </c>
      <c r="Q447" t="s">
        <v>74</v>
      </c>
      <c r="R447" t="s">
        <v>74</v>
      </c>
      <c r="S447" t="s">
        <v>74</v>
      </c>
      <c r="T447" t="s">
        <v>8975</v>
      </c>
      <c r="U447" t="s">
        <v>8976</v>
      </c>
      <c r="V447" t="s">
        <v>8977</v>
      </c>
      <c r="W447" t="s">
        <v>8978</v>
      </c>
      <c r="X447" t="s">
        <v>8979</v>
      </c>
      <c r="Y447" t="s">
        <v>8980</v>
      </c>
      <c r="Z447" t="s">
        <v>8981</v>
      </c>
      <c r="AA447" t="s">
        <v>8982</v>
      </c>
      <c r="AB447" t="s">
        <v>74</v>
      </c>
      <c r="AC447" t="s">
        <v>8983</v>
      </c>
      <c r="AD447" t="s">
        <v>8984</v>
      </c>
      <c r="AE447" t="s">
        <v>8985</v>
      </c>
      <c r="AF447" t="s">
        <v>74</v>
      </c>
      <c r="AG447">
        <v>66</v>
      </c>
      <c r="AH447">
        <v>0</v>
      </c>
      <c r="AI447">
        <v>0</v>
      </c>
      <c r="AJ447">
        <v>5</v>
      </c>
      <c r="AK447">
        <v>12</v>
      </c>
      <c r="AL447" t="s">
        <v>2116</v>
      </c>
      <c r="AM447" t="s">
        <v>226</v>
      </c>
      <c r="AN447" t="s">
        <v>2117</v>
      </c>
      <c r="AO447" t="s">
        <v>4346</v>
      </c>
      <c r="AP447" t="s">
        <v>4347</v>
      </c>
      <c r="AQ447" t="s">
        <v>74</v>
      </c>
      <c r="AR447" t="s">
        <v>4348</v>
      </c>
      <c r="AS447" t="s">
        <v>4349</v>
      </c>
      <c r="AT447" t="s">
        <v>4546</v>
      </c>
      <c r="AU447">
        <v>2023</v>
      </c>
      <c r="AV447">
        <v>45</v>
      </c>
      <c r="AW447">
        <v>2</v>
      </c>
      <c r="AX447" t="s">
        <v>74</v>
      </c>
      <c r="AY447" t="s">
        <v>74</v>
      </c>
      <c r="AZ447" t="s">
        <v>74</v>
      </c>
      <c r="BA447" t="s">
        <v>74</v>
      </c>
      <c r="BB447">
        <v>372</v>
      </c>
      <c r="BC447">
        <v>388</v>
      </c>
      <c r="BD447" t="s">
        <v>74</v>
      </c>
      <c r="BE447" t="s">
        <v>8986</v>
      </c>
      <c r="BF447" t="str">
        <f>HYPERLINK("http://dx.doi.org/10.1093/plankt/fbad005","http://dx.doi.org/10.1093/plankt/fbad005")</f>
        <v>http://dx.doi.org/10.1093/plankt/fbad005</v>
      </c>
      <c r="BG447" t="s">
        <v>74</v>
      </c>
      <c r="BH447" t="s">
        <v>6218</v>
      </c>
      <c r="BI447">
        <v>17</v>
      </c>
      <c r="BJ447" t="s">
        <v>553</v>
      </c>
      <c r="BK447" t="s">
        <v>103</v>
      </c>
      <c r="BL447" t="s">
        <v>553</v>
      </c>
      <c r="BM447" t="s">
        <v>8987</v>
      </c>
      <c r="BN447" t="s">
        <v>74</v>
      </c>
      <c r="BO447" t="s">
        <v>74</v>
      </c>
      <c r="BP447" t="s">
        <v>74</v>
      </c>
      <c r="BQ447" t="s">
        <v>74</v>
      </c>
      <c r="BR447" t="s">
        <v>106</v>
      </c>
      <c r="BS447" t="s">
        <v>8988</v>
      </c>
      <c r="BT447" t="str">
        <f>HYPERLINK("https%3A%2F%2Fwww.webofscience.com%2Fwos%2Fwoscc%2Ffull-record%2FWOS:000948580200001","View Full Record in Web of Science")</f>
        <v>View Full Record in Web of Science</v>
      </c>
    </row>
    <row r="448" spans="1:72" x14ac:dyDescent="0.15">
      <c r="A448" t="s">
        <v>72</v>
      </c>
      <c r="B448" t="s">
        <v>8989</v>
      </c>
      <c r="C448" t="s">
        <v>74</v>
      </c>
      <c r="D448" t="s">
        <v>74</v>
      </c>
      <c r="E448" t="s">
        <v>74</v>
      </c>
      <c r="F448" t="s">
        <v>8990</v>
      </c>
      <c r="G448" t="s">
        <v>74</v>
      </c>
      <c r="H448" t="s">
        <v>74</v>
      </c>
      <c r="I448" t="s">
        <v>8991</v>
      </c>
      <c r="J448" t="s">
        <v>1685</v>
      </c>
      <c r="K448" t="s">
        <v>74</v>
      </c>
      <c r="L448" t="s">
        <v>74</v>
      </c>
      <c r="M448" t="s">
        <v>78</v>
      </c>
      <c r="N448" t="s">
        <v>112</v>
      </c>
      <c r="O448" t="s">
        <v>74</v>
      </c>
      <c r="P448" t="s">
        <v>74</v>
      </c>
      <c r="Q448" t="s">
        <v>74</v>
      </c>
      <c r="R448" t="s">
        <v>74</v>
      </c>
      <c r="S448" t="s">
        <v>74</v>
      </c>
      <c r="T448" t="s">
        <v>74</v>
      </c>
      <c r="U448" t="s">
        <v>8992</v>
      </c>
      <c r="V448" t="s">
        <v>8993</v>
      </c>
      <c r="W448" t="s">
        <v>8994</v>
      </c>
      <c r="X448" t="s">
        <v>8995</v>
      </c>
      <c r="Y448" t="s">
        <v>8996</v>
      </c>
      <c r="Z448" t="s">
        <v>8997</v>
      </c>
      <c r="AA448" t="s">
        <v>8998</v>
      </c>
      <c r="AB448" t="s">
        <v>8999</v>
      </c>
      <c r="AC448" t="s">
        <v>9000</v>
      </c>
      <c r="AD448" t="s">
        <v>9001</v>
      </c>
      <c r="AE448" t="s">
        <v>9002</v>
      </c>
      <c r="AF448" t="s">
        <v>74</v>
      </c>
      <c r="AG448">
        <v>70</v>
      </c>
      <c r="AH448">
        <v>4</v>
      </c>
      <c r="AI448">
        <v>4</v>
      </c>
      <c r="AJ448">
        <v>7</v>
      </c>
      <c r="AK448">
        <v>23</v>
      </c>
      <c r="AL448" t="s">
        <v>203</v>
      </c>
      <c r="AM448" t="s">
        <v>204</v>
      </c>
      <c r="AN448" t="s">
        <v>205</v>
      </c>
      <c r="AO448" t="s">
        <v>74</v>
      </c>
      <c r="AP448" t="s">
        <v>1696</v>
      </c>
      <c r="AQ448" t="s">
        <v>74</v>
      </c>
      <c r="AR448" t="s">
        <v>1697</v>
      </c>
      <c r="AS448" t="s">
        <v>1698</v>
      </c>
      <c r="AT448" t="s">
        <v>9003</v>
      </c>
      <c r="AU448">
        <v>2023</v>
      </c>
      <c r="AV448">
        <v>14</v>
      </c>
      <c r="AW448">
        <v>1</v>
      </c>
      <c r="AX448" t="s">
        <v>74</v>
      </c>
      <c r="AY448" t="s">
        <v>74</v>
      </c>
      <c r="AZ448" t="s">
        <v>74</v>
      </c>
      <c r="BA448" t="s">
        <v>74</v>
      </c>
      <c r="BB448" t="s">
        <v>74</v>
      </c>
      <c r="BC448" t="s">
        <v>74</v>
      </c>
      <c r="BD448">
        <v>1303</v>
      </c>
      <c r="BE448" t="s">
        <v>9004</v>
      </c>
      <c r="BF448" t="str">
        <f>HYPERLINK("http://dx.doi.org/10.1038/s41467-023-36992-1","http://dx.doi.org/10.1038/s41467-023-36992-1")</f>
        <v>http://dx.doi.org/10.1038/s41467-023-36992-1</v>
      </c>
      <c r="BG448" t="s">
        <v>74</v>
      </c>
      <c r="BH448" t="s">
        <v>74</v>
      </c>
      <c r="BI448">
        <v>12</v>
      </c>
      <c r="BJ448" t="s">
        <v>210</v>
      </c>
      <c r="BK448" t="s">
        <v>103</v>
      </c>
      <c r="BL448" t="s">
        <v>211</v>
      </c>
      <c r="BM448" t="s">
        <v>9005</v>
      </c>
      <c r="BN448">
        <v>36894593</v>
      </c>
      <c r="BO448" t="s">
        <v>136</v>
      </c>
      <c r="BP448" t="s">
        <v>74</v>
      </c>
      <c r="BQ448" t="s">
        <v>74</v>
      </c>
      <c r="BR448" t="s">
        <v>106</v>
      </c>
      <c r="BS448" t="s">
        <v>9006</v>
      </c>
      <c r="BT448" t="str">
        <f>HYPERLINK("https%3A%2F%2Fwww.webofscience.com%2Fwos%2Fwoscc%2Ffull-record%2FWOS:001001683700012","View Full Record in Web of Science")</f>
        <v>View Full Record in Web of Science</v>
      </c>
    </row>
    <row r="449" spans="1:72" x14ac:dyDescent="0.15">
      <c r="A449" t="s">
        <v>72</v>
      </c>
      <c r="B449" t="s">
        <v>9007</v>
      </c>
      <c r="C449" t="s">
        <v>74</v>
      </c>
      <c r="D449" t="s">
        <v>74</v>
      </c>
      <c r="E449" t="s">
        <v>74</v>
      </c>
      <c r="F449" t="s">
        <v>9008</v>
      </c>
      <c r="G449" t="s">
        <v>74</v>
      </c>
      <c r="H449" t="s">
        <v>74</v>
      </c>
      <c r="I449" t="s">
        <v>9009</v>
      </c>
      <c r="J449" t="s">
        <v>7484</v>
      </c>
      <c r="K449" t="s">
        <v>74</v>
      </c>
      <c r="L449" t="s">
        <v>74</v>
      </c>
      <c r="M449" t="s">
        <v>78</v>
      </c>
      <c r="N449" t="s">
        <v>112</v>
      </c>
      <c r="O449" t="s">
        <v>74</v>
      </c>
      <c r="P449" t="s">
        <v>74</v>
      </c>
      <c r="Q449" t="s">
        <v>74</v>
      </c>
      <c r="R449" t="s">
        <v>74</v>
      </c>
      <c r="S449" t="s">
        <v>74</v>
      </c>
      <c r="T449" t="s">
        <v>9010</v>
      </c>
      <c r="U449" t="s">
        <v>9011</v>
      </c>
      <c r="V449" t="s">
        <v>9012</v>
      </c>
      <c r="W449" t="s">
        <v>9013</v>
      </c>
      <c r="X449" t="s">
        <v>9014</v>
      </c>
      <c r="Y449" t="s">
        <v>9015</v>
      </c>
      <c r="Z449" t="s">
        <v>7488</v>
      </c>
      <c r="AA449" t="s">
        <v>9016</v>
      </c>
      <c r="AB449" t="s">
        <v>9017</v>
      </c>
      <c r="AC449" t="s">
        <v>9018</v>
      </c>
      <c r="AD449" t="s">
        <v>9019</v>
      </c>
      <c r="AE449" t="s">
        <v>9020</v>
      </c>
      <c r="AF449" t="s">
        <v>74</v>
      </c>
      <c r="AG449">
        <v>54</v>
      </c>
      <c r="AH449">
        <v>4</v>
      </c>
      <c r="AI449">
        <v>4</v>
      </c>
      <c r="AJ449">
        <v>2</v>
      </c>
      <c r="AK449">
        <v>6</v>
      </c>
      <c r="AL449" t="s">
        <v>1405</v>
      </c>
      <c r="AM449" t="s">
        <v>226</v>
      </c>
      <c r="AN449" t="s">
        <v>1406</v>
      </c>
      <c r="AO449" t="s">
        <v>7491</v>
      </c>
      <c r="AP449" t="s">
        <v>7492</v>
      </c>
      <c r="AQ449" t="s">
        <v>74</v>
      </c>
      <c r="AR449" t="s">
        <v>7493</v>
      </c>
      <c r="AS449" t="s">
        <v>7494</v>
      </c>
      <c r="AT449" t="s">
        <v>98</v>
      </c>
      <c r="AU449">
        <v>2023</v>
      </c>
      <c r="AV449">
        <v>281</v>
      </c>
      <c r="AW449" t="s">
        <v>74</v>
      </c>
      <c r="AX449" t="s">
        <v>74</v>
      </c>
      <c r="AY449" t="s">
        <v>74</v>
      </c>
      <c r="AZ449" t="s">
        <v>74</v>
      </c>
      <c r="BA449" t="s">
        <v>74</v>
      </c>
      <c r="BB449" t="s">
        <v>74</v>
      </c>
      <c r="BC449" t="s">
        <v>74</v>
      </c>
      <c r="BD449">
        <v>109994</v>
      </c>
      <c r="BE449" t="s">
        <v>9021</v>
      </c>
      <c r="BF449" t="str">
        <f>HYPERLINK("http://dx.doi.org/10.1016/j.biocon.2023.109994","http://dx.doi.org/10.1016/j.biocon.2023.109994")</f>
        <v>http://dx.doi.org/10.1016/j.biocon.2023.109994</v>
      </c>
      <c r="BG449" t="s">
        <v>74</v>
      </c>
      <c r="BH449" t="s">
        <v>6218</v>
      </c>
      <c r="BI449">
        <v>11</v>
      </c>
      <c r="BJ449" t="s">
        <v>7496</v>
      </c>
      <c r="BK449" t="s">
        <v>103</v>
      </c>
      <c r="BL449" t="s">
        <v>776</v>
      </c>
      <c r="BM449" t="s">
        <v>9022</v>
      </c>
      <c r="BN449" t="s">
        <v>74</v>
      </c>
      <c r="BO449" t="s">
        <v>105</v>
      </c>
      <c r="BP449" t="s">
        <v>74</v>
      </c>
      <c r="BQ449" t="s">
        <v>74</v>
      </c>
      <c r="BR449" t="s">
        <v>106</v>
      </c>
      <c r="BS449" t="s">
        <v>9023</v>
      </c>
      <c r="BT449" t="str">
        <f>HYPERLINK("https%3A%2F%2Fwww.webofscience.com%2Fwos%2Fwoscc%2Ffull-record%2FWOS:000989430200001","View Full Record in Web of Science")</f>
        <v>View Full Record in Web of Science</v>
      </c>
    </row>
    <row r="450" spans="1:72" x14ac:dyDescent="0.15">
      <c r="A450" t="s">
        <v>72</v>
      </c>
      <c r="B450" t="s">
        <v>9024</v>
      </c>
      <c r="C450" t="s">
        <v>74</v>
      </c>
      <c r="D450" t="s">
        <v>74</v>
      </c>
      <c r="E450" t="s">
        <v>74</v>
      </c>
      <c r="F450" t="s">
        <v>9025</v>
      </c>
      <c r="G450" t="s">
        <v>74</v>
      </c>
      <c r="H450" t="s">
        <v>74</v>
      </c>
      <c r="I450" t="s">
        <v>9026</v>
      </c>
      <c r="J450" t="s">
        <v>3148</v>
      </c>
      <c r="K450" t="s">
        <v>74</v>
      </c>
      <c r="L450" t="s">
        <v>74</v>
      </c>
      <c r="M450" t="s">
        <v>78</v>
      </c>
      <c r="N450" t="s">
        <v>112</v>
      </c>
      <c r="O450" t="s">
        <v>74</v>
      </c>
      <c r="P450" t="s">
        <v>74</v>
      </c>
      <c r="Q450" t="s">
        <v>74</v>
      </c>
      <c r="R450" t="s">
        <v>74</v>
      </c>
      <c r="S450" t="s">
        <v>74</v>
      </c>
      <c r="T450" t="s">
        <v>74</v>
      </c>
      <c r="U450" t="s">
        <v>9027</v>
      </c>
      <c r="V450" t="s">
        <v>9028</v>
      </c>
      <c r="W450" t="s">
        <v>9029</v>
      </c>
      <c r="X450" t="s">
        <v>9030</v>
      </c>
      <c r="Y450" t="s">
        <v>9031</v>
      </c>
      <c r="Z450" t="s">
        <v>9032</v>
      </c>
      <c r="AA450" t="s">
        <v>9033</v>
      </c>
      <c r="AB450" t="s">
        <v>9034</v>
      </c>
      <c r="AC450" t="s">
        <v>9035</v>
      </c>
      <c r="AD450" t="s">
        <v>9036</v>
      </c>
      <c r="AE450" t="s">
        <v>9037</v>
      </c>
      <c r="AF450" t="s">
        <v>74</v>
      </c>
      <c r="AG450">
        <v>36</v>
      </c>
      <c r="AH450">
        <v>7</v>
      </c>
      <c r="AI450">
        <v>7</v>
      </c>
      <c r="AJ450">
        <v>6</v>
      </c>
      <c r="AK450">
        <v>9</v>
      </c>
      <c r="AL450" t="s">
        <v>3160</v>
      </c>
      <c r="AM450" t="s">
        <v>3161</v>
      </c>
      <c r="AN450" t="s">
        <v>3162</v>
      </c>
      <c r="AO450" t="s">
        <v>3163</v>
      </c>
      <c r="AP450" t="s">
        <v>3164</v>
      </c>
      <c r="AQ450" t="s">
        <v>74</v>
      </c>
      <c r="AR450" t="s">
        <v>3148</v>
      </c>
      <c r="AS450" t="s">
        <v>262</v>
      </c>
      <c r="AT450" t="s">
        <v>98</v>
      </c>
      <c r="AU450">
        <v>2023</v>
      </c>
      <c r="AV450">
        <v>51</v>
      </c>
      <c r="AW450">
        <v>5</v>
      </c>
      <c r="AX450" t="s">
        <v>74</v>
      </c>
      <c r="AY450" t="s">
        <v>74</v>
      </c>
      <c r="AZ450" t="s">
        <v>74</v>
      </c>
      <c r="BA450" t="s">
        <v>74</v>
      </c>
      <c r="BB450">
        <v>434</v>
      </c>
      <c r="BC450">
        <v>438</v>
      </c>
      <c r="BD450" t="s">
        <v>74</v>
      </c>
      <c r="BE450" t="s">
        <v>9038</v>
      </c>
      <c r="BF450" t="str">
        <f>HYPERLINK("http://dx.doi.org/10.1130/G50995.1","http://dx.doi.org/10.1130/G50995.1")</f>
        <v>http://dx.doi.org/10.1130/G50995.1</v>
      </c>
      <c r="BG450" t="s">
        <v>74</v>
      </c>
      <c r="BH450" t="s">
        <v>6218</v>
      </c>
      <c r="BI450">
        <v>5</v>
      </c>
      <c r="BJ450" t="s">
        <v>262</v>
      </c>
      <c r="BK450" t="s">
        <v>103</v>
      </c>
      <c r="BL450" t="s">
        <v>262</v>
      </c>
      <c r="BM450" t="s">
        <v>9039</v>
      </c>
      <c r="BN450" t="s">
        <v>74</v>
      </c>
      <c r="BO450" t="s">
        <v>7454</v>
      </c>
      <c r="BP450" t="s">
        <v>74</v>
      </c>
      <c r="BQ450" t="s">
        <v>74</v>
      </c>
      <c r="BR450" t="s">
        <v>106</v>
      </c>
      <c r="BS450" t="s">
        <v>9040</v>
      </c>
      <c r="BT450" t="str">
        <f>HYPERLINK("https%3A%2F%2Fwww.webofscience.com%2Fwos%2Fwoscc%2Ffull-record%2FWOS:000979454500001","View Full Record in Web of Science")</f>
        <v>View Full Record in Web of Science</v>
      </c>
    </row>
    <row r="451" spans="1:72" x14ac:dyDescent="0.15">
      <c r="A451" t="s">
        <v>72</v>
      </c>
      <c r="B451" t="s">
        <v>9041</v>
      </c>
      <c r="C451" t="s">
        <v>74</v>
      </c>
      <c r="D451" t="s">
        <v>74</v>
      </c>
      <c r="E451" t="s">
        <v>74</v>
      </c>
      <c r="F451" t="s">
        <v>9042</v>
      </c>
      <c r="G451" t="s">
        <v>74</v>
      </c>
      <c r="H451" t="s">
        <v>74</v>
      </c>
      <c r="I451" t="s">
        <v>9043</v>
      </c>
      <c r="J451" t="s">
        <v>9044</v>
      </c>
      <c r="K451" t="s">
        <v>74</v>
      </c>
      <c r="L451" t="s">
        <v>74</v>
      </c>
      <c r="M451" t="s">
        <v>78</v>
      </c>
      <c r="N451" t="s">
        <v>112</v>
      </c>
      <c r="O451" t="s">
        <v>74</v>
      </c>
      <c r="P451" t="s">
        <v>74</v>
      </c>
      <c r="Q451" t="s">
        <v>74</v>
      </c>
      <c r="R451" t="s">
        <v>74</v>
      </c>
      <c r="S451" t="s">
        <v>74</v>
      </c>
      <c r="T451" t="s">
        <v>9045</v>
      </c>
      <c r="U451" t="s">
        <v>9046</v>
      </c>
      <c r="V451" t="s">
        <v>9047</v>
      </c>
      <c r="W451" t="s">
        <v>9048</v>
      </c>
      <c r="X451" t="s">
        <v>9049</v>
      </c>
      <c r="Y451" t="s">
        <v>9050</v>
      </c>
      <c r="Z451" t="s">
        <v>9051</v>
      </c>
      <c r="AA451" t="s">
        <v>74</v>
      </c>
      <c r="AB451" t="s">
        <v>74</v>
      </c>
      <c r="AC451" t="s">
        <v>9052</v>
      </c>
      <c r="AD451" t="s">
        <v>9053</v>
      </c>
      <c r="AE451" t="s">
        <v>9054</v>
      </c>
      <c r="AF451" t="s">
        <v>74</v>
      </c>
      <c r="AG451">
        <v>72</v>
      </c>
      <c r="AH451">
        <v>0</v>
      </c>
      <c r="AI451">
        <v>0</v>
      </c>
      <c r="AJ451">
        <v>2</v>
      </c>
      <c r="AK451">
        <v>5</v>
      </c>
      <c r="AL451" t="s">
        <v>1405</v>
      </c>
      <c r="AM451" t="s">
        <v>226</v>
      </c>
      <c r="AN451" t="s">
        <v>1406</v>
      </c>
      <c r="AO451" t="s">
        <v>9055</v>
      </c>
      <c r="AP451" t="s">
        <v>9056</v>
      </c>
      <c r="AQ451" t="s">
        <v>74</v>
      </c>
      <c r="AR451" t="s">
        <v>9057</v>
      </c>
      <c r="AS451" t="s">
        <v>9058</v>
      </c>
      <c r="AT451" t="s">
        <v>232</v>
      </c>
      <c r="AU451">
        <v>2023</v>
      </c>
      <c r="AV451">
        <v>183</v>
      </c>
      <c r="AW451" t="s">
        <v>74</v>
      </c>
      <c r="AX451" t="s">
        <v>74</v>
      </c>
      <c r="AY451" t="s">
        <v>74</v>
      </c>
      <c r="AZ451" t="s">
        <v>74</v>
      </c>
      <c r="BA451" t="s">
        <v>74</v>
      </c>
      <c r="BB451" t="s">
        <v>74</v>
      </c>
      <c r="BC451" t="s">
        <v>74</v>
      </c>
      <c r="BD451">
        <v>102183</v>
      </c>
      <c r="BE451" t="s">
        <v>9059</v>
      </c>
      <c r="BF451" t="str">
        <f>HYPERLINK("http://dx.doi.org/10.1016/j.ocemod.2023.102183","http://dx.doi.org/10.1016/j.ocemod.2023.102183")</f>
        <v>http://dx.doi.org/10.1016/j.ocemod.2023.102183</v>
      </c>
      <c r="BG451" t="s">
        <v>74</v>
      </c>
      <c r="BH451" t="s">
        <v>6218</v>
      </c>
      <c r="BI451">
        <v>16</v>
      </c>
      <c r="BJ451" t="s">
        <v>4434</v>
      </c>
      <c r="BK451" t="s">
        <v>103</v>
      </c>
      <c r="BL451" t="s">
        <v>4434</v>
      </c>
      <c r="BM451" t="s">
        <v>9060</v>
      </c>
      <c r="BN451" t="s">
        <v>74</v>
      </c>
      <c r="BO451" t="s">
        <v>74</v>
      </c>
      <c r="BP451" t="s">
        <v>74</v>
      </c>
      <c r="BQ451" t="s">
        <v>74</v>
      </c>
      <c r="BR451" t="s">
        <v>106</v>
      </c>
      <c r="BS451" t="s">
        <v>9061</v>
      </c>
      <c r="BT451" t="str">
        <f>HYPERLINK("https%3A%2F%2Fwww.webofscience.com%2Fwos%2Fwoscc%2Ffull-record%2FWOS:000971520300001","View Full Record in Web of Science")</f>
        <v>View Full Record in Web of Science</v>
      </c>
    </row>
    <row r="452" spans="1:72" x14ac:dyDescent="0.15">
      <c r="A452" t="s">
        <v>72</v>
      </c>
      <c r="B452" t="s">
        <v>9062</v>
      </c>
      <c r="C452" t="s">
        <v>74</v>
      </c>
      <c r="D452" t="s">
        <v>74</v>
      </c>
      <c r="E452" t="s">
        <v>74</v>
      </c>
      <c r="F452" t="s">
        <v>9063</v>
      </c>
      <c r="G452" t="s">
        <v>74</v>
      </c>
      <c r="H452" t="s">
        <v>74</v>
      </c>
      <c r="I452" t="s">
        <v>9064</v>
      </c>
      <c r="J452" t="s">
        <v>7459</v>
      </c>
      <c r="K452" t="s">
        <v>74</v>
      </c>
      <c r="L452" t="s">
        <v>74</v>
      </c>
      <c r="M452" t="s">
        <v>78</v>
      </c>
      <c r="N452" t="s">
        <v>112</v>
      </c>
      <c r="O452" t="s">
        <v>74</v>
      </c>
      <c r="P452" t="s">
        <v>74</v>
      </c>
      <c r="Q452" t="s">
        <v>74</v>
      </c>
      <c r="R452" t="s">
        <v>74</v>
      </c>
      <c r="S452" t="s">
        <v>74</v>
      </c>
      <c r="T452" t="s">
        <v>9065</v>
      </c>
      <c r="U452" t="s">
        <v>9066</v>
      </c>
      <c r="V452" t="s">
        <v>9067</v>
      </c>
      <c r="W452" t="s">
        <v>9068</v>
      </c>
      <c r="X452" t="s">
        <v>9069</v>
      </c>
      <c r="Y452" t="s">
        <v>9070</v>
      </c>
      <c r="Z452" t="s">
        <v>9071</v>
      </c>
      <c r="AA452" t="s">
        <v>74</v>
      </c>
      <c r="AB452" t="s">
        <v>74</v>
      </c>
      <c r="AC452" t="s">
        <v>9072</v>
      </c>
      <c r="AD452" t="s">
        <v>9073</v>
      </c>
      <c r="AE452" t="s">
        <v>9074</v>
      </c>
      <c r="AF452" t="s">
        <v>74</v>
      </c>
      <c r="AG452">
        <v>67</v>
      </c>
      <c r="AH452">
        <v>0</v>
      </c>
      <c r="AI452">
        <v>0</v>
      </c>
      <c r="AJ452">
        <v>6</v>
      </c>
      <c r="AK452">
        <v>11</v>
      </c>
      <c r="AL452" t="s">
        <v>1405</v>
      </c>
      <c r="AM452" t="s">
        <v>226</v>
      </c>
      <c r="AN452" t="s">
        <v>1406</v>
      </c>
      <c r="AO452" t="s">
        <v>7472</v>
      </c>
      <c r="AP452" t="s">
        <v>7473</v>
      </c>
      <c r="AQ452" t="s">
        <v>74</v>
      </c>
      <c r="AR452" t="s">
        <v>7474</v>
      </c>
      <c r="AS452" t="s">
        <v>7475</v>
      </c>
      <c r="AT452" t="s">
        <v>98</v>
      </c>
      <c r="AU452">
        <v>2023</v>
      </c>
      <c r="AV452">
        <v>128</v>
      </c>
      <c r="AW452" t="s">
        <v>74</v>
      </c>
      <c r="AX452" t="s">
        <v>74</v>
      </c>
      <c r="AY452" t="s">
        <v>74</v>
      </c>
      <c r="AZ452" t="s">
        <v>74</v>
      </c>
      <c r="BA452" t="s">
        <v>74</v>
      </c>
      <c r="BB452">
        <v>206</v>
      </c>
      <c r="BC452">
        <v>217</v>
      </c>
      <c r="BD452" t="s">
        <v>74</v>
      </c>
      <c r="BE452" t="s">
        <v>9075</v>
      </c>
      <c r="BF452" t="str">
        <f>HYPERLINK("http://dx.doi.org/10.1016/j.procbio.2023.03.004","http://dx.doi.org/10.1016/j.procbio.2023.03.004")</f>
        <v>http://dx.doi.org/10.1016/j.procbio.2023.03.004</v>
      </c>
      <c r="BG452" t="s">
        <v>74</v>
      </c>
      <c r="BH452" t="s">
        <v>6218</v>
      </c>
      <c r="BI452">
        <v>12</v>
      </c>
      <c r="BJ452" t="s">
        <v>7477</v>
      </c>
      <c r="BK452" t="s">
        <v>103</v>
      </c>
      <c r="BL452" t="s">
        <v>7478</v>
      </c>
      <c r="BM452" t="s">
        <v>9076</v>
      </c>
      <c r="BN452" t="s">
        <v>74</v>
      </c>
      <c r="BO452" t="s">
        <v>74</v>
      </c>
      <c r="BP452" t="s">
        <v>74</v>
      </c>
      <c r="BQ452" t="s">
        <v>74</v>
      </c>
      <c r="BR452" t="s">
        <v>106</v>
      </c>
      <c r="BS452" t="s">
        <v>9077</v>
      </c>
      <c r="BT452" t="str">
        <f>HYPERLINK("https%3A%2F%2Fwww.webofscience.com%2Fwos%2Fwoscc%2Ffull-record%2FWOS:000972579400001","View Full Record in Web of Science")</f>
        <v>View Full Record in Web of Science</v>
      </c>
    </row>
    <row r="453" spans="1:72" x14ac:dyDescent="0.15">
      <c r="A453" t="s">
        <v>72</v>
      </c>
      <c r="B453" t="s">
        <v>9078</v>
      </c>
      <c r="C453" t="s">
        <v>74</v>
      </c>
      <c r="D453" t="s">
        <v>74</v>
      </c>
      <c r="E453" t="s">
        <v>74</v>
      </c>
      <c r="F453" t="s">
        <v>9079</v>
      </c>
      <c r="G453" t="s">
        <v>74</v>
      </c>
      <c r="H453" t="s">
        <v>74</v>
      </c>
      <c r="I453" t="s">
        <v>9080</v>
      </c>
      <c r="J453" t="s">
        <v>9081</v>
      </c>
      <c r="K453" t="s">
        <v>74</v>
      </c>
      <c r="L453" t="s">
        <v>74</v>
      </c>
      <c r="M453" t="s">
        <v>78</v>
      </c>
      <c r="N453" t="s">
        <v>112</v>
      </c>
      <c r="O453" t="s">
        <v>74</v>
      </c>
      <c r="P453" t="s">
        <v>74</v>
      </c>
      <c r="Q453" t="s">
        <v>74</v>
      </c>
      <c r="R453" t="s">
        <v>74</v>
      </c>
      <c r="S453" t="s">
        <v>74</v>
      </c>
      <c r="T453" t="s">
        <v>9082</v>
      </c>
      <c r="U453" t="s">
        <v>9083</v>
      </c>
      <c r="V453" t="s">
        <v>9084</v>
      </c>
      <c r="W453" t="s">
        <v>9085</v>
      </c>
      <c r="X453" t="s">
        <v>9086</v>
      </c>
      <c r="Y453" t="s">
        <v>9087</v>
      </c>
      <c r="Z453" t="s">
        <v>9088</v>
      </c>
      <c r="AA453" t="s">
        <v>9089</v>
      </c>
      <c r="AB453" t="s">
        <v>9090</v>
      </c>
      <c r="AC453" t="s">
        <v>9091</v>
      </c>
      <c r="AD453" t="s">
        <v>9092</v>
      </c>
      <c r="AE453" t="s">
        <v>9093</v>
      </c>
      <c r="AF453" t="s">
        <v>74</v>
      </c>
      <c r="AG453">
        <v>88</v>
      </c>
      <c r="AH453">
        <v>1</v>
      </c>
      <c r="AI453">
        <v>1</v>
      </c>
      <c r="AJ453">
        <v>0</v>
      </c>
      <c r="AK453">
        <v>1</v>
      </c>
      <c r="AL453" t="s">
        <v>225</v>
      </c>
      <c r="AM453" t="s">
        <v>226</v>
      </c>
      <c r="AN453" t="s">
        <v>227</v>
      </c>
      <c r="AO453" t="s">
        <v>9094</v>
      </c>
      <c r="AP453" t="s">
        <v>9095</v>
      </c>
      <c r="AQ453" t="s">
        <v>74</v>
      </c>
      <c r="AR453" t="s">
        <v>9096</v>
      </c>
      <c r="AS453" t="s">
        <v>9097</v>
      </c>
      <c r="AT453" t="s">
        <v>4546</v>
      </c>
      <c r="AU453">
        <v>2023</v>
      </c>
      <c r="AV453">
        <v>305</v>
      </c>
      <c r="AW453" t="s">
        <v>74</v>
      </c>
      <c r="AX453" t="s">
        <v>74</v>
      </c>
      <c r="AY453" t="s">
        <v>74</v>
      </c>
      <c r="AZ453" t="s">
        <v>74</v>
      </c>
      <c r="BA453" t="s">
        <v>74</v>
      </c>
      <c r="BB453" t="s">
        <v>74</v>
      </c>
      <c r="BC453" t="s">
        <v>74</v>
      </c>
      <c r="BD453">
        <v>108035</v>
      </c>
      <c r="BE453" t="s">
        <v>9098</v>
      </c>
      <c r="BF453" t="str">
        <f>HYPERLINK("http://dx.doi.org/10.1016/j.quascirev.2023.108035","http://dx.doi.org/10.1016/j.quascirev.2023.108035")</f>
        <v>http://dx.doi.org/10.1016/j.quascirev.2023.108035</v>
      </c>
      <c r="BG453" t="s">
        <v>74</v>
      </c>
      <c r="BH453" t="s">
        <v>6218</v>
      </c>
      <c r="BI453">
        <v>17</v>
      </c>
      <c r="BJ453" t="s">
        <v>801</v>
      </c>
      <c r="BK453" t="s">
        <v>103</v>
      </c>
      <c r="BL453" t="s">
        <v>802</v>
      </c>
      <c r="BM453" t="s">
        <v>9099</v>
      </c>
      <c r="BN453" t="s">
        <v>74</v>
      </c>
      <c r="BO453" t="s">
        <v>387</v>
      </c>
      <c r="BP453" t="s">
        <v>74</v>
      </c>
      <c r="BQ453" t="s">
        <v>74</v>
      </c>
      <c r="BR453" t="s">
        <v>106</v>
      </c>
      <c r="BS453" t="s">
        <v>9100</v>
      </c>
      <c r="BT453" t="str">
        <f>HYPERLINK("https%3A%2F%2Fwww.webofscience.com%2Fwos%2Fwoscc%2Ffull-record%2FWOS:000962043600001","View Full Record in Web of Science")</f>
        <v>View Full Record in Web of Science</v>
      </c>
    </row>
    <row r="454" spans="1:72" x14ac:dyDescent="0.15">
      <c r="A454" t="s">
        <v>72</v>
      </c>
      <c r="B454" t="s">
        <v>9101</v>
      </c>
      <c r="C454" t="s">
        <v>74</v>
      </c>
      <c r="D454" t="s">
        <v>74</v>
      </c>
      <c r="E454" t="s">
        <v>74</v>
      </c>
      <c r="F454" t="s">
        <v>9102</v>
      </c>
      <c r="G454" t="s">
        <v>74</v>
      </c>
      <c r="H454" t="s">
        <v>74</v>
      </c>
      <c r="I454" t="s">
        <v>9103</v>
      </c>
      <c r="J454" t="s">
        <v>955</v>
      </c>
      <c r="K454" t="s">
        <v>74</v>
      </c>
      <c r="L454" t="s">
        <v>74</v>
      </c>
      <c r="M454" t="s">
        <v>78</v>
      </c>
      <c r="N454" t="s">
        <v>112</v>
      </c>
      <c r="O454" t="s">
        <v>74</v>
      </c>
      <c r="P454" t="s">
        <v>74</v>
      </c>
      <c r="Q454" t="s">
        <v>74</v>
      </c>
      <c r="R454" t="s">
        <v>74</v>
      </c>
      <c r="S454" t="s">
        <v>74</v>
      </c>
      <c r="T454" t="s">
        <v>9104</v>
      </c>
      <c r="U454" t="s">
        <v>9105</v>
      </c>
      <c r="V454" t="s">
        <v>9106</v>
      </c>
      <c r="W454" t="s">
        <v>9107</v>
      </c>
      <c r="X454" t="s">
        <v>9108</v>
      </c>
      <c r="Y454" t="s">
        <v>9109</v>
      </c>
      <c r="Z454" t="s">
        <v>9110</v>
      </c>
      <c r="AA454" t="s">
        <v>6733</v>
      </c>
      <c r="AB454" t="s">
        <v>9111</v>
      </c>
      <c r="AC454" t="s">
        <v>9112</v>
      </c>
      <c r="AD454" t="s">
        <v>9113</v>
      </c>
      <c r="AE454" t="s">
        <v>9114</v>
      </c>
      <c r="AF454" t="s">
        <v>74</v>
      </c>
      <c r="AG454">
        <v>109</v>
      </c>
      <c r="AH454">
        <v>4</v>
      </c>
      <c r="AI454">
        <v>4</v>
      </c>
      <c r="AJ454">
        <v>2</v>
      </c>
      <c r="AK454">
        <v>6</v>
      </c>
      <c r="AL454" t="s">
        <v>447</v>
      </c>
      <c r="AM454" t="s">
        <v>448</v>
      </c>
      <c r="AN454" t="s">
        <v>449</v>
      </c>
      <c r="AO454" t="s">
        <v>968</v>
      </c>
      <c r="AP454" t="s">
        <v>969</v>
      </c>
      <c r="AQ454" t="s">
        <v>74</v>
      </c>
      <c r="AR454" t="s">
        <v>970</v>
      </c>
      <c r="AS454" t="s">
        <v>971</v>
      </c>
      <c r="AT454" t="s">
        <v>98</v>
      </c>
      <c r="AU454">
        <v>2023</v>
      </c>
      <c r="AV454">
        <v>240</v>
      </c>
      <c r="AW454" t="s">
        <v>74</v>
      </c>
      <c r="AX454" t="s">
        <v>74</v>
      </c>
      <c r="AY454" t="s">
        <v>74</v>
      </c>
      <c r="AZ454" t="s">
        <v>74</v>
      </c>
      <c r="BA454" t="s">
        <v>74</v>
      </c>
      <c r="BB454" t="s">
        <v>74</v>
      </c>
      <c r="BC454" t="s">
        <v>74</v>
      </c>
      <c r="BD454">
        <v>103876</v>
      </c>
      <c r="BE454" t="s">
        <v>9115</v>
      </c>
      <c r="BF454" t="str">
        <f>HYPERLINK("http://dx.doi.org/10.1016/j.jmarsys.2023.103876","http://dx.doi.org/10.1016/j.jmarsys.2023.103876")</f>
        <v>http://dx.doi.org/10.1016/j.jmarsys.2023.103876</v>
      </c>
      <c r="BG454" t="s">
        <v>74</v>
      </c>
      <c r="BH454" t="s">
        <v>6218</v>
      </c>
      <c r="BI454">
        <v>14</v>
      </c>
      <c r="BJ454" t="s">
        <v>974</v>
      </c>
      <c r="BK454" t="s">
        <v>103</v>
      </c>
      <c r="BL454" t="s">
        <v>975</v>
      </c>
      <c r="BM454" t="s">
        <v>9116</v>
      </c>
      <c r="BN454" t="s">
        <v>74</v>
      </c>
      <c r="BO454" t="s">
        <v>74</v>
      </c>
      <c r="BP454" t="s">
        <v>74</v>
      </c>
      <c r="BQ454" t="s">
        <v>74</v>
      </c>
      <c r="BR454" t="s">
        <v>106</v>
      </c>
      <c r="BS454" t="s">
        <v>9117</v>
      </c>
      <c r="BT454" t="str">
        <f>HYPERLINK("https%3A%2F%2Fwww.webofscience.com%2Fwos%2Fwoscc%2Ffull-record%2FWOS:000955267400001","View Full Record in Web of Science")</f>
        <v>View Full Record in Web of Science</v>
      </c>
    </row>
    <row r="455" spans="1:72" x14ac:dyDescent="0.15">
      <c r="A455" t="s">
        <v>72</v>
      </c>
      <c r="B455" t="s">
        <v>9118</v>
      </c>
      <c r="C455" t="s">
        <v>74</v>
      </c>
      <c r="D455" t="s">
        <v>74</v>
      </c>
      <c r="E455" t="s">
        <v>74</v>
      </c>
      <c r="F455" t="s">
        <v>9119</v>
      </c>
      <c r="G455" t="s">
        <v>74</v>
      </c>
      <c r="H455" t="s">
        <v>74</v>
      </c>
      <c r="I455" t="s">
        <v>9120</v>
      </c>
      <c r="J455" t="s">
        <v>9121</v>
      </c>
      <c r="K455" t="s">
        <v>74</v>
      </c>
      <c r="L455" t="s">
        <v>74</v>
      </c>
      <c r="M455" t="s">
        <v>78</v>
      </c>
      <c r="N455" t="s">
        <v>112</v>
      </c>
      <c r="O455" t="s">
        <v>74</v>
      </c>
      <c r="P455" t="s">
        <v>74</v>
      </c>
      <c r="Q455" t="s">
        <v>74</v>
      </c>
      <c r="R455" t="s">
        <v>74</v>
      </c>
      <c r="S455" t="s">
        <v>74</v>
      </c>
      <c r="T455" t="s">
        <v>9122</v>
      </c>
      <c r="U455" t="s">
        <v>9123</v>
      </c>
      <c r="V455" t="s">
        <v>9124</v>
      </c>
      <c r="W455" t="s">
        <v>9125</v>
      </c>
      <c r="X455" t="s">
        <v>9126</v>
      </c>
      <c r="Y455" t="s">
        <v>9127</v>
      </c>
      <c r="Z455" t="s">
        <v>9128</v>
      </c>
      <c r="AA455" t="s">
        <v>9129</v>
      </c>
      <c r="AB455" t="s">
        <v>9130</v>
      </c>
      <c r="AC455" t="s">
        <v>9131</v>
      </c>
      <c r="AD455" t="s">
        <v>9132</v>
      </c>
      <c r="AE455" t="s">
        <v>9133</v>
      </c>
      <c r="AF455" t="s">
        <v>74</v>
      </c>
      <c r="AG455">
        <v>141</v>
      </c>
      <c r="AH455">
        <v>10</v>
      </c>
      <c r="AI455">
        <v>10</v>
      </c>
      <c r="AJ455">
        <v>12</v>
      </c>
      <c r="AK455">
        <v>28</v>
      </c>
      <c r="AL455" t="s">
        <v>447</v>
      </c>
      <c r="AM455" t="s">
        <v>448</v>
      </c>
      <c r="AN455" t="s">
        <v>449</v>
      </c>
      <c r="AO455" t="s">
        <v>9134</v>
      </c>
      <c r="AP455" t="s">
        <v>9135</v>
      </c>
      <c r="AQ455" t="s">
        <v>74</v>
      </c>
      <c r="AR455" t="s">
        <v>9121</v>
      </c>
      <c r="AS455" t="s">
        <v>9136</v>
      </c>
      <c r="AT455" t="s">
        <v>1437</v>
      </c>
      <c r="AU455">
        <v>2023</v>
      </c>
      <c r="AV455">
        <v>432</v>
      </c>
      <c r="AW455" t="s">
        <v>74</v>
      </c>
      <c r="AX455" t="s">
        <v>74</v>
      </c>
      <c r="AY455" t="s">
        <v>74</v>
      </c>
      <c r="AZ455" t="s">
        <v>74</v>
      </c>
      <c r="BA455" t="s">
        <v>74</v>
      </c>
      <c r="BB455" t="s">
        <v>74</v>
      </c>
      <c r="BC455" t="s">
        <v>74</v>
      </c>
      <c r="BD455">
        <v>116405</v>
      </c>
      <c r="BE455" t="s">
        <v>9137</v>
      </c>
      <c r="BF455" t="str">
        <f>HYPERLINK("http://dx.doi.org/10.1016/j.geoderma.2023.116405","http://dx.doi.org/10.1016/j.geoderma.2023.116405")</f>
        <v>http://dx.doi.org/10.1016/j.geoderma.2023.116405</v>
      </c>
      <c r="BG455" t="s">
        <v>74</v>
      </c>
      <c r="BH455" t="s">
        <v>6218</v>
      </c>
      <c r="BI455">
        <v>21</v>
      </c>
      <c r="BJ455" t="s">
        <v>187</v>
      </c>
      <c r="BK455" t="s">
        <v>103</v>
      </c>
      <c r="BL455" t="s">
        <v>188</v>
      </c>
      <c r="BM455" t="s">
        <v>9138</v>
      </c>
      <c r="BN455" t="s">
        <v>74</v>
      </c>
      <c r="BO455" t="s">
        <v>387</v>
      </c>
      <c r="BP455" t="s">
        <v>74</v>
      </c>
      <c r="BQ455" t="s">
        <v>74</v>
      </c>
      <c r="BR455" t="s">
        <v>106</v>
      </c>
      <c r="BS455" t="s">
        <v>9139</v>
      </c>
      <c r="BT455" t="str">
        <f>HYPERLINK("https%3A%2F%2Fwww.webofscience.com%2Fwos%2Fwoscc%2Ffull-record%2FWOS:000955230700001","View Full Record in Web of Science")</f>
        <v>View Full Record in Web of Science</v>
      </c>
    </row>
    <row r="456" spans="1:72" x14ac:dyDescent="0.15">
      <c r="A456" t="s">
        <v>72</v>
      </c>
      <c r="B456" t="s">
        <v>9140</v>
      </c>
      <c r="C456" t="s">
        <v>74</v>
      </c>
      <c r="D456" t="s">
        <v>74</v>
      </c>
      <c r="E456" t="s">
        <v>74</v>
      </c>
      <c r="F456" t="s">
        <v>9141</v>
      </c>
      <c r="G456" t="s">
        <v>74</v>
      </c>
      <c r="H456" t="s">
        <v>74</v>
      </c>
      <c r="I456" t="s">
        <v>9142</v>
      </c>
      <c r="J456" t="s">
        <v>9143</v>
      </c>
      <c r="K456" t="s">
        <v>74</v>
      </c>
      <c r="L456" t="s">
        <v>74</v>
      </c>
      <c r="M456" t="s">
        <v>78</v>
      </c>
      <c r="N456" t="s">
        <v>112</v>
      </c>
      <c r="O456" t="s">
        <v>74</v>
      </c>
      <c r="P456" t="s">
        <v>74</v>
      </c>
      <c r="Q456" t="s">
        <v>74</v>
      </c>
      <c r="R456" t="s">
        <v>74</v>
      </c>
      <c r="S456" t="s">
        <v>74</v>
      </c>
      <c r="T456" t="s">
        <v>9144</v>
      </c>
      <c r="U456" t="s">
        <v>9145</v>
      </c>
      <c r="V456" t="s">
        <v>9146</v>
      </c>
      <c r="W456" t="s">
        <v>9147</v>
      </c>
      <c r="X456" t="s">
        <v>9148</v>
      </c>
      <c r="Y456" t="s">
        <v>9149</v>
      </c>
      <c r="Z456" t="s">
        <v>9150</v>
      </c>
      <c r="AA456" t="s">
        <v>9151</v>
      </c>
      <c r="AB456" t="s">
        <v>9152</v>
      </c>
      <c r="AC456" t="s">
        <v>9153</v>
      </c>
      <c r="AD456" t="s">
        <v>9154</v>
      </c>
      <c r="AE456" t="s">
        <v>9155</v>
      </c>
      <c r="AF456" t="s">
        <v>74</v>
      </c>
      <c r="AG456">
        <v>97</v>
      </c>
      <c r="AH456">
        <v>0</v>
      </c>
      <c r="AI456">
        <v>0</v>
      </c>
      <c r="AJ456">
        <v>3</v>
      </c>
      <c r="AK456">
        <v>7</v>
      </c>
      <c r="AL456" t="s">
        <v>9156</v>
      </c>
      <c r="AM456" t="s">
        <v>9157</v>
      </c>
      <c r="AN456" t="s">
        <v>9158</v>
      </c>
      <c r="AO456" t="s">
        <v>9159</v>
      </c>
      <c r="AP456" t="s">
        <v>9160</v>
      </c>
      <c r="AQ456" t="s">
        <v>74</v>
      </c>
      <c r="AR456" t="s">
        <v>9161</v>
      </c>
      <c r="AS456" t="s">
        <v>9162</v>
      </c>
      <c r="AT456" t="s">
        <v>9003</v>
      </c>
      <c r="AU456">
        <v>2023</v>
      </c>
      <c r="AV456">
        <v>55</v>
      </c>
      <c r="AW456">
        <v>1</v>
      </c>
      <c r="AX456" t="s">
        <v>74</v>
      </c>
      <c r="AY456" t="s">
        <v>74</v>
      </c>
      <c r="AZ456" t="s">
        <v>74</v>
      </c>
      <c r="BA456" t="s">
        <v>74</v>
      </c>
      <c r="BB456" t="s">
        <v>74</v>
      </c>
      <c r="BC456" t="s">
        <v>74</v>
      </c>
      <c r="BD456" t="s">
        <v>74</v>
      </c>
      <c r="BE456" t="s">
        <v>9163</v>
      </c>
      <c r="BF456" t="str">
        <f>HYPERLINK("http://dx.doi.org/10.2478/jofnem-2023-0004","http://dx.doi.org/10.2478/jofnem-2023-0004")</f>
        <v>http://dx.doi.org/10.2478/jofnem-2023-0004</v>
      </c>
      <c r="BG456" t="s">
        <v>74</v>
      </c>
      <c r="BH456" t="s">
        <v>74</v>
      </c>
      <c r="BI456">
        <v>28</v>
      </c>
      <c r="BJ456" t="s">
        <v>2582</v>
      </c>
      <c r="BK456" t="s">
        <v>103</v>
      </c>
      <c r="BL456" t="s">
        <v>2582</v>
      </c>
      <c r="BM456" t="s">
        <v>9164</v>
      </c>
      <c r="BN456">
        <v>36969543</v>
      </c>
      <c r="BO456" t="s">
        <v>136</v>
      </c>
      <c r="BP456" t="s">
        <v>74</v>
      </c>
      <c r="BQ456" t="s">
        <v>74</v>
      </c>
      <c r="BR456" t="s">
        <v>106</v>
      </c>
      <c r="BS456" t="s">
        <v>9165</v>
      </c>
      <c r="BT456" t="str">
        <f>HYPERLINK("https%3A%2F%2Fwww.webofscience.com%2Fwos%2Fwoscc%2Ffull-record%2FWOS:000946411800001","View Full Record in Web of Science")</f>
        <v>View Full Record in Web of Science</v>
      </c>
    </row>
    <row r="457" spans="1:72" x14ac:dyDescent="0.15">
      <c r="A457" t="s">
        <v>72</v>
      </c>
      <c r="B457" t="s">
        <v>9166</v>
      </c>
      <c r="C457" t="s">
        <v>74</v>
      </c>
      <c r="D457" t="s">
        <v>74</v>
      </c>
      <c r="E457" t="s">
        <v>74</v>
      </c>
      <c r="F457" t="s">
        <v>9167</v>
      </c>
      <c r="G457" t="s">
        <v>74</v>
      </c>
      <c r="H457" t="s">
        <v>74</v>
      </c>
      <c r="I457" t="s">
        <v>9168</v>
      </c>
      <c r="J457" t="s">
        <v>9169</v>
      </c>
      <c r="K457" t="s">
        <v>74</v>
      </c>
      <c r="L457" t="s">
        <v>74</v>
      </c>
      <c r="M457" t="s">
        <v>78</v>
      </c>
      <c r="N457" t="s">
        <v>112</v>
      </c>
      <c r="O457" t="s">
        <v>74</v>
      </c>
      <c r="P457" t="s">
        <v>74</v>
      </c>
      <c r="Q457" t="s">
        <v>74</v>
      </c>
      <c r="R457" t="s">
        <v>74</v>
      </c>
      <c r="S457" t="s">
        <v>74</v>
      </c>
      <c r="T457" t="s">
        <v>9170</v>
      </c>
      <c r="U457" t="s">
        <v>9171</v>
      </c>
      <c r="V457" t="s">
        <v>9172</v>
      </c>
      <c r="W457" t="s">
        <v>9173</v>
      </c>
      <c r="X457" t="s">
        <v>9174</v>
      </c>
      <c r="Y457" t="s">
        <v>9175</v>
      </c>
      <c r="Z457" t="s">
        <v>9176</v>
      </c>
      <c r="AA457" t="s">
        <v>74</v>
      </c>
      <c r="AB457" t="s">
        <v>9177</v>
      </c>
      <c r="AC457" t="s">
        <v>9178</v>
      </c>
      <c r="AD457" t="s">
        <v>9179</v>
      </c>
      <c r="AE457" t="s">
        <v>9180</v>
      </c>
      <c r="AF457" t="s">
        <v>74</v>
      </c>
      <c r="AG457">
        <v>41</v>
      </c>
      <c r="AH457">
        <v>3</v>
      </c>
      <c r="AI457">
        <v>3</v>
      </c>
      <c r="AJ457">
        <v>35</v>
      </c>
      <c r="AK457">
        <v>61</v>
      </c>
      <c r="AL457" t="s">
        <v>1405</v>
      </c>
      <c r="AM457" t="s">
        <v>226</v>
      </c>
      <c r="AN457" t="s">
        <v>1406</v>
      </c>
      <c r="AO457" t="s">
        <v>9181</v>
      </c>
      <c r="AP457" t="s">
        <v>9182</v>
      </c>
      <c r="AQ457" t="s">
        <v>74</v>
      </c>
      <c r="AR457" t="s">
        <v>9169</v>
      </c>
      <c r="AS457" t="s">
        <v>9183</v>
      </c>
      <c r="AT457" t="s">
        <v>232</v>
      </c>
      <c r="AU457">
        <v>2023</v>
      </c>
      <c r="AV457">
        <v>137</v>
      </c>
      <c r="AW457" t="s">
        <v>74</v>
      </c>
      <c r="AX457" t="s">
        <v>74</v>
      </c>
      <c r="AY457" t="s">
        <v>74</v>
      </c>
      <c r="AZ457" t="s">
        <v>74</v>
      </c>
      <c r="BA457" t="s">
        <v>74</v>
      </c>
      <c r="BB457" t="s">
        <v>74</v>
      </c>
      <c r="BC457" t="s">
        <v>74</v>
      </c>
      <c r="BD457">
        <v>104256</v>
      </c>
      <c r="BE457" t="s">
        <v>9184</v>
      </c>
      <c r="BF457" t="str">
        <f>HYPERLINK("http://dx.doi.org/10.1016/j.cities.2023.104256","http://dx.doi.org/10.1016/j.cities.2023.104256")</f>
        <v>http://dx.doi.org/10.1016/j.cities.2023.104256</v>
      </c>
      <c r="BG457" t="s">
        <v>74</v>
      </c>
      <c r="BH457" t="s">
        <v>6218</v>
      </c>
      <c r="BI457">
        <v>12</v>
      </c>
      <c r="BJ457" t="s">
        <v>9185</v>
      </c>
      <c r="BK457" t="s">
        <v>1440</v>
      </c>
      <c r="BL457" t="s">
        <v>9185</v>
      </c>
      <c r="BM457" t="s">
        <v>9186</v>
      </c>
      <c r="BN457" t="s">
        <v>74</v>
      </c>
      <c r="BO457" t="s">
        <v>74</v>
      </c>
      <c r="BP457" t="s">
        <v>74</v>
      </c>
      <c r="BQ457" t="s">
        <v>74</v>
      </c>
      <c r="BR457" t="s">
        <v>106</v>
      </c>
      <c r="BS457" t="s">
        <v>9187</v>
      </c>
      <c r="BT457" t="str">
        <f>HYPERLINK("https%3A%2F%2Fwww.webofscience.com%2Fwos%2Fwoscc%2Ffull-record%2FWOS:000951617500001","View Full Record in Web of Science")</f>
        <v>View Full Record in Web of Science</v>
      </c>
    </row>
    <row r="458" spans="1:72" x14ac:dyDescent="0.15">
      <c r="A458" t="s">
        <v>72</v>
      </c>
      <c r="B458" t="s">
        <v>9188</v>
      </c>
      <c r="C458" t="s">
        <v>74</v>
      </c>
      <c r="D458" t="s">
        <v>74</v>
      </c>
      <c r="E458" t="s">
        <v>74</v>
      </c>
      <c r="F458" t="s">
        <v>9189</v>
      </c>
      <c r="G458" t="s">
        <v>74</v>
      </c>
      <c r="H458" t="s">
        <v>74</v>
      </c>
      <c r="I458" t="s">
        <v>9190</v>
      </c>
      <c r="J458" t="s">
        <v>9191</v>
      </c>
      <c r="K458" t="s">
        <v>74</v>
      </c>
      <c r="L458" t="s">
        <v>74</v>
      </c>
      <c r="M458" t="s">
        <v>78</v>
      </c>
      <c r="N458" t="s">
        <v>112</v>
      </c>
      <c r="O458" t="s">
        <v>74</v>
      </c>
      <c r="P458" t="s">
        <v>74</v>
      </c>
      <c r="Q458" t="s">
        <v>74</v>
      </c>
      <c r="R458" t="s">
        <v>74</v>
      </c>
      <c r="S458" t="s">
        <v>74</v>
      </c>
      <c r="T458" t="s">
        <v>9192</v>
      </c>
      <c r="U458" t="s">
        <v>9193</v>
      </c>
      <c r="V458" t="s">
        <v>9194</v>
      </c>
      <c r="W458" t="s">
        <v>9195</v>
      </c>
      <c r="X458" t="s">
        <v>9196</v>
      </c>
      <c r="Y458" t="s">
        <v>9197</v>
      </c>
      <c r="Z458" t="s">
        <v>9198</v>
      </c>
      <c r="AA458" t="s">
        <v>74</v>
      </c>
      <c r="AB458" t="s">
        <v>9199</v>
      </c>
      <c r="AC458" t="s">
        <v>74</v>
      </c>
      <c r="AD458" t="s">
        <v>74</v>
      </c>
      <c r="AE458" t="s">
        <v>74</v>
      </c>
      <c r="AF458" t="s">
        <v>74</v>
      </c>
      <c r="AG458">
        <v>40</v>
      </c>
      <c r="AH458">
        <v>2</v>
      </c>
      <c r="AI458">
        <v>2</v>
      </c>
      <c r="AJ458">
        <v>1</v>
      </c>
      <c r="AK458">
        <v>6</v>
      </c>
      <c r="AL458" t="s">
        <v>447</v>
      </c>
      <c r="AM458" t="s">
        <v>448</v>
      </c>
      <c r="AN458" t="s">
        <v>449</v>
      </c>
      <c r="AO458" t="s">
        <v>9200</v>
      </c>
      <c r="AP458" t="s">
        <v>9201</v>
      </c>
      <c r="AQ458" t="s">
        <v>74</v>
      </c>
      <c r="AR458" t="s">
        <v>9202</v>
      </c>
      <c r="AS458" t="s">
        <v>9203</v>
      </c>
      <c r="AT458" t="s">
        <v>1437</v>
      </c>
      <c r="AU458">
        <v>2023</v>
      </c>
      <c r="AV458">
        <v>103</v>
      </c>
      <c r="AW458" t="s">
        <v>74</v>
      </c>
      <c r="AX458" t="s">
        <v>74</v>
      </c>
      <c r="AY458" t="s">
        <v>74</v>
      </c>
      <c r="AZ458" t="s">
        <v>74</v>
      </c>
      <c r="BA458" t="s">
        <v>74</v>
      </c>
      <c r="BB458" t="s">
        <v>74</v>
      </c>
      <c r="BC458" t="s">
        <v>74</v>
      </c>
      <c r="BD458">
        <v>105483</v>
      </c>
      <c r="BE458" t="s">
        <v>9204</v>
      </c>
      <c r="BF458" t="str">
        <f>HYPERLINK("http://dx.doi.org/10.1016/j.jff.2023.105483","http://dx.doi.org/10.1016/j.jff.2023.105483")</f>
        <v>http://dx.doi.org/10.1016/j.jff.2023.105483</v>
      </c>
      <c r="BG458" t="s">
        <v>74</v>
      </c>
      <c r="BH458" t="s">
        <v>6218</v>
      </c>
      <c r="BI458">
        <v>11</v>
      </c>
      <c r="BJ458" t="s">
        <v>9205</v>
      </c>
      <c r="BK458" t="s">
        <v>103</v>
      </c>
      <c r="BL458" t="s">
        <v>9205</v>
      </c>
      <c r="BM458" t="s">
        <v>9206</v>
      </c>
      <c r="BN458" t="s">
        <v>74</v>
      </c>
      <c r="BO458" t="s">
        <v>359</v>
      </c>
      <c r="BP458" t="s">
        <v>74</v>
      </c>
      <c r="BQ458" t="s">
        <v>74</v>
      </c>
      <c r="BR458" t="s">
        <v>106</v>
      </c>
      <c r="BS458" t="s">
        <v>9207</v>
      </c>
      <c r="BT458" t="str">
        <f>HYPERLINK("https%3A%2F%2Fwww.webofscience.com%2Fwos%2Fwoscc%2Ffull-record%2FWOS:000951885800001","View Full Record in Web of Science")</f>
        <v>View Full Record in Web of Science</v>
      </c>
    </row>
    <row r="459" spans="1:72" x14ac:dyDescent="0.15">
      <c r="A459" t="s">
        <v>72</v>
      </c>
      <c r="B459" t="s">
        <v>9208</v>
      </c>
      <c r="C459" t="s">
        <v>74</v>
      </c>
      <c r="D459" t="s">
        <v>74</v>
      </c>
      <c r="E459" t="s">
        <v>74</v>
      </c>
      <c r="F459" t="s">
        <v>9209</v>
      </c>
      <c r="G459" t="s">
        <v>74</v>
      </c>
      <c r="H459" t="s">
        <v>74</v>
      </c>
      <c r="I459" t="s">
        <v>9210</v>
      </c>
      <c r="J459" t="s">
        <v>9211</v>
      </c>
      <c r="K459" t="s">
        <v>74</v>
      </c>
      <c r="L459" t="s">
        <v>74</v>
      </c>
      <c r="M459" t="s">
        <v>78</v>
      </c>
      <c r="N459" t="s">
        <v>112</v>
      </c>
      <c r="O459" t="s">
        <v>74</v>
      </c>
      <c r="P459" t="s">
        <v>74</v>
      </c>
      <c r="Q459" t="s">
        <v>74</v>
      </c>
      <c r="R459" t="s">
        <v>74</v>
      </c>
      <c r="S459" t="s">
        <v>74</v>
      </c>
      <c r="T459" t="s">
        <v>9212</v>
      </c>
      <c r="U459" t="s">
        <v>9213</v>
      </c>
      <c r="V459" t="s">
        <v>9214</v>
      </c>
      <c r="W459" t="s">
        <v>9215</v>
      </c>
      <c r="X459" t="s">
        <v>9216</v>
      </c>
      <c r="Y459" t="s">
        <v>9217</v>
      </c>
      <c r="Z459" t="s">
        <v>9218</v>
      </c>
      <c r="AA459" t="s">
        <v>9219</v>
      </c>
      <c r="AB459" t="s">
        <v>9220</v>
      </c>
      <c r="AC459" t="s">
        <v>9221</v>
      </c>
      <c r="AD459" t="s">
        <v>9222</v>
      </c>
      <c r="AE459" t="s">
        <v>9223</v>
      </c>
      <c r="AF459" t="s">
        <v>74</v>
      </c>
      <c r="AG459">
        <v>70</v>
      </c>
      <c r="AH459">
        <v>2</v>
      </c>
      <c r="AI459">
        <v>2</v>
      </c>
      <c r="AJ459">
        <v>2</v>
      </c>
      <c r="AK459">
        <v>18</v>
      </c>
      <c r="AL459" t="s">
        <v>768</v>
      </c>
      <c r="AM459" t="s">
        <v>179</v>
      </c>
      <c r="AN459" t="s">
        <v>769</v>
      </c>
      <c r="AO459" t="s">
        <v>9224</v>
      </c>
      <c r="AP459" t="s">
        <v>9225</v>
      </c>
      <c r="AQ459" t="s">
        <v>74</v>
      </c>
      <c r="AR459" t="s">
        <v>9211</v>
      </c>
      <c r="AS459" t="s">
        <v>9226</v>
      </c>
      <c r="AT459" t="s">
        <v>9003</v>
      </c>
      <c r="AU459">
        <v>2023</v>
      </c>
      <c r="AV459">
        <v>19</v>
      </c>
      <c r="AW459">
        <v>3</v>
      </c>
      <c r="AX459" t="s">
        <v>74</v>
      </c>
      <c r="AY459" t="s">
        <v>74</v>
      </c>
      <c r="AZ459" t="s">
        <v>74</v>
      </c>
      <c r="BA459" t="s">
        <v>74</v>
      </c>
      <c r="BB459" t="s">
        <v>74</v>
      </c>
      <c r="BC459" t="s">
        <v>74</v>
      </c>
      <c r="BD459">
        <v>17</v>
      </c>
      <c r="BE459" t="s">
        <v>9227</v>
      </c>
      <c r="BF459" t="str">
        <f>HYPERLINK("http://dx.doi.org/10.1007/s11306-023-01979-y","http://dx.doi.org/10.1007/s11306-023-01979-y")</f>
        <v>http://dx.doi.org/10.1007/s11306-023-01979-y</v>
      </c>
      <c r="BG459" t="s">
        <v>74</v>
      </c>
      <c r="BH459" t="s">
        <v>74</v>
      </c>
      <c r="BI459">
        <v>15</v>
      </c>
      <c r="BJ459" t="s">
        <v>9228</v>
      </c>
      <c r="BK459" t="s">
        <v>103</v>
      </c>
      <c r="BL459" t="s">
        <v>9228</v>
      </c>
      <c r="BM459" t="s">
        <v>9229</v>
      </c>
      <c r="BN459">
        <v>36892716</v>
      </c>
      <c r="BO459" t="s">
        <v>3168</v>
      </c>
      <c r="BP459" t="s">
        <v>74</v>
      </c>
      <c r="BQ459" t="s">
        <v>74</v>
      </c>
      <c r="BR459" t="s">
        <v>106</v>
      </c>
      <c r="BS459" t="s">
        <v>9230</v>
      </c>
      <c r="BT459" t="str">
        <f>HYPERLINK("https%3A%2F%2Fwww.webofscience.com%2Fwos%2Fwoscc%2Ffull-record%2FWOS:000948434000002","View Full Record in Web of Science")</f>
        <v>View Full Record in Web of Science</v>
      </c>
    </row>
    <row r="460" spans="1:72" x14ac:dyDescent="0.15">
      <c r="A460" t="s">
        <v>72</v>
      </c>
      <c r="B460" t="s">
        <v>9231</v>
      </c>
      <c r="C460" t="s">
        <v>74</v>
      </c>
      <c r="D460" t="s">
        <v>74</v>
      </c>
      <c r="E460" t="s">
        <v>74</v>
      </c>
      <c r="F460" t="s">
        <v>9232</v>
      </c>
      <c r="G460" t="s">
        <v>74</v>
      </c>
      <c r="H460" t="s">
        <v>74</v>
      </c>
      <c r="I460" t="s">
        <v>9233</v>
      </c>
      <c r="J460" t="s">
        <v>1491</v>
      </c>
      <c r="K460" t="s">
        <v>74</v>
      </c>
      <c r="L460" t="s">
        <v>74</v>
      </c>
      <c r="M460" t="s">
        <v>78</v>
      </c>
      <c r="N460" t="s">
        <v>112</v>
      </c>
      <c r="O460" t="s">
        <v>74</v>
      </c>
      <c r="P460" t="s">
        <v>74</v>
      </c>
      <c r="Q460" t="s">
        <v>74</v>
      </c>
      <c r="R460" t="s">
        <v>74</v>
      </c>
      <c r="S460" t="s">
        <v>74</v>
      </c>
      <c r="T460" t="s">
        <v>74</v>
      </c>
      <c r="U460" t="s">
        <v>9234</v>
      </c>
      <c r="V460" t="s">
        <v>9235</v>
      </c>
      <c r="W460" t="s">
        <v>9236</v>
      </c>
      <c r="X460" t="s">
        <v>9237</v>
      </c>
      <c r="Y460" t="s">
        <v>9238</v>
      </c>
      <c r="Z460" t="s">
        <v>9239</v>
      </c>
      <c r="AA460" t="s">
        <v>9240</v>
      </c>
      <c r="AB460" t="s">
        <v>9241</v>
      </c>
      <c r="AC460" t="s">
        <v>9242</v>
      </c>
      <c r="AD460" t="s">
        <v>9243</v>
      </c>
      <c r="AE460" t="s">
        <v>9244</v>
      </c>
      <c r="AF460" t="s">
        <v>74</v>
      </c>
      <c r="AG460">
        <v>57</v>
      </c>
      <c r="AH460">
        <v>24</v>
      </c>
      <c r="AI460">
        <v>24</v>
      </c>
      <c r="AJ460">
        <v>79</v>
      </c>
      <c r="AK460">
        <v>135</v>
      </c>
      <c r="AL460" t="s">
        <v>203</v>
      </c>
      <c r="AM460" t="s">
        <v>204</v>
      </c>
      <c r="AN460" t="s">
        <v>205</v>
      </c>
      <c r="AO460" t="s">
        <v>1502</v>
      </c>
      <c r="AP460" t="s">
        <v>1503</v>
      </c>
      <c r="AQ460" t="s">
        <v>74</v>
      </c>
      <c r="AR460" t="s">
        <v>1491</v>
      </c>
      <c r="AS460" t="s">
        <v>1504</v>
      </c>
      <c r="AT460" t="s">
        <v>9003</v>
      </c>
      <c r="AU460">
        <v>2023</v>
      </c>
      <c r="AV460">
        <v>615</v>
      </c>
      <c r="AW460">
        <v>7951</v>
      </c>
      <c r="AX460" t="s">
        <v>74</v>
      </c>
      <c r="AY460" t="s">
        <v>74</v>
      </c>
      <c r="AZ460" t="s">
        <v>74</v>
      </c>
      <c r="BA460" t="s">
        <v>74</v>
      </c>
      <c r="BB460" t="s">
        <v>74</v>
      </c>
      <c r="BC460" t="s">
        <v>74</v>
      </c>
      <c r="BD460" t="s">
        <v>74</v>
      </c>
      <c r="BE460" t="s">
        <v>9245</v>
      </c>
      <c r="BF460" t="str">
        <f>HYPERLINK("http://dx.doi.org/10.1038/s41586-022-05683-0","http://dx.doi.org/10.1038/s41586-022-05683-0")</f>
        <v>http://dx.doi.org/10.1038/s41586-022-05683-0</v>
      </c>
      <c r="BG460" t="s">
        <v>74</v>
      </c>
      <c r="BH460" t="s">
        <v>74</v>
      </c>
      <c r="BI460">
        <v>16</v>
      </c>
      <c r="BJ460" t="s">
        <v>210</v>
      </c>
      <c r="BK460" t="s">
        <v>103</v>
      </c>
      <c r="BL460" t="s">
        <v>211</v>
      </c>
      <c r="BM460" t="s">
        <v>9246</v>
      </c>
      <c r="BN460">
        <v>36890371</v>
      </c>
      <c r="BO460" t="s">
        <v>1389</v>
      </c>
      <c r="BP460" t="s">
        <v>1849</v>
      </c>
      <c r="BQ460" t="s">
        <v>1850</v>
      </c>
      <c r="BR460" t="s">
        <v>106</v>
      </c>
      <c r="BS460" t="s">
        <v>9247</v>
      </c>
      <c r="BT460" t="str">
        <f>HYPERLINK("https%3A%2F%2Fwww.webofscience.com%2Fwos%2Fwoscc%2Ffull-record%2FWOS:000948834900002","View Full Record in Web of Science")</f>
        <v>View Full Record in Web of Science</v>
      </c>
    </row>
    <row r="461" spans="1:72" x14ac:dyDescent="0.15">
      <c r="A461" t="s">
        <v>72</v>
      </c>
      <c r="B461" t="s">
        <v>9248</v>
      </c>
      <c r="C461" t="s">
        <v>74</v>
      </c>
      <c r="D461" t="s">
        <v>74</v>
      </c>
      <c r="E461" t="s">
        <v>74</v>
      </c>
      <c r="F461" t="s">
        <v>9249</v>
      </c>
      <c r="G461" t="s">
        <v>74</v>
      </c>
      <c r="H461" t="s">
        <v>74</v>
      </c>
      <c r="I461" t="s">
        <v>9250</v>
      </c>
      <c r="J461" t="s">
        <v>9251</v>
      </c>
      <c r="K461" t="s">
        <v>74</v>
      </c>
      <c r="L461" t="s">
        <v>74</v>
      </c>
      <c r="M461" t="s">
        <v>78</v>
      </c>
      <c r="N461" t="s">
        <v>112</v>
      </c>
      <c r="O461" t="s">
        <v>74</v>
      </c>
      <c r="P461" t="s">
        <v>74</v>
      </c>
      <c r="Q461" t="s">
        <v>74</v>
      </c>
      <c r="R461" t="s">
        <v>74</v>
      </c>
      <c r="S461" t="s">
        <v>74</v>
      </c>
      <c r="T461" t="s">
        <v>9252</v>
      </c>
      <c r="U461" t="s">
        <v>9253</v>
      </c>
      <c r="V461" t="s">
        <v>9254</v>
      </c>
      <c r="W461" t="s">
        <v>9255</v>
      </c>
      <c r="X461" t="s">
        <v>9256</v>
      </c>
      <c r="Y461" t="s">
        <v>9257</v>
      </c>
      <c r="Z461" t="s">
        <v>9258</v>
      </c>
      <c r="AA461" t="s">
        <v>9259</v>
      </c>
      <c r="AB461" t="s">
        <v>9260</v>
      </c>
      <c r="AC461" t="s">
        <v>9261</v>
      </c>
      <c r="AD461" t="s">
        <v>9262</v>
      </c>
      <c r="AE461" t="s">
        <v>9263</v>
      </c>
      <c r="AF461" t="s">
        <v>74</v>
      </c>
      <c r="AG461">
        <v>67</v>
      </c>
      <c r="AH461">
        <v>0</v>
      </c>
      <c r="AI461">
        <v>0</v>
      </c>
      <c r="AJ461">
        <v>3</v>
      </c>
      <c r="AK461">
        <v>5</v>
      </c>
      <c r="AL461" t="s">
        <v>9264</v>
      </c>
      <c r="AM461" t="s">
        <v>9265</v>
      </c>
      <c r="AN461" t="s">
        <v>9266</v>
      </c>
      <c r="AO461" t="s">
        <v>74</v>
      </c>
      <c r="AP461" t="s">
        <v>9267</v>
      </c>
      <c r="AQ461" t="s">
        <v>74</v>
      </c>
      <c r="AR461" t="s">
        <v>9268</v>
      </c>
      <c r="AS461" t="s">
        <v>9269</v>
      </c>
      <c r="AT461" t="s">
        <v>74</v>
      </c>
      <c r="AU461">
        <v>2023</v>
      </c>
      <c r="AV461">
        <v>73</v>
      </c>
      <c r="AW461">
        <v>1</v>
      </c>
      <c r="AX461" t="s">
        <v>74</v>
      </c>
      <c r="AY461" t="s">
        <v>74</v>
      </c>
      <c r="AZ461" t="s">
        <v>74</v>
      </c>
      <c r="BA461" t="s">
        <v>74</v>
      </c>
      <c r="BB461">
        <v>60</v>
      </c>
      <c r="BC461">
        <v>76</v>
      </c>
      <c r="BD461" t="s">
        <v>74</v>
      </c>
      <c r="BE461" t="s">
        <v>9270</v>
      </c>
      <c r="BF461" t="str">
        <f>HYPERLINK("http://dx.doi.org/10.1071/ES22002","http://dx.doi.org/10.1071/ES22002")</f>
        <v>http://dx.doi.org/10.1071/ES22002</v>
      </c>
      <c r="BG461" t="s">
        <v>74</v>
      </c>
      <c r="BH461" t="s">
        <v>6218</v>
      </c>
      <c r="BI461">
        <v>17</v>
      </c>
      <c r="BJ461" t="s">
        <v>4434</v>
      </c>
      <c r="BK461" t="s">
        <v>103</v>
      </c>
      <c r="BL461" t="s">
        <v>4434</v>
      </c>
      <c r="BM461" t="s">
        <v>9271</v>
      </c>
      <c r="BN461" t="s">
        <v>74</v>
      </c>
      <c r="BO461" t="s">
        <v>359</v>
      </c>
      <c r="BP461" t="s">
        <v>74</v>
      </c>
      <c r="BQ461" t="s">
        <v>74</v>
      </c>
      <c r="BR461" t="s">
        <v>106</v>
      </c>
      <c r="BS461" t="s">
        <v>9272</v>
      </c>
      <c r="BT461" t="str">
        <f>HYPERLINK("https%3A%2F%2Fwww.webofscience.com%2Fwos%2Fwoscc%2Ffull-record%2FWOS:000946187800001","View Full Record in Web of Science")</f>
        <v>View Full Record in Web of Science</v>
      </c>
    </row>
    <row r="462" spans="1:72" x14ac:dyDescent="0.15">
      <c r="A462" t="s">
        <v>72</v>
      </c>
      <c r="B462" t="s">
        <v>9273</v>
      </c>
      <c r="C462" t="s">
        <v>74</v>
      </c>
      <c r="D462" t="s">
        <v>74</v>
      </c>
      <c r="E462" t="s">
        <v>74</v>
      </c>
      <c r="F462" t="s">
        <v>9274</v>
      </c>
      <c r="G462" t="s">
        <v>74</v>
      </c>
      <c r="H462" t="s">
        <v>74</v>
      </c>
      <c r="I462" t="s">
        <v>9275</v>
      </c>
      <c r="J462" t="s">
        <v>1089</v>
      </c>
      <c r="K462" t="s">
        <v>74</v>
      </c>
      <c r="L462" t="s">
        <v>74</v>
      </c>
      <c r="M462" t="s">
        <v>78</v>
      </c>
      <c r="N462" t="s">
        <v>112</v>
      </c>
      <c r="O462" t="s">
        <v>74</v>
      </c>
      <c r="P462" t="s">
        <v>74</v>
      </c>
      <c r="Q462" t="s">
        <v>74</v>
      </c>
      <c r="R462" t="s">
        <v>74</v>
      </c>
      <c r="S462" t="s">
        <v>74</v>
      </c>
      <c r="T462" t="s">
        <v>9276</v>
      </c>
      <c r="U462" t="s">
        <v>9277</v>
      </c>
      <c r="V462" t="s">
        <v>9278</v>
      </c>
      <c r="W462" t="s">
        <v>9279</v>
      </c>
      <c r="X462" t="s">
        <v>9280</v>
      </c>
      <c r="Y462" t="s">
        <v>9281</v>
      </c>
      <c r="Z462" t="s">
        <v>9282</v>
      </c>
      <c r="AA462" t="s">
        <v>9283</v>
      </c>
      <c r="AB462" t="s">
        <v>9284</v>
      </c>
      <c r="AC462" t="s">
        <v>74</v>
      </c>
      <c r="AD462" t="s">
        <v>74</v>
      </c>
      <c r="AE462" t="s">
        <v>74</v>
      </c>
      <c r="AF462" t="s">
        <v>74</v>
      </c>
      <c r="AG462">
        <v>43</v>
      </c>
      <c r="AH462">
        <v>1</v>
      </c>
      <c r="AI462">
        <v>1</v>
      </c>
      <c r="AJ462">
        <v>1</v>
      </c>
      <c r="AK462">
        <v>5</v>
      </c>
      <c r="AL462" t="s">
        <v>1101</v>
      </c>
      <c r="AM462" t="s">
        <v>1102</v>
      </c>
      <c r="AN462" t="s">
        <v>1103</v>
      </c>
      <c r="AO462" t="s">
        <v>1104</v>
      </c>
      <c r="AP462" t="s">
        <v>1105</v>
      </c>
      <c r="AQ462" t="s">
        <v>74</v>
      </c>
      <c r="AR462" t="s">
        <v>1106</v>
      </c>
      <c r="AS462" t="s">
        <v>1107</v>
      </c>
      <c r="AT462" t="s">
        <v>1108</v>
      </c>
      <c r="AU462">
        <v>2022</v>
      </c>
      <c r="AV462">
        <v>63</v>
      </c>
      <c r="AW462" t="s">
        <v>1109</v>
      </c>
      <c r="AX462" t="s">
        <v>74</v>
      </c>
      <c r="AY462" t="s">
        <v>74</v>
      </c>
      <c r="AZ462" t="s">
        <v>74</v>
      </c>
      <c r="BA462" t="s">
        <v>74</v>
      </c>
      <c r="BB462">
        <v>27</v>
      </c>
      <c r="BC462">
        <v>32</v>
      </c>
      <c r="BD462" t="s">
        <v>9285</v>
      </c>
      <c r="BE462" t="s">
        <v>9286</v>
      </c>
      <c r="BF462" t="str">
        <f>HYPERLINK("http://dx.doi.org/10.1017/aog.2023.6","http://dx.doi.org/10.1017/aog.2023.6")</f>
        <v>http://dx.doi.org/10.1017/aog.2023.6</v>
      </c>
      <c r="BG462" t="s">
        <v>74</v>
      </c>
      <c r="BH462" t="s">
        <v>6218</v>
      </c>
      <c r="BI462">
        <v>6</v>
      </c>
      <c r="BJ462" t="s">
        <v>801</v>
      </c>
      <c r="BK462" t="s">
        <v>103</v>
      </c>
      <c r="BL462" t="s">
        <v>802</v>
      </c>
      <c r="BM462" t="s">
        <v>1112</v>
      </c>
      <c r="BN462" t="s">
        <v>74</v>
      </c>
      <c r="BO462" t="s">
        <v>9287</v>
      </c>
      <c r="BP462" t="s">
        <v>74</v>
      </c>
      <c r="BQ462" t="s">
        <v>74</v>
      </c>
      <c r="BR462" t="s">
        <v>106</v>
      </c>
      <c r="BS462" t="s">
        <v>9288</v>
      </c>
      <c r="BT462" t="str">
        <f>HYPERLINK("https%3A%2F%2Fwww.webofscience.com%2Fwos%2Fwoscc%2Ffull-record%2FWOS:000945702500001","View Full Record in Web of Science")</f>
        <v>View Full Record in Web of Science</v>
      </c>
    </row>
    <row r="463" spans="1:72" x14ac:dyDescent="0.15">
      <c r="A463" t="s">
        <v>72</v>
      </c>
      <c r="B463" t="s">
        <v>9289</v>
      </c>
      <c r="C463" t="s">
        <v>74</v>
      </c>
      <c r="D463" t="s">
        <v>74</v>
      </c>
      <c r="E463" t="s">
        <v>74</v>
      </c>
      <c r="F463" t="s">
        <v>9290</v>
      </c>
      <c r="G463" t="s">
        <v>74</v>
      </c>
      <c r="H463" t="s">
        <v>74</v>
      </c>
      <c r="I463" t="s">
        <v>9291</v>
      </c>
      <c r="J463" t="s">
        <v>9292</v>
      </c>
      <c r="K463" t="s">
        <v>74</v>
      </c>
      <c r="L463" t="s">
        <v>74</v>
      </c>
      <c r="M463" t="s">
        <v>78</v>
      </c>
      <c r="N463" t="s">
        <v>5861</v>
      </c>
      <c r="O463" t="s">
        <v>74</v>
      </c>
      <c r="P463" t="s">
        <v>74</v>
      </c>
      <c r="Q463" t="s">
        <v>74</v>
      </c>
      <c r="R463" t="s">
        <v>74</v>
      </c>
      <c r="S463" t="s">
        <v>74</v>
      </c>
      <c r="T463" t="s">
        <v>9293</v>
      </c>
      <c r="U463" t="s">
        <v>74</v>
      </c>
      <c r="V463" t="s">
        <v>74</v>
      </c>
      <c r="W463" t="s">
        <v>9294</v>
      </c>
      <c r="X463" t="s">
        <v>2244</v>
      </c>
      <c r="Y463" t="s">
        <v>9295</v>
      </c>
      <c r="Z463" t="s">
        <v>74</v>
      </c>
      <c r="AA463" t="s">
        <v>74</v>
      </c>
      <c r="AB463" t="s">
        <v>9296</v>
      </c>
      <c r="AC463" t="s">
        <v>74</v>
      </c>
      <c r="AD463" t="s">
        <v>74</v>
      </c>
      <c r="AE463" t="s">
        <v>74</v>
      </c>
      <c r="AF463" t="s">
        <v>74</v>
      </c>
      <c r="AG463">
        <v>1</v>
      </c>
      <c r="AH463">
        <v>0</v>
      </c>
      <c r="AI463">
        <v>0</v>
      </c>
      <c r="AJ463">
        <v>11</v>
      </c>
      <c r="AK463">
        <v>23</v>
      </c>
      <c r="AL463" t="s">
        <v>2092</v>
      </c>
      <c r="AM463" t="s">
        <v>2093</v>
      </c>
      <c r="AN463" t="s">
        <v>2094</v>
      </c>
      <c r="AO463" t="s">
        <v>9297</v>
      </c>
      <c r="AP463" t="s">
        <v>9298</v>
      </c>
      <c r="AQ463" t="s">
        <v>74</v>
      </c>
      <c r="AR463" t="s">
        <v>9299</v>
      </c>
      <c r="AS463" t="s">
        <v>9300</v>
      </c>
      <c r="AT463" t="s">
        <v>1108</v>
      </c>
      <c r="AU463">
        <v>2023</v>
      </c>
      <c r="AV463">
        <v>24</v>
      </c>
      <c r="AW463">
        <v>5</v>
      </c>
      <c r="AX463" t="s">
        <v>74</v>
      </c>
      <c r="AY463" t="s">
        <v>74</v>
      </c>
      <c r="AZ463" t="s">
        <v>74</v>
      </c>
      <c r="BA463" t="s">
        <v>74</v>
      </c>
      <c r="BB463">
        <v>709</v>
      </c>
      <c r="BC463">
        <v>710</v>
      </c>
      <c r="BD463" t="s">
        <v>74</v>
      </c>
      <c r="BE463" t="s">
        <v>9301</v>
      </c>
      <c r="BF463" t="str">
        <f>HYPERLINK("http://dx.doi.org/10.1111/faf.12739","http://dx.doi.org/10.1111/faf.12739")</f>
        <v>http://dx.doi.org/10.1111/faf.12739</v>
      </c>
      <c r="BG463" t="s">
        <v>74</v>
      </c>
      <c r="BH463" t="s">
        <v>6218</v>
      </c>
      <c r="BI463">
        <v>2</v>
      </c>
      <c r="BJ463" t="s">
        <v>3222</v>
      </c>
      <c r="BK463" t="s">
        <v>103</v>
      </c>
      <c r="BL463" t="s">
        <v>3222</v>
      </c>
      <c r="BM463" t="s">
        <v>9302</v>
      </c>
      <c r="BN463" t="s">
        <v>74</v>
      </c>
      <c r="BO463" t="s">
        <v>74</v>
      </c>
      <c r="BP463" t="s">
        <v>74</v>
      </c>
      <c r="BQ463" t="s">
        <v>74</v>
      </c>
      <c r="BR463" t="s">
        <v>106</v>
      </c>
      <c r="BS463" t="s">
        <v>9303</v>
      </c>
      <c r="BT463" t="str">
        <f>HYPERLINK("https%3A%2F%2Fwww.webofscience.com%2Fwos%2Fwoscc%2Ffull-record%2FWOS:000946242800001","View Full Record in Web of Science")</f>
        <v>View Full Record in Web of Science</v>
      </c>
    </row>
    <row r="464" spans="1:72" x14ac:dyDescent="0.15">
      <c r="A464" t="s">
        <v>72</v>
      </c>
      <c r="B464" t="s">
        <v>9304</v>
      </c>
      <c r="C464" t="s">
        <v>74</v>
      </c>
      <c r="D464" t="s">
        <v>74</v>
      </c>
      <c r="E464" t="s">
        <v>74</v>
      </c>
      <c r="F464" t="s">
        <v>9305</v>
      </c>
      <c r="G464" t="s">
        <v>74</v>
      </c>
      <c r="H464" t="s">
        <v>74</v>
      </c>
      <c r="I464" t="s">
        <v>9306</v>
      </c>
      <c r="J464" t="s">
        <v>435</v>
      </c>
      <c r="K464" t="s">
        <v>74</v>
      </c>
      <c r="L464" t="s">
        <v>74</v>
      </c>
      <c r="M464" t="s">
        <v>78</v>
      </c>
      <c r="N464" t="s">
        <v>112</v>
      </c>
      <c r="O464" t="s">
        <v>74</v>
      </c>
      <c r="P464" t="s">
        <v>74</v>
      </c>
      <c r="Q464" t="s">
        <v>74</v>
      </c>
      <c r="R464" t="s">
        <v>74</v>
      </c>
      <c r="S464" t="s">
        <v>74</v>
      </c>
      <c r="T464" t="s">
        <v>9307</v>
      </c>
      <c r="U464" t="s">
        <v>9308</v>
      </c>
      <c r="V464" t="s">
        <v>9309</v>
      </c>
      <c r="W464" t="s">
        <v>9310</v>
      </c>
      <c r="X464" t="s">
        <v>9311</v>
      </c>
      <c r="Y464" t="s">
        <v>9312</v>
      </c>
      <c r="Z464" t="s">
        <v>9313</v>
      </c>
      <c r="AA464" t="s">
        <v>9314</v>
      </c>
      <c r="AB464" t="s">
        <v>9315</v>
      </c>
      <c r="AC464" t="s">
        <v>9316</v>
      </c>
      <c r="AD464" t="s">
        <v>9317</v>
      </c>
      <c r="AE464" t="s">
        <v>9318</v>
      </c>
      <c r="AF464" t="s">
        <v>74</v>
      </c>
      <c r="AG464">
        <v>78</v>
      </c>
      <c r="AH464">
        <v>0</v>
      </c>
      <c r="AI464">
        <v>0</v>
      </c>
      <c r="AJ464">
        <v>2</v>
      </c>
      <c r="AK464">
        <v>5</v>
      </c>
      <c r="AL464" t="s">
        <v>447</v>
      </c>
      <c r="AM464" t="s">
        <v>448</v>
      </c>
      <c r="AN464" t="s">
        <v>449</v>
      </c>
      <c r="AO464" t="s">
        <v>450</v>
      </c>
      <c r="AP464" t="s">
        <v>451</v>
      </c>
      <c r="AQ464" t="s">
        <v>74</v>
      </c>
      <c r="AR464" t="s">
        <v>452</v>
      </c>
      <c r="AS464" t="s">
        <v>453</v>
      </c>
      <c r="AT464" t="s">
        <v>131</v>
      </c>
      <c r="AU464">
        <v>2023</v>
      </c>
      <c r="AV464">
        <v>617</v>
      </c>
      <c r="AW464" t="s">
        <v>74</v>
      </c>
      <c r="AX464" t="s">
        <v>74</v>
      </c>
      <c r="AY464" t="s">
        <v>74</v>
      </c>
      <c r="AZ464" t="s">
        <v>74</v>
      </c>
      <c r="BA464" t="s">
        <v>74</v>
      </c>
      <c r="BB464" t="s">
        <v>74</v>
      </c>
      <c r="BC464" t="s">
        <v>74</v>
      </c>
      <c r="BD464">
        <v>111474</v>
      </c>
      <c r="BE464" t="s">
        <v>9319</v>
      </c>
      <c r="BF464" t="str">
        <f>HYPERLINK("http://dx.doi.org/10.1016/j.palaeo.2023.111474","http://dx.doi.org/10.1016/j.palaeo.2023.111474")</f>
        <v>http://dx.doi.org/10.1016/j.palaeo.2023.111474</v>
      </c>
      <c r="BG464" t="s">
        <v>74</v>
      </c>
      <c r="BH464" t="s">
        <v>6218</v>
      </c>
      <c r="BI464">
        <v>12</v>
      </c>
      <c r="BJ464" t="s">
        <v>456</v>
      </c>
      <c r="BK464" t="s">
        <v>103</v>
      </c>
      <c r="BL464" t="s">
        <v>457</v>
      </c>
      <c r="BM464" t="s">
        <v>9320</v>
      </c>
      <c r="BN464" t="s">
        <v>74</v>
      </c>
      <c r="BO464" t="s">
        <v>74</v>
      </c>
      <c r="BP464" t="s">
        <v>74</v>
      </c>
      <c r="BQ464" t="s">
        <v>74</v>
      </c>
      <c r="BR464" t="s">
        <v>106</v>
      </c>
      <c r="BS464" t="s">
        <v>9321</v>
      </c>
      <c r="BT464" t="str">
        <f>HYPERLINK("https%3A%2F%2Fwww.webofscience.com%2Fwos%2Fwoscc%2Ffull-record%2FWOS:001031385700001","View Full Record in Web of Science")</f>
        <v>View Full Record in Web of Science</v>
      </c>
    </row>
    <row r="465" spans="1:72" x14ac:dyDescent="0.15">
      <c r="A465" t="s">
        <v>72</v>
      </c>
      <c r="B465" t="s">
        <v>6941</v>
      </c>
      <c r="C465" t="s">
        <v>74</v>
      </c>
      <c r="D465" t="s">
        <v>74</v>
      </c>
      <c r="E465" t="s">
        <v>74</v>
      </c>
      <c r="F465" t="s">
        <v>6942</v>
      </c>
      <c r="G465" t="s">
        <v>74</v>
      </c>
      <c r="H465" t="s">
        <v>74</v>
      </c>
      <c r="I465" t="s">
        <v>9322</v>
      </c>
      <c r="J465" t="s">
        <v>194</v>
      </c>
      <c r="K465" t="s">
        <v>74</v>
      </c>
      <c r="L465" t="s">
        <v>74</v>
      </c>
      <c r="M465" t="s">
        <v>78</v>
      </c>
      <c r="N465" t="s">
        <v>112</v>
      </c>
      <c r="O465" t="s">
        <v>74</v>
      </c>
      <c r="P465" t="s">
        <v>74</v>
      </c>
      <c r="Q465" t="s">
        <v>74</v>
      </c>
      <c r="R465" t="s">
        <v>74</v>
      </c>
      <c r="S465" t="s">
        <v>74</v>
      </c>
      <c r="T465" t="s">
        <v>74</v>
      </c>
      <c r="U465" t="s">
        <v>9323</v>
      </c>
      <c r="V465" t="s">
        <v>9324</v>
      </c>
      <c r="W465" t="s">
        <v>9325</v>
      </c>
      <c r="X465" t="s">
        <v>9326</v>
      </c>
      <c r="Y465" t="s">
        <v>9327</v>
      </c>
      <c r="Z465" t="s">
        <v>6944</v>
      </c>
      <c r="AA465" t="s">
        <v>6945</v>
      </c>
      <c r="AB465" t="s">
        <v>74</v>
      </c>
      <c r="AC465" t="s">
        <v>74</v>
      </c>
      <c r="AD465" t="s">
        <v>74</v>
      </c>
      <c r="AE465" t="s">
        <v>74</v>
      </c>
      <c r="AF465" t="s">
        <v>74</v>
      </c>
      <c r="AG465">
        <v>30</v>
      </c>
      <c r="AH465">
        <v>7</v>
      </c>
      <c r="AI465">
        <v>8</v>
      </c>
      <c r="AJ465">
        <v>2</v>
      </c>
      <c r="AK465">
        <v>3</v>
      </c>
      <c r="AL465" t="s">
        <v>203</v>
      </c>
      <c r="AM465" t="s">
        <v>204</v>
      </c>
      <c r="AN465" t="s">
        <v>205</v>
      </c>
      <c r="AO465" t="s">
        <v>206</v>
      </c>
      <c r="AP465" t="s">
        <v>74</v>
      </c>
      <c r="AQ465" t="s">
        <v>74</v>
      </c>
      <c r="AR465" t="s">
        <v>207</v>
      </c>
      <c r="AS465" t="s">
        <v>208</v>
      </c>
      <c r="AT465" t="s">
        <v>9328</v>
      </c>
      <c r="AU465">
        <v>2023</v>
      </c>
      <c r="AV465">
        <v>13</v>
      </c>
      <c r="AW465">
        <v>1</v>
      </c>
      <c r="AX465" t="s">
        <v>74</v>
      </c>
      <c r="AY465" t="s">
        <v>74</v>
      </c>
      <c r="AZ465" t="s">
        <v>74</v>
      </c>
      <c r="BA465" t="s">
        <v>74</v>
      </c>
      <c r="BB465" t="s">
        <v>74</v>
      </c>
      <c r="BC465" t="s">
        <v>74</v>
      </c>
      <c r="BD465">
        <v>3873</v>
      </c>
      <c r="BE465" t="s">
        <v>9329</v>
      </c>
      <c r="BF465" t="str">
        <f>HYPERLINK("http://dx.doi.org/10.1038/s41598-023-31008-w","http://dx.doi.org/10.1038/s41598-023-31008-w")</f>
        <v>http://dx.doi.org/10.1038/s41598-023-31008-w</v>
      </c>
      <c r="BG465" t="s">
        <v>74</v>
      </c>
      <c r="BH465" t="s">
        <v>74</v>
      </c>
      <c r="BI465">
        <v>9</v>
      </c>
      <c r="BJ465" t="s">
        <v>210</v>
      </c>
      <c r="BK465" t="s">
        <v>103</v>
      </c>
      <c r="BL465" t="s">
        <v>211</v>
      </c>
      <c r="BM465" t="s">
        <v>9330</v>
      </c>
      <c r="BN465">
        <v>36890202</v>
      </c>
      <c r="BO465" t="s">
        <v>7702</v>
      </c>
      <c r="BP465" t="s">
        <v>74</v>
      </c>
      <c r="BQ465" t="s">
        <v>74</v>
      </c>
      <c r="BR465" t="s">
        <v>106</v>
      </c>
      <c r="BS465" t="s">
        <v>9331</v>
      </c>
      <c r="BT465" t="str">
        <f>HYPERLINK("https%3A%2F%2Fwww.webofscience.com%2Fwos%2Fwoscc%2Ffull-record%2FWOS:000985158100052","View Full Record in Web of Science")</f>
        <v>View Full Record in Web of Science</v>
      </c>
    </row>
    <row r="466" spans="1:72" x14ac:dyDescent="0.15">
      <c r="A466" t="s">
        <v>72</v>
      </c>
      <c r="B466" t="s">
        <v>9332</v>
      </c>
      <c r="C466" t="s">
        <v>74</v>
      </c>
      <c r="D466" t="s">
        <v>74</v>
      </c>
      <c r="E466" t="s">
        <v>74</v>
      </c>
      <c r="F466" t="s">
        <v>9333</v>
      </c>
      <c r="G466" t="s">
        <v>74</v>
      </c>
      <c r="H466" t="s">
        <v>74</v>
      </c>
      <c r="I466" t="s">
        <v>9334</v>
      </c>
      <c r="J466" t="s">
        <v>9335</v>
      </c>
      <c r="K466" t="s">
        <v>74</v>
      </c>
      <c r="L466" t="s">
        <v>74</v>
      </c>
      <c r="M466" t="s">
        <v>78</v>
      </c>
      <c r="N466" t="s">
        <v>112</v>
      </c>
      <c r="O466" t="s">
        <v>74</v>
      </c>
      <c r="P466" t="s">
        <v>74</v>
      </c>
      <c r="Q466" t="s">
        <v>74</v>
      </c>
      <c r="R466" t="s">
        <v>74</v>
      </c>
      <c r="S466" t="s">
        <v>74</v>
      </c>
      <c r="T466" t="s">
        <v>9336</v>
      </c>
      <c r="U466" t="s">
        <v>9337</v>
      </c>
      <c r="V466" t="s">
        <v>9338</v>
      </c>
      <c r="W466" t="s">
        <v>9339</v>
      </c>
      <c r="X466" t="s">
        <v>9340</v>
      </c>
      <c r="Y466" t="s">
        <v>9341</v>
      </c>
      <c r="Z466" t="s">
        <v>9342</v>
      </c>
      <c r="AA466" t="s">
        <v>74</v>
      </c>
      <c r="AB466" t="s">
        <v>74</v>
      </c>
      <c r="AC466" t="s">
        <v>9343</v>
      </c>
      <c r="AD466" t="s">
        <v>9344</v>
      </c>
      <c r="AE466" t="s">
        <v>9345</v>
      </c>
      <c r="AF466" t="s">
        <v>74</v>
      </c>
      <c r="AG466">
        <v>38</v>
      </c>
      <c r="AH466">
        <v>5</v>
      </c>
      <c r="AI466">
        <v>5</v>
      </c>
      <c r="AJ466">
        <v>10</v>
      </c>
      <c r="AK466">
        <v>25</v>
      </c>
      <c r="AL466" t="s">
        <v>377</v>
      </c>
      <c r="AM466" t="s">
        <v>378</v>
      </c>
      <c r="AN466" t="s">
        <v>379</v>
      </c>
      <c r="AO466" t="s">
        <v>9346</v>
      </c>
      <c r="AP466" t="s">
        <v>9347</v>
      </c>
      <c r="AQ466" t="s">
        <v>74</v>
      </c>
      <c r="AR466" t="s">
        <v>9348</v>
      </c>
      <c r="AS466" t="s">
        <v>9349</v>
      </c>
      <c r="AT466" t="s">
        <v>1437</v>
      </c>
      <c r="AU466">
        <v>2023</v>
      </c>
      <c r="AV466">
        <v>30</v>
      </c>
      <c r="AW466">
        <v>19</v>
      </c>
      <c r="AX466" t="s">
        <v>74</v>
      </c>
      <c r="AY466" t="s">
        <v>74</v>
      </c>
      <c r="AZ466" t="s">
        <v>74</v>
      </c>
      <c r="BA466" t="s">
        <v>74</v>
      </c>
      <c r="BB466">
        <v>55057</v>
      </c>
      <c r="BC466">
        <v>55066</v>
      </c>
      <c r="BD466" t="s">
        <v>74</v>
      </c>
      <c r="BE466" t="s">
        <v>9350</v>
      </c>
      <c r="BF466" t="str">
        <f>HYPERLINK("http://dx.doi.org/10.1007/s11356-023-26049-7","http://dx.doi.org/10.1007/s11356-023-26049-7")</f>
        <v>http://dx.doi.org/10.1007/s11356-023-26049-7</v>
      </c>
      <c r="BG466" t="s">
        <v>74</v>
      </c>
      <c r="BH466" t="s">
        <v>6218</v>
      </c>
      <c r="BI466">
        <v>10</v>
      </c>
      <c r="BJ466" t="s">
        <v>1163</v>
      </c>
      <c r="BK466" t="s">
        <v>103</v>
      </c>
      <c r="BL466" t="s">
        <v>1164</v>
      </c>
      <c r="BM466" t="s">
        <v>9351</v>
      </c>
      <c r="BN466">
        <v>36884168</v>
      </c>
      <c r="BO466" t="s">
        <v>74</v>
      </c>
      <c r="BP466" t="s">
        <v>74</v>
      </c>
      <c r="BQ466" t="s">
        <v>74</v>
      </c>
      <c r="BR466" t="s">
        <v>106</v>
      </c>
      <c r="BS466" t="s">
        <v>9352</v>
      </c>
      <c r="BT466" t="str">
        <f>HYPERLINK("https%3A%2F%2Fwww.webofscience.com%2Fwos%2Fwoscc%2Ffull-record%2FWOS:000946226900002","View Full Record in Web of Science")</f>
        <v>View Full Record in Web of Science</v>
      </c>
    </row>
    <row r="467" spans="1:72" x14ac:dyDescent="0.15">
      <c r="A467" t="s">
        <v>72</v>
      </c>
      <c r="B467" t="s">
        <v>9353</v>
      </c>
      <c r="C467" t="s">
        <v>74</v>
      </c>
      <c r="D467" t="s">
        <v>74</v>
      </c>
      <c r="E467" t="s">
        <v>74</v>
      </c>
      <c r="F467" t="s">
        <v>9354</v>
      </c>
      <c r="G467" t="s">
        <v>74</v>
      </c>
      <c r="H467" t="s">
        <v>74</v>
      </c>
      <c r="I467" t="s">
        <v>9355</v>
      </c>
      <c r="J467" t="s">
        <v>1685</v>
      </c>
      <c r="K467" t="s">
        <v>74</v>
      </c>
      <c r="L467" t="s">
        <v>74</v>
      </c>
      <c r="M467" t="s">
        <v>78</v>
      </c>
      <c r="N467" t="s">
        <v>112</v>
      </c>
      <c r="O467" t="s">
        <v>74</v>
      </c>
      <c r="P467" t="s">
        <v>74</v>
      </c>
      <c r="Q467" t="s">
        <v>74</v>
      </c>
      <c r="R467" t="s">
        <v>74</v>
      </c>
      <c r="S467" t="s">
        <v>74</v>
      </c>
      <c r="T467" t="s">
        <v>74</v>
      </c>
      <c r="U467" t="s">
        <v>9356</v>
      </c>
      <c r="V467" t="s">
        <v>9357</v>
      </c>
      <c r="W467" t="s">
        <v>9358</v>
      </c>
      <c r="X467" t="s">
        <v>9359</v>
      </c>
      <c r="Y467" t="s">
        <v>9360</v>
      </c>
      <c r="Z467" t="s">
        <v>9361</v>
      </c>
      <c r="AA467" t="s">
        <v>9362</v>
      </c>
      <c r="AB467" t="s">
        <v>9363</v>
      </c>
      <c r="AC467" t="s">
        <v>9364</v>
      </c>
      <c r="AD467" t="s">
        <v>9365</v>
      </c>
      <c r="AE467" t="s">
        <v>9366</v>
      </c>
      <c r="AF467" t="s">
        <v>74</v>
      </c>
      <c r="AG467">
        <v>73</v>
      </c>
      <c r="AH467">
        <v>1</v>
      </c>
      <c r="AI467">
        <v>1</v>
      </c>
      <c r="AJ467">
        <v>3</v>
      </c>
      <c r="AK467">
        <v>30</v>
      </c>
      <c r="AL467" t="s">
        <v>203</v>
      </c>
      <c r="AM467" t="s">
        <v>204</v>
      </c>
      <c r="AN467" t="s">
        <v>205</v>
      </c>
      <c r="AO467" t="s">
        <v>74</v>
      </c>
      <c r="AP467" t="s">
        <v>1696</v>
      </c>
      <c r="AQ467" t="s">
        <v>74</v>
      </c>
      <c r="AR467" t="s">
        <v>1697</v>
      </c>
      <c r="AS467" t="s">
        <v>1698</v>
      </c>
      <c r="AT467" t="s">
        <v>9328</v>
      </c>
      <c r="AU467">
        <v>2023</v>
      </c>
      <c r="AV467">
        <v>14</v>
      </c>
      <c r="AW467">
        <v>1</v>
      </c>
      <c r="AX467" t="s">
        <v>74</v>
      </c>
      <c r="AY467" t="s">
        <v>74</v>
      </c>
      <c r="AZ467" t="s">
        <v>74</v>
      </c>
      <c r="BA467" t="s">
        <v>74</v>
      </c>
      <c r="BB467" t="s">
        <v>74</v>
      </c>
      <c r="BC467" t="s">
        <v>74</v>
      </c>
      <c r="BD467">
        <v>1278</v>
      </c>
      <c r="BE467" t="s">
        <v>9367</v>
      </c>
      <c r="BF467" t="str">
        <f>HYPERLINK("http://dx.doi.org/10.1038/s41467-023-36954-7","http://dx.doi.org/10.1038/s41467-023-36954-7")</f>
        <v>http://dx.doi.org/10.1038/s41467-023-36954-7</v>
      </c>
      <c r="BG467" t="s">
        <v>74</v>
      </c>
      <c r="BH467" t="s">
        <v>74</v>
      </c>
      <c r="BI467">
        <v>11</v>
      </c>
      <c r="BJ467" t="s">
        <v>210</v>
      </c>
      <c r="BK467" t="s">
        <v>103</v>
      </c>
      <c r="BL467" t="s">
        <v>211</v>
      </c>
      <c r="BM467" t="s">
        <v>9368</v>
      </c>
      <c r="BN467">
        <v>36890139</v>
      </c>
      <c r="BO467" t="s">
        <v>6496</v>
      </c>
      <c r="BP467" t="s">
        <v>74</v>
      </c>
      <c r="BQ467" t="s">
        <v>74</v>
      </c>
      <c r="BR467" t="s">
        <v>106</v>
      </c>
      <c r="BS467" t="s">
        <v>9369</v>
      </c>
      <c r="BT467" t="str">
        <f>HYPERLINK("https%3A%2F%2Fwww.webofscience.com%2Fwos%2Fwoscc%2Ffull-record%2FWOS:000946171000007","View Full Record in Web of Science")</f>
        <v>View Full Record in Web of Science</v>
      </c>
    </row>
    <row r="468" spans="1:72" x14ac:dyDescent="0.15">
      <c r="A468" t="s">
        <v>72</v>
      </c>
      <c r="B468" t="s">
        <v>9370</v>
      </c>
      <c r="C468" t="s">
        <v>74</v>
      </c>
      <c r="D468" t="s">
        <v>74</v>
      </c>
      <c r="E468" t="s">
        <v>74</v>
      </c>
      <c r="F468" t="s">
        <v>9371</v>
      </c>
      <c r="G468" t="s">
        <v>74</v>
      </c>
      <c r="H468" t="s">
        <v>74</v>
      </c>
      <c r="I468" t="s">
        <v>9372</v>
      </c>
      <c r="J468" t="s">
        <v>1753</v>
      </c>
      <c r="K468" t="s">
        <v>74</v>
      </c>
      <c r="L468" t="s">
        <v>74</v>
      </c>
      <c r="M468" t="s">
        <v>78</v>
      </c>
      <c r="N468" t="s">
        <v>1754</v>
      </c>
      <c r="O468" t="s">
        <v>74</v>
      </c>
      <c r="P468" t="s">
        <v>74</v>
      </c>
      <c r="Q468" t="s">
        <v>74</v>
      </c>
      <c r="R468" t="s">
        <v>74</v>
      </c>
      <c r="S468" t="s">
        <v>74</v>
      </c>
      <c r="T468" t="s">
        <v>9373</v>
      </c>
      <c r="U468" t="s">
        <v>9374</v>
      </c>
      <c r="V468" t="s">
        <v>9375</v>
      </c>
      <c r="W468" t="s">
        <v>9376</v>
      </c>
      <c r="X468" t="s">
        <v>9377</v>
      </c>
      <c r="Y468" t="s">
        <v>9378</v>
      </c>
      <c r="Z468" t="s">
        <v>9379</v>
      </c>
      <c r="AA468" t="s">
        <v>74</v>
      </c>
      <c r="AB468" t="s">
        <v>74</v>
      </c>
      <c r="AC468" t="s">
        <v>9380</v>
      </c>
      <c r="AD468" t="s">
        <v>9381</v>
      </c>
      <c r="AE468" t="s">
        <v>9382</v>
      </c>
      <c r="AF468" t="s">
        <v>74</v>
      </c>
      <c r="AG468">
        <v>51</v>
      </c>
      <c r="AH468">
        <v>2</v>
      </c>
      <c r="AI468">
        <v>2</v>
      </c>
      <c r="AJ468">
        <v>2</v>
      </c>
      <c r="AK468">
        <v>5</v>
      </c>
      <c r="AL468" t="s">
        <v>768</v>
      </c>
      <c r="AM468" t="s">
        <v>179</v>
      </c>
      <c r="AN468" t="s">
        <v>769</v>
      </c>
      <c r="AO468" t="s">
        <v>1766</v>
      </c>
      <c r="AP468" t="s">
        <v>1767</v>
      </c>
      <c r="AQ468" t="s">
        <v>74</v>
      </c>
      <c r="AR468" t="s">
        <v>1768</v>
      </c>
      <c r="AS468" t="s">
        <v>1769</v>
      </c>
      <c r="AT468" t="s">
        <v>9383</v>
      </c>
      <c r="AU468">
        <v>2023</v>
      </c>
      <c r="AV468" t="s">
        <v>74</v>
      </c>
      <c r="AW468" t="s">
        <v>74</v>
      </c>
      <c r="AX468" t="s">
        <v>74</v>
      </c>
      <c r="AY468" t="s">
        <v>74</v>
      </c>
      <c r="AZ468" t="s">
        <v>74</v>
      </c>
      <c r="BA468" t="s">
        <v>74</v>
      </c>
      <c r="BB468" t="s">
        <v>74</v>
      </c>
      <c r="BC468" t="s">
        <v>74</v>
      </c>
      <c r="BD468" t="s">
        <v>74</v>
      </c>
      <c r="BE468" t="s">
        <v>9384</v>
      </c>
      <c r="BF468" t="str">
        <f>HYPERLINK("http://dx.doi.org/10.1007/s00382-023-06737-3","http://dx.doi.org/10.1007/s00382-023-06737-3")</f>
        <v>http://dx.doi.org/10.1007/s00382-023-06737-3</v>
      </c>
      <c r="BG468" t="s">
        <v>74</v>
      </c>
      <c r="BH468" t="s">
        <v>6218</v>
      </c>
      <c r="BI468">
        <v>13</v>
      </c>
      <c r="BJ468" t="s">
        <v>102</v>
      </c>
      <c r="BK468" t="s">
        <v>103</v>
      </c>
      <c r="BL468" t="s">
        <v>102</v>
      </c>
      <c r="BM468" t="s">
        <v>9385</v>
      </c>
      <c r="BN468" t="s">
        <v>74</v>
      </c>
      <c r="BO468" t="s">
        <v>9386</v>
      </c>
      <c r="BP468" t="s">
        <v>74</v>
      </c>
      <c r="BQ468" t="s">
        <v>74</v>
      </c>
      <c r="BR468" t="s">
        <v>106</v>
      </c>
      <c r="BS468" t="s">
        <v>9387</v>
      </c>
      <c r="BT468" t="str">
        <f>HYPERLINK("https%3A%2F%2Fwww.webofscience.com%2Fwos%2Fwoscc%2Ffull-record%2FWOS:000945778100001","View Full Record in Web of Science")</f>
        <v>View Full Record in Web of Science</v>
      </c>
    </row>
    <row r="469" spans="1:72" x14ac:dyDescent="0.15">
      <c r="A469" t="s">
        <v>72</v>
      </c>
      <c r="B469" t="s">
        <v>9388</v>
      </c>
      <c r="C469" t="s">
        <v>74</v>
      </c>
      <c r="D469" t="s">
        <v>74</v>
      </c>
      <c r="E469" t="s">
        <v>74</v>
      </c>
      <c r="F469" t="s">
        <v>9389</v>
      </c>
      <c r="G469" t="s">
        <v>74</v>
      </c>
      <c r="H469" t="s">
        <v>74</v>
      </c>
      <c r="I469" t="s">
        <v>9390</v>
      </c>
      <c r="J469" t="s">
        <v>9391</v>
      </c>
      <c r="K469" t="s">
        <v>74</v>
      </c>
      <c r="L469" t="s">
        <v>74</v>
      </c>
      <c r="M469" t="s">
        <v>78</v>
      </c>
      <c r="N469" t="s">
        <v>112</v>
      </c>
      <c r="O469" t="s">
        <v>74</v>
      </c>
      <c r="P469" t="s">
        <v>74</v>
      </c>
      <c r="Q469" t="s">
        <v>74</v>
      </c>
      <c r="R469" t="s">
        <v>74</v>
      </c>
      <c r="S469" t="s">
        <v>74</v>
      </c>
      <c r="T469" t="s">
        <v>9392</v>
      </c>
      <c r="U469" t="s">
        <v>9393</v>
      </c>
      <c r="V469" t="s">
        <v>9394</v>
      </c>
      <c r="W469" t="s">
        <v>9395</v>
      </c>
      <c r="X469" t="s">
        <v>9396</v>
      </c>
      <c r="Y469" t="s">
        <v>9397</v>
      </c>
      <c r="Z469" t="s">
        <v>9398</v>
      </c>
      <c r="AA469" t="s">
        <v>9399</v>
      </c>
      <c r="AB469" t="s">
        <v>9400</v>
      </c>
      <c r="AC469" t="s">
        <v>9401</v>
      </c>
      <c r="AD469" t="s">
        <v>3117</v>
      </c>
      <c r="AE469" t="s">
        <v>9402</v>
      </c>
      <c r="AF469" t="s">
        <v>74</v>
      </c>
      <c r="AG469">
        <v>27</v>
      </c>
      <c r="AH469">
        <v>3</v>
      </c>
      <c r="AI469">
        <v>3</v>
      </c>
      <c r="AJ469">
        <v>7</v>
      </c>
      <c r="AK469">
        <v>19</v>
      </c>
      <c r="AL469" t="s">
        <v>2092</v>
      </c>
      <c r="AM469" t="s">
        <v>2093</v>
      </c>
      <c r="AN469" t="s">
        <v>2094</v>
      </c>
      <c r="AO469" t="s">
        <v>9403</v>
      </c>
      <c r="AP469" t="s">
        <v>9404</v>
      </c>
      <c r="AQ469" t="s">
        <v>74</v>
      </c>
      <c r="AR469" t="s">
        <v>9405</v>
      </c>
      <c r="AS469" t="s">
        <v>9406</v>
      </c>
      <c r="AT469" t="s">
        <v>1437</v>
      </c>
      <c r="AU469">
        <v>2023</v>
      </c>
      <c r="AV469">
        <v>67</v>
      </c>
      <c r="AW469">
        <v>8</v>
      </c>
      <c r="AX469" t="s">
        <v>74</v>
      </c>
      <c r="AY469" t="s">
        <v>74</v>
      </c>
      <c r="AZ469" t="s">
        <v>74</v>
      </c>
      <c r="BA469" t="s">
        <v>74</v>
      </c>
      <c r="BB469" t="s">
        <v>74</v>
      </c>
      <c r="BC469" t="s">
        <v>74</v>
      </c>
      <c r="BD469" t="s">
        <v>74</v>
      </c>
      <c r="BE469" t="s">
        <v>9407</v>
      </c>
      <c r="BF469" t="str">
        <f>HYPERLINK("http://dx.doi.org/10.1002/mnfr.202200825","http://dx.doi.org/10.1002/mnfr.202200825")</f>
        <v>http://dx.doi.org/10.1002/mnfr.202200825</v>
      </c>
      <c r="BG469" t="s">
        <v>74</v>
      </c>
      <c r="BH469" t="s">
        <v>6218</v>
      </c>
      <c r="BI469">
        <v>6</v>
      </c>
      <c r="BJ469" t="s">
        <v>1528</v>
      </c>
      <c r="BK469" t="s">
        <v>103</v>
      </c>
      <c r="BL469" t="s">
        <v>1528</v>
      </c>
      <c r="BM469" t="s">
        <v>9408</v>
      </c>
      <c r="BN469">
        <v>36815232</v>
      </c>
      <c r="BO469" t="s">
        <v>74</v>
      </c>
      <c r="BP469" t="s">
        <v>74</v>
      </c>
      <c r="BQ469" t="s">
        <v>74</v>
      </c>
      <c r="BR469" t="s">
        <v>106</v>
      </c>
      <c r="BS469" t="s">
        <v>9409</v>
      </c>
      <c r="BT469" t="str">
        <f>HYPERLINK("https%3A%2F%2Fwww.webofscience.com%2Fwos%2Fwoscc%2Ffull-record%2FWOS:000945568500001","View Full Record in Web of Science")</f>
        <v>View Full Record in Web of Science</v>
      </c>
    </row>
    <row r="470" spans="1:72" x14ac:dyDescent="0.15">
      <c r="A470" t="s">
        <v>72</v>
      </c>
      <c r="B470" t="s">
        <v>9410</v>
      </c>
      <c r="C470" t="s">
        <v>74</v>
      </c>
      <c r="D470" t="s">
        <v>74</v>
      </c>
      <c r="E470" t="s">
        <v>74</v>
      </c>
      <c r="F470" t="s">
        <v>9411</v>
      </c>
      <c r="G470" t="s">
        <v>74</v>
      </c>
      <c r="H470" t="s">
        <v>74</v>
      </c>
      <c r="I470" t="s">
        <v>9412</v>
      </c>
      <c r="J470" t="s">
        <v>3485</v>
      </c>
      <c r="K470" t="s">
        <v>74</v>
      </c>
      <c r="L470" t="s">
        <v>74</v>
      </c>
      <c r="M470" t="s">
        <v>78</v>
      </c>
      <c r="N470" t="s">
        <v>112</v>
      </c>
      <c r="O470" t="s">
        <v>74</v>
      </c>
      <c r="P470" t="s">
        <v>74</v>
      </c>
      <c r="Q470" t="s">
        <v>74</v>
      </c>
      <c r="R470" t="s">
        <v>74</v>
      </c>
      <c r="S470" t="s">
        <v>74</v>
      </c>
      <c r="T470" t="s">
        <v>9413</v>
      </c>
      <c r="U470" t="s">
        <v>9414</v>
      </c>
      <c r="V470" t="s">
        <v>9415</v>
      </c>
      <c r="W470" t="s">
        <v>74</v>
      </c>
      <c r="X470" t="s">
        <v>74</v>
      </c>
      <c r="Y470" t="s">
        <v>74</v>
      </c>
      <c r="Z470" t="s">
        <v>9416</v>
      </c>
      <c r="AA470" t="s">
        <v>9417</v>
      </c>
      <c r="AB470" t="s">
        <v>9418</v>
      </c>
      <c r="AC470" t="s">
        <v>9419</v>
      </c>
      <c r="AD470" t="s">
        <v>9420</v>
      </c>
      <c r="AE470" t="s">
        <v>9421</v>
      </c>
      <c r="AF470" t="s">
        <v>74</v>
      </c>
      <c r="AG470">
        <v>96</v>
      </c>
      <c r="AH470">
        <v>2</v>
      </c>
      <c r="AI470">
        <v>2</v>
      </c>
      <c r="AJ470">
        <v>9</v>
      </c>
      <c r="AK470">
        <v>13</v>
      </c>
      <c r="AL470" t="s">
        <v>3498</v>
      </c>
      <c r="AM470" t="s">
        <v>306</v>
      </c>
      <c r="AN470" t="s">
        <v>3499</v>
      </c>
      <c r="AO470" t="s">
        <v>3500</v>
      </c>
      <c r="AP470" t="s">
        <v>3501</v>
      </c>
      <c r="AQ470" t="s">
        <v>74</v>
      </c>
      <c r="AR470" t="s">
        <v>3502</v>
      </c>
      <c r="AS470" t="s">
        <v>3503</v>
      </c>
      <c r="AT470" t="s">
        <v>9422</v>
      </c>
      <c r="AU470">
        <v>2023</v>
      </c>
      <c r="AV470">
        <v>120</v>
      </c>
      <c r="AW470">
        <v>10</v>
      </c>
      <c r="AX470" t="s">
        <v>74</v>
      </c>
      <c r="AY470" t="s">
        <v>74</v>
      </c>
      <c r="AZ470" t="s">
        <v>74</v>
      </c>
      <c r="BA470" t="s">
        <v>74</v>
      </c>
      <c r="BB470" t="s">
        <v>74</v>
      </c>
      <c r="BC470" t="s">
        <v>74</v>
      </c>
      <c r="BD470" t="s">
        <v>9423</v>
      </c>
      <c r="BE470" t="s">
        <v>9424</v>
      </c>
      <c r="BF470" t="str">
        <f>HYPERLINK("http://dx.doi.org/10.1073/pnas.2214035120","http://dx.doi.org/10.1073/pnas.2214035120")</f>
        <v>http://dx.doi.org/10.1073/pnas.2214035120</v>
      </c>
      <c r="BG470" t="s">
        <v>74</v>
      </c>
      <c r="BH470" t="s">
        <v>74</v>
      </c>
      <c r="BI470">
        <v>10</v>
      </c>
      <c r="BJ470" t="s">
        <v>210</v>
      </c>
      <c r="BK470" t="s">
        <v>103</v>
      </c>
      <c r="BL470" t="s">
        <v>211</v>
      </c>
      <c r="BM470" t="s">
        <v>9425</v>
      </c>
      <c r="BN470">
        <v>36848574</v>
      </c>
      <c r="BO470" t="s">
        <v>9426</v>
      </c>
      <c r="BP470" t="s">
        <v>74</v>
      </c>
      <c r="BQ470" t="s">
        <v>74</v>
      </c>
      <c r="BR470" t="s">
        <v>106</v>
      </c>
      <c r="BS470" t="s">
        <v>9427</v>
      </c>
      <c r="BT470" t="str">
        <f>HYPERLINK("https%3A%2F%2Fwww.webofscience.com%2Fwos%2Fwoscc%2Ffull-record%2FWOS:001036996200008","View Full Record in Web of Science")</f>
        <v>View Full Record in Web of Science</v>
      </c>
    </row>
    <row r="471" spans="1:72" x14ac:dyDescent="0.15">
      <c r="A471" t="s">
        <v>72</v>
      </c>
      <c r="B471" t="s">
        <v>9428</v>
      </c>
      <c r="C471" t="s">
        <v>74</v>
      </c>
      <c r="D471" t="s">
        <v>74</v>
      </c>
      <c r="E471" t="s">
        <v>74</v>
      </c>
      <c r="F471" t="s">
        <v>9429</v>
      </c>
      <c r="G471" t="s">
        <v>74</v>
      </c>
      <c r="H471" t="s">
        <v>74</v>
      </c>
      <c r="I471" t="s">
        <v>9430</v>
      </c>
      <c r="J471" t="s">
        <v>1685</v>
      </c>
      <c r="K471" t="s">
        <v>74</v>
      </c>
      <c r="L471" t="s">
        <v>74</v>
      </c>
      <c r="M471" t="s">
        <v>78</v>
      </c>
      <c r="N471" t="s">
        <v>112</v>
      </c>
      <c r="O471" t="s">
        <v>74</v>
      </c>
      <c r="P471" t="s">
        <v>74</v>
      </c>
      <c r="Q471" t="s">
        <v>74</v>
      </c>
      <c r="R471" t="s">
        <v>74</v>
      </c>
      <c r="S471" t="s">
        <v>74</v>
      </c>
      <c r="T471" t="s">
        <v>74</v>
      </c>
      <c r="U471" t="s">
        <v>9431</v>
      </c>
      <c r="V471" t="s">
        <v>9432</v>
      </c>
      <c r="W471" t="s">
        <v>9433</v>
      </c>
      <c r="X471" t="s">
        <v>9434</v>
      </c>
      <c r="Y471" t="s">
        <v>9435</v>
      </c>
      <c r="Z471" t="s">
        <v>9436</v>
      </c>
      <c r="AA471" t="s">
        <v>9437</v>
      </c>
      <c r="AB471" t="s">
        <v>9438</v>
      </c>
      <c r="AC471" t="s">
        <v>9439</v>
      </c>
      <c r="AD471" t="s">
        <v>9439</v>
      </c>
      <c r="AE471" t="s">
        <v>9440</v>
      </c>
      <c r="AF471" t="s">
        <v>74</v>
      </c>
      <c r="AG471">
        <v>36</v>
      </c>
      <c r="AH471">
        <v>4</v>
      </c>
      <c r="AI471">
        <v>4</v>
      </c>
      <c r="AJ471">
        <v>1</v>
      </c>
      <c r="AK471">
        <v>2</v>
      </c>
      <c r="AL471" t="s">
        <v>203</v>
      </c>
      <c r="AM471" t="s">
        <v>204</v>
      </c>
      <c r="AN471" t="s">
        <v>205</v>
      </c>
      <c r="AO471" t="s">
        <v>74</v>
      </c>
      <c r="AP471" t="s">
        <v>1696</v>
      </c>
      <c r="AQ471" t="s">
        <v>74</v>
      </c>
      <c r="AR471" t="s">
        <v>1697</v>
      </c>
      <c r="AS471" t="s">
        <v>1698</v>
      </c>
      <c r="AT471" t="s">
        <v>9422</v>
      </c>
      <c r="AU471">
        <v>2023</v>
      </c>
      <c r="AV471">
        <v>14</v>
      </c>
      <c r="AW471">
        <v>1</v>
      </c>
      <c r="AX471" t="s">
        <v>74</v>
      </c>
      <c r="AY471" t="s">
        <v>74</v>
      </c>
      <c r="AZ471" t="s">
        <v>74</v>
      </c>
      <c r="BA471" t="s">
        <v>74</v>
      </c>
      <c r="BB471" t="s">
        <v>74</v>
      </c>
      <c r="BC471" t="s">
        <v>74</v>
      </c>
      <c r="BD471">
        <v>1022</v>
      </c>
      <c r="BE471" t="s">
        <v>9441</v>
      </c>
      <c r="BF471" t="str">
        <f>HYPERLINK("http://dx.doi.org/10.1038/s41467-023-36580-3","http://dx.doi.org/10.1038/s41467-023-36580-3")</f>
        <v>http://dx.doi.org/10.1038/s41467-023-36580-3</v>
      </c>
      <c r="BG471" t="s">
        <v>74</v>
      </c>
      <c r="BH471" t="s">
        <v>74</v>
      </c>
      <c r="BI471">
        <v>7</v>
      </c>
      <c r="BJ471" t="s">
        <v>210</v>
      </c>
      <c r="BK471" t="s">
        <v>103</v>
      </c>
      <c r="BL471" t="s">
        <v>211</v>
      </c>
      <c r="BM471" t="s">
        <v>9442</v>
      </c>
      <c r="BN471">
        <v>36882411</v>
      </c>
      <c r="BO471" t="s">
        <v>6496</v>
      </c>
      <c r="BP471" t="s">
        <v>74</v>
      </c>
      <c r="BQ471" t="s">
        <v>74</v>
      </c>
      <c r="BR471" t="s">
        <v>106</v>
      </c>
      <c r="BS471" t="s">
        <v>9443</v>
      </c>
      <c r="BT471" t="str">
        <f>HYPERLINK("https%3A%2F%2Fwww.webofscience.com%2Fwos%2Fwoscc%2Ffull-record%2FWOS:000957599200005","View Full Record in Web of Science")</f>
        <v>View Full Record in Web of Science</v>
      </c>
    </row>
    <row r="472" spans="1:72" x14ac:dyDescent="0.15">
      <c r="A472" t="s">
        <v>72</v>
      </c>
      <c r="B472" t="s">
        <v>9444</v>
      </c>
      <c r="C472" t="s">
        <v>74</v>
      </c>
      <c r="D472" t="s">
        <v>74</v>
      </c>
      <c r="E472" t="s">
        <v>74</v>
      </c>
      <c r="F472" t="s">
        <v>9445</v>
      </c>
      <c r="G472" t="s">
        <v>74</v>
      </c>
      <c r="H472" t="s">
        <v>74</v>
      </c>
      <c r="I472" t="s">
        <v>9446</v>
      </c>
      <c r="J472" t="s">
        <v>1707</v>
      </c>
      <c r="K472" t="s">
        <v>74</v>
      </c>
      <c r="L472" t="s">
        <v>74</v>
      </c>
      <c r="M472" t="s">
        <v>78</v>
      </c>
      <c r="N472" t="s">
        <v>365</v>
      </c>
      <c r="O472" t="s">
        <v>74</v>
      </c>
      <c r="P472" t="s">
        <v>74</v>
      </c>
      <c r="Q472" t="s">
        <v>74</v>
      </c>
      <c r="R472" t="s">
        <v>74</v>
      </c>
      <c r="S472" t="s">
        <v>74</v>
      </c>
      <c r="T472" t="s">
        <v>9447</v>
      </c>
      <c r="U472" t="s">
        <v>9448</v>
      </c>
      <c r="V472" t="s">
        <v>9449</v>
      </c>
      <c r="W472" t="s">
        <v>9450</v>
      </c>
      <c r="X472" t="s">
        <v>9451</v>
      </c>
      <c r="Y472" t="s">
        <v>9452</v>
      </c>
      <c r="Z472" t="s">
        <v>9453</v>
      </c>
      <c r="AA472" t="s">
        <v>9454</v>
      </c>
      <c r="AB472" t="s">
        <v>9455</v>
      </c>
      <c r="AC472" t="s">
        <v>9456</v>
      </c>
      <c r="AD472" t="s">
        <v>9457</v>
      </c>
      <c r="AE472" t="s">
        <v>9458</v>
      </c>
      <c r="AF472" t="s">
        <v>74</v>
      </c>
      <c r="AG472">
        <v>129</v>
      </c>
      <c r="AH472">
        <v>2</v>
      </c>
      <c r="AI472">
        <v>2</v>
      </c>
      <c r="AJ472">
        <v>7</v>
      </c>
      <c r="AK472">
        <v>16</v>
      </c>
      <c r="AL472" t="s">
        <v>225</v>
      </c>
      <c r="AM472" t="s">
        <v>226</v>
      </c>
      <c r="AN472" t="s">
        <v>227</v>
      </c>
      <c r="AO472" t="s">
        <v>1719</v>
      </c>
      <c r="AP472" t="s">
        <v>1720</v>
      </c>
      <c r="AQ472" t="s">
        <v>74</v>
      </c>
      <c r="AR472" t="s">
        <v>1721</v>
      </c>
      <c r="AS472" t="s">
        <v>1722</v>
      </c>
      <c r="AT472" t="s">
        <v>6371</v>
      </c>
      <c r="AU472">
        <v>2023</v>
      </c>
      <c r="AV472">
        <v>213</v>
      </c>
      <c r="AW472" t="s">
        <v>74</v>
      </c>
      <c r="AX472" t="s">
        <v>74</v>
      </c>
      <c r="AY472" t="s">
        <v>74</v>
      </c>
      <c r="AZ472" t="s">
        <v>74</v>
      </c>
      <c r="BA472" t="s">
        <v>74</v>
      </c>
      <c r="BB472" t="s">
        <v>74</v>
      </c>
      <c r="BC472" t="s">
        <v>74</v>
      </c>
      <c r="BD472">
        <v>103000</v>
      </c>
      <c r="BE472" t="s">
        <v>9459</v>
      </c>
      <c r="BF472" t="str">
        <f>HYPERLINK("http://dx.doi.org/10.1016/j.pocean.2023.103000","http://dx.doi.org/10.1016/j.pocean.2023.103000")</f>
        <v>http://dx.doi.org/10.1016/j.pocean.2023.103000</v>
      </c>
      <c r="BG472" t="s">
        <v>74</v>
      </c>
      <c r="BH472" t="s">
        <v>6218</v>
      </c>
      <c r="BI472">
        <v>18</v>
      </c>
      <c r="BJ472" t="s">
        <v>863</v>
      </c>
      <c r="BK472" t="s">
        <v>103</v>
      </c>
      <c r="BL472" t="s">
        <v>863</v>
      </c>
      <c r="BM472" t="s">
        <v>9460</v>
      </c>
      <c r="BN472" t="s">
        <v>74</v>
      </c>
      <c r="BO472" t="s">
        <v>74</v>
      </c>
      <c r="BP472" t="s">
        <v>74</v>
      </c>
      <c r="BQ472" t="s">
        <v>74</v>
      </c>
      <c r="BR472" t="s">
        <v>106</v>
      </c>
      <c r="BS472" t="s">
        <v>9461</v>
      </c>
      <c r="BT472" t="str">
        <f>HYPERLINK("https%3A%2F%2Fwww.webofscience.com%2Fwos%2Fwoscc%2Ffull-record%2FWOS:000952239100001","View Full Record in Web of Science")</f>
        <v>View Full Record in Web of Science</v>
      </c>
    </row>
    <row r="473" spans="1:72" x14ac:dyDescent="0.15">
      <c r="A473" t="s">
        <v>72</v>
      </c>
      <c r="B473" t="s">
        <v>9462</v>
      </c>
      <c r="C473" t="s">
        <v>74</v>
      </c>
      <c r="D473" t="s">
        <v>74</v>
      </c>
      <c r="E473" t="s">
        <v>74</v>
      </c>
      <c r="F473" t="s">
        <v>9463</v>
      </c>
      <c r="G473" t="s">
        <v>74</v>
      </c>
      <c r="H473" t="s">
        <v>74</v>
      </c>
      <c r="I473" t="s">
        <v>9464</v>
      </c>
      <c r="J473" t="s">
        <v>1215</v>
      </c>
      <c r="K473" t="s">
        <v>74</v>
      </c>
      <c r="L473" t="s">
        <v>74</v>
      </c>
      <c r="M473" t="s">
        <v>78</v>
      </c>
      <c r="N473" t="s">
        <v>365</v>
      </c>
      <c r="O473" t="s">
        <v>74</v>
      </c>
      <c r="P473" t="s">
        <v>74</v>
      </c>
      <c r="Q473" t="s">
        <v>74</v>
      </c>
      <c r="R473" t="s">
        <v>74</v>
      </c>
      <c r="S473" t="s">
        <v>74</v>
      </c>
      <c r="T473" t="s">
        <v>9465</v>
      </c>
      <c r="U473" t="s">
        <v>9466</v>
      </c>
      <c r="V473" t="s">
        <v>9467</v>
      </c>
      <c r="W473" t="s">
        <v>9468</v>
      </c>
      <c r="X473" t="s">
        <v>9469</v>
      </c>
      <c r="Y473" t="s">
        <v>9470</v>
      </c>
      <c r="Z473" t="s">
        <v>9471</v>
      </c>
      <c r="AA473" t="s">
        <v>9472</v>
      </c>
      <c r="AB473" t="s">
        <v>9473</v>
      </c>
      <c r="AC473" t="s">
        <v>74</v>
      </c>
      <c r="AD473" t="s">
        <v>74</v>
      </c>
      <c r="AE473" t="s">
        <v>74</v>
      </c>
      <c r="AF473" t="s">
        <v>74</v>
      </c>
      <c r="AG473">
        <v>257</v>
      </c>
      <c r="AH473">
        <v>19</v>
      </c>
      <c r="AI473">
        <v>20</v>
      </c>
      <c r="AJ473">
        <v>66</v>
      </c>
      <c r="AK473">
        <v>102</v>
      </c>
      <c r="AL473" t="s">
        <v>700</v>
      </c>
      <c r="AM473" t="s">
        <v>701</v>
      </c>
      <c r="AN473" t="s">
        <v>702</v>
      </c>
      <c r="AO473" t="s">
        <v>74</v>
      </c>
      <c r="AP473" t="s">
        <v>1228</v>
      </c>
      <c r="AQ473" t="s">
        <v>74</v>
      </c>
      <c r="AR473" t="s">
        <v>1229</v>
      </c>
      <c r="AS473" t="s">
        <v>1230</v>
      </c>
      <c r="AT473" t="s">
        <v>9422</v>
      </c>
      <c r="AU473">
        <v>2023</v>
      </c>
      <c r="AV473">
        <v>10</v>
      </c>
      <c r="AW473" t="s">
        <v>74</v>
      </c>
      <c r="AX473" t="s">
        <v>74</v>
      </c>
      <c r="AY473" t="s">
        <v>74</v>
      </c>
      <c r="AZ473" t="s">
        <v>74</v>
      </c>
      <c r="BA473" t="s">
        <v>74</v>
      </c>
      <c r="BB473" t="s">
        <v>74</v>
      </c>
      <c r="BC473" t="s">
        <v>74</v>
      </c>
      <c r="BD473">
        <v>1129057</v>
      </c>
      <c r="BE473" t="s">
        <v>9474</v>
      </c>
      <c r="BF473" t="str">
        <f>HYPERLINK("http://dx.doi.org/10.3389/fmars.2023.1129057","http://dx.doi.org/10.3389/fmars.2023.1129057")</f>
        <v>http://dx.doi.org/10.3389/fmars.2023.1129057</v>
      </c>
      <c r="BG473" t="s">
        <v>74</v>
      </c>
      <c r="BH473" t="s">
        <v>74</v>
      </c>
      <c r="BI473">
        <v>34</v>
      </c>
      <c r="BJ473" t="s">
        <v>636</v>
      </c>
      <c r="BK473" t="s">
        <v>103</v>
      </c>
      <c r="BL473" t="s">
        <v>637</v>
      </c>
      <c r="BM473" t="s">
        <v>9475</v>
      </c>
      <c r="BN473" t="s">
        <v>74</v>
      </c>
      <c r="BO473" t="s">
        <v>136</v>
      </c>
      <c r="BP473" t="s">
        <v>1849</v>
      </c>
      <c r="BQ473" t="s">
        <v>1850</v>
      </c>
      <c r="BR473" t="s">
        <v>106</v>
      </c>
      <c r="BS473" t="s">
        <v>9476</v>
      </c>
      <c r="BT473" t="str">
        <f>HYPERLINK("https%3A%2F%2Fwww.webofscience.com%2Fwos%2Fwoscc%2Ffull-record%2FWOS:000950934400001","View Full Record in Web of Science")</f>
        <v>View Full Record in Web of Science</v>
      </c>
    </row>
    <row r="474" spans="1:72" x14ac:dyDescent="0.15">
      <c r="A474" t="s">
        <v>72</v>
      </c>
      <c r="B474" t="s">
        <v>9477</v>
      </c>
      <c r="C474" t="s">
        <v>74</v>
      </c>
      <c r="D474" t="s">
        <v>74</v>
      </c>
      <c r="E474" t="s">
        <v>74</v>
      </c>
      <c r="F474" t="s">
        <v>9478</v>
      </c>
      <c r="G474" t="s">
        <v>74</v>
      </c>
      <c r="H474" t="s">
        <v>74</v>
      </c>
      <c r="I474" t="s">
        <v>9479</v>
      </c>
      <c r="J474" t="s">
        <v>3207</v>
      </c>
      <c r="K474" t="s">
        <v>74</v>
      </c>
      <c r="L474" t="s">
        <v>74</v>
      </c>
      <c r="M474" t="s">
        <v>78</v>
      </c>
      <c r="N474" t="s">
        <v>112</v>
      </c>
      <c r="O474" t="s">
        <v>74</v>
      </c>
      <c r="P474" t="s">
        <v>74</v>
      </c>
      <c r="Q474" t="s">
        <v>74</v>
      </c>
      <c r="R474" t="s">
        <v>74</v>
      </c>
      <c r="S474" t="s">
        <v>74</v>
      </c>
      <c r="T474" t="s">
        <v>9480</v>
      </c>
      <c r="U474" t="s">
        <v>9481</v>
      </c>
      <c r="V474" t="s">
        <v>9482</v>
      </c>
      <c r="W474" t="s">
        <v>9483</v>
      </c>
      <c r="X474" t="s">
        <v>9484</v>
      </c>
      <c r="Y474" t="s">
        <v>9485</v>
      </c>
      <c r="Z474" t="s">
        <v>9486</v>
      </c>
      <c r="AA474" t="s">
        <v>9487</v>
      </c>
      <c r="AB474" t="s">
        <v>9488</v>
      </c>
      <c r="AC474" t="s">
        <v>9489</v>
      </c>
      <c r="AD474" t="s">
        <v>9490</v>
      </c>
      <c r="AE474" t="s">
        <v>9491</v>
      </c>
      <c r="AF474" t="s">
        <v>74</v>
      </c>
      <c r="AG474">
        <v>33</v>
      </c>
      <c r="AH474">
        <v>1</v>
      </c>
      <c r="AI474">
        <v>1</v>
      </c>
      <c r="AJ474">
        <v>2</v>
      </c>
      <c r="AK474">
        <v>6</v>
      </c>
      <c r="AL474" t="s">
        <v>2092</v>
      </c>
      <c r="AM474" t="s">
        <v>2093</v>
      </c>
      <c r="AN474" t="s">
        <v>2094</v>
      </c>
      <c r="AO474" t="s">
        <v>3217</v>
      </c>
      <c r="AP474" t="s">
        <v>3218</v>
      </c>
      <c r="AQ474" t="s">
        <v>74</v>
      </c>
      <c r="AR474" t="s">
        <v>3219</v>
      </c>
      <c r="AS474" t="s">
        <v>3220</v>
      </c>
      <c r="AT474" t="s">
        <v>232</v>
      </c>
      <c r="AU474">
        <v>2023</v>
      </c>
      <c r="AV474">
        <v>30</v>
      </c>
      <c r="AW474">
        <v>3</v>
      </c>
      <c r="AX474" t="s">
        <v>74</v>
      </c>
      <c r="AY474" t="s">
        <v>74</v>
      </c>
      <c r="AZ474" t="s">
        <v>74</v>
      </c>
      <c r="BA474" t="s">
        <v>74</v>
      </c>
      <c r="BB474">
        <v>300</v>
      </c>
      <c r="BC474">
        <v>309</v>
      </c>
      <c r="BD474" t="s">
        <v>74</v>
      </c>
      <c r="BE474" t="s">
        <v>9492</v>
      </c>
      <c r="BF474" t="str">
        <f>HYPERLINK("http://dx.doi.org/10.1111/fme.12620","http://dx.doi.org/10.1111/fme.12620")</f>
        <v>http://dx.doi.org/10.1111/fme.12620</v>
      </c>
      <c r="BG474" t="s">
        <v>74</v>
      </c>
      <c r="BH474" t="s">
        <v>6218</v>
      </c>
      <c r="BI474">
        <v>10</v>
      </c>
      <c r="BJ474" t="s">
        <v>3222</v>
      </c>
      <c r="BK474" t="s">
        <v>103</v>
      </c>
      <c r="BL474" t="s">
        <v>3222</v>
      </c>
      <c r="BM474" t="s">
        <v>3223</v>
      </c>
      <c r="BN474" t="s">
        <v>74</v>
      </c>
      <c r="BO474" t="s">
        <v>823</v>
      </c>
      <c r="BP474" t="s">
        <v>74</v>
      </c>
      <c r="BQ474" t="s">
        <v>74</v>
      </c>
      <c r="BR474" t="s">
        <v>106</v>
      </c>
      <c r="BS474" t="s">
        <v>9493</v>
      </c>
      <c r="BT474" t="str">
        <f>HYPERLINK("https%3A%2F%2Fwww.webofscience.com%2Fwos%2Fwoscc%2Ffull-record%2FWOS:000945300400001","View Full Record in Web of Science")</f>
        <v>View Full Record in Web of Science</v>
      </c>
    </row>
    <row r="475" spans="1:72" x14ac:dyDescent="0.15">
      <c r="A475" t="s">
        <v>72</v>
      </c>
      <c r="B475" t="s">
        <v>9494</v>
      </c>
      <c r="C475" t="s">
        <v>74</v>
      </c>
      <c r="D475" t="s">
        <v>74</v>
      </c>
      <c r="E475" t="s">
        <v>74</v>
      </c>
      <c r="F475" t="s">
        <v>9495</v>
      </c>
      <c r="G475" t="s">
        <v>74</v>
      </c>
      <c r="H475" t="s">
        <v>74</v>
      </c>
      <c r="I475" t="s">
        <v>9496</v>
      </c>
      <c r="J475" t="s">
        <v>2262</v>
      </c>
      <c r="K475" t="s">
        <v>74</v>
      </c>
      <c r="L475" t="s">
        <v>74</v>
      </c>
      <c r="M475" t="s">
        <v>78</v>
      </c>
      <c r="N475" t="s">
        <v>112</v>
      </c>
      <c r="O475" t="s">
        <v>74</v>
      </c>
      <c r="P475" t="s">
        <v>74</v>
      </c>
      <c r="Q475" t="s">
        <v>74</v>
      </c>
      <c r="R475" t="s">
        <v>74</v>
      </c>
      <c r="S475" t="s">
        <v>74</v>
      </c>
      <c r="T475" t="s">
        <v>74</v>
      </c>
      <c r="U475" t="s">
        <v>9497</v>
      </c>
      <c r="V475" t="s">
        <v>9498</v>
      </c>
      <c r="W475" t="s">
        <v>9499</v>
      </c>
      <c r="X475" t="s">
        <v>9500</v>
      </c>
      <c r="Y475" t="s">
        <v>9501</v>
      </c>
      <c r="Z475" t="s">
        <v>9502</v>
      </c>
      <c r="AA475" t="s">
        <v>9503</v>
      </c>
      <c r="AB475" t="s">
        <v>9504</v>
      </c>
      <c r="AC475" t="s">
        <v>9505</v>
      </c>
      <c r="AD475" t="s">
        <v>9506</v>
      </c>
      <c r="AE475" t="s">
        <v>9507</v>
      </c>
      <c r="AF475" t="s">
        <v>74</v>
      </c>
      <c r="AG475">
        <v>69</v>
      </c>
      <c r="AH475">
        <v>6</v>
      </c>
      <c r="AI475">
        <v>6</v>
      </c>
      <c r="AJ475">
        <v>4</v>
      </c>
      <c r="AK475">
        <v>11</v>
      </c>
      <c r="AL475" t="s">
        <v>2092</v>
      </c>
      <c r="AM475" t="s">
        <v>2093</v>
      </c>
      <c r="AN475" t="s">
        <v>2094</v>
      </c>
      <c r="AO475" t="s">
        <v>2274</v>
      </c>
      <c r="AP475" t="s">
        <v>2275</v>
      </c>
      <c r="AQ475" t="s">
        <v>74</v>
      </c>
      <c r="AR475" t="s">
        <v>2276</v>
      </c>
      <c r="AS475" t="s">
        <v>2277</v>
      </c>
      <c r="AT475" t="s">
        <v>98</v>
      </c>
      <c r="AU475">
        <v>2023</v>
      </c>
      <c r="AV475">
        <v>68</v>
      </c>
      <c r="AW475">
        <v>5</v>
      </c>
      <c r="AX475" t="s">
        <v>74</v>
      </c>
      <c r="AY475" t="s">
        <v>74</v>
      </c>
      <c r="AZ475" t="s">
        <v>74</v>
      </c>
      <c r="BA475" t="s">
        <v>74</v>
      </c>
      <c r="BB475">
        <v>1147</v>
      </c>
      <c r="BC475">
        <v>1160</v>
      </c>
      <c r="BD475" t="s">
        <v>74</v>
      </c>
      <c r="BE475" t="s">
        <v>9508</v>
      </c>
      <c r="BF475" t="str">
        <f>HYPERLINK("http://dx.doi.org/10.1002/lno.12335","http://dx.doi.org/10.1002/lno.12335")</f>
        <v>http://dx.doi.org/10.1002/lno.12335</v>
      </c>
      <c r="BG475" t="s">
        <v>74</v>
      </c>
      <c r="BH475" t="s">
        <v>6218</v>
      </c>
      <c r="BI475">
        <v>14</v>
      </c>
      <c r="BJ475" t="s">
        <v>552</v>
      </c>
      <c r="BK475" t="s">
        <v>103</v>
      </c>
      <c r="BL475" t="s">
        <v>553</v>
      </c>
      <c r="BM475" t="s">
        <v>9509</v>
      </c>
      <c r="BN475" t="s">
        <v>74</v>
      </c>
      <c r="BO475" t="s">
        <v>430</v>
      </c>
      <c r="BP475" t="s">
        <v>74</v>
      </c>
      <c r="BQ475" t="s">
        <v>74</v>
      </c>
      <c r="BR475" t="s">
        <v>106</v>
      </c>
      <c r="BS475" t="s">
        <v>9510</v>
      </c>
      <c r="BT475" t="str">
        <f>HYPERLINK("https%3A%2F%2Fwww.webofscience.com%2Fwos%2Fwoscc%2Ffull-record%2FWOS:000945224400001","View Full Record in Web of Science")</f>
        <v>View Full Record in Web of Science</v>
      </c>
    </row>
    <row r="476" spans="1:72" x14ac:dyDescent="0.15">
      <c r="A476" t="s">
        <v>72</v>
      </c>
      <c r="B476" t="s">
        <v>9511</v>
      </c>
      <c r="C476" t="s">
        <v>74</v>
      </c>
      <c r="D476" t="s">
        <v>74</v>
      </c>
      <c r="E476" t="s">
        <v>74</v>
      </c>
      <c r="F476" t="s">
        <v>9512</v>
      </c>
      <c r="G476" t="s">
        <v>74</v>
      </c>
      <c r="H476" t="s">
        <v>74</v>
      </c>
      <c r="I476" t="s">
        <v>9513</v>
      </c>
      <c r="J476" t="s">
        <v>9514</v>
      </c>
      <c r="K476" t="s">
        <v>74</v>
      </c>
      <c r="L476" t="s">
        <v>74</v>
      </c>
      <c r="M476" t="s">
        <v>78</v>
      </c>
      <c r="N476" t="s">
        <v>79</v>
      </c>
      <c r="O476" t="s">
        <v>74</v>
      </c>
      <c r="P476" t="s">
        <v>74</v>
      </c>
      <c r="Q476" t="s">
        <v>74</v>
      </c>
      <c r="R476" t="s">
        <v>74</v>
      </c>
      <c r="S476" t="s">
        <v>74</v>
      </c>
      <c r="T476" t="s">
        <v>9515</v>
      </c>
      <c r="U476" t="s">
        <v>9516</v>
      </c>
      <c r="V476" t="s">
        <v>74</v>
      </c>
      <c r="W476" t="s">
        <v>9517</v>
      </c>
      <c r="X476" t="s">
        <v>9518</v>
      </c>
      <c r="Y476" t="s">
        <v>9519</v>
      </c>
      <c r="Z476" t="s">
        <v>9520</v>
      </c>
      <c r="AA476" t="s">
        <v>9521</v>
      </c>
      <c r="AB476" t="s">
        <v>9522</v>
      </c>
      <c r="AC476" t="s">
        <v>9523</v>
      </c>
      <c r="AD476" t="s">
        <v>9524</v>
      </c>
      <c r="AE476" t="s">
        <v>9525</v>
      </c>
      <c r="AF476" t="s">
        <v>74</v>
      </c>
      <c r="AG476">
        <v>22</v>
      </c>
      <c r="AH476">
        <v>6</v>
      </c>
      <c r="AI476">
        <v>6</v>
      </c>
      <c r="AJ476">
        <v>4</v>
      </c>
      <c r="AK476">
        <v>11</v>
      </c>
      <c r="AL476" t="s">
        <v>2092</v>
      </c>
      <c r="AM476" t="s">
        <v>2093</v>
      </c>
      <c r="AN476" t="s">
        <v>2094</v>
      </c>
      <c r="AO476" t="s">
        <v>9526</v>
      </c>
      <c r="AP476" t="s">
        <v>9527</v>
      </c>
      <c r="AQ476" t="s">
        <v>74</v>
      </c>
      <c r="AR476" t="s">
        <v>9514</v>
      </c>
      <c r="AS476" t="s">
        <v>2101</v>
      </c>
      <c r="AT476" t="s">
        <v>1437</v>
      </c>
      <c r="AU476">
        <v>2023</v>
      </c>
      <c r="AV476">
        <v>104</v>
      </c>
      <c r="AW476">
        <v>4</v>
      </c>
      <c r="AX476" t="s">
        <v>74</v>
      </c>
      <c r="AY476" t="s">
        <v>74</v>
      </c>
      <c r="AZ476" t="s">
        <v>74</v>
      </c>
      <c r="BA476" t="s">
        <v>74</v>
      </c>
      <c r="BB476" t="s">
        <v>74</v>
      </c>
      <c r="BC476" t="s">
        <v>74</v>
      </c>
      <c r="BD476" t="s">
        <v>74</v>
      </c>
      <c r="BE476" t="s">
        <v>9528</v>
      </c>
      <c r="BF476" t="str">
        <f>HYPERLINK("http://dx.doi.org/10.1002/ecy.4002","http://dx.doi.org/10.1002/ecy.4002")</f>
        <v>http://dx.doi.org/10.1002/ecy.4002</v>
      </c>
      <c r="BG476" t="s">
        <v>74</v>
      </c>
      <c r="BH476" t="s">
        <v>6218</v>
      </c>
      <c r="BI476">
        <v>5</v>
      </c>
      <c r="BJ476" t="s">
        <v>2101</v>
      </c>
      <c r="BK476" t="s">
        <v>103</v>
      </c>
      <c r="BL476" t="s">
        <v>1164</v>
      </c>
      <c r="BM476" t="s">
        <v>9529</v>
      </c>
      <c r="BN476">
        <v>36807151</v>
      </c>
      <c r="BO476" t="s">
        <v>387</v>
      </c>
      <c r="BP476" t="s">
        <v>74</v>
      </c>
      <c r="BQ476" t="s">
        <v>74</v>
      </c>
      <c r="BR476" t="s">
        <v>106</v>
      </c>
      <c r="BS476" t="s">
        <v>9530</v>
      </c>
      <c r="BT476" t="str">
        <f>HYPERLINK("https%3A%2F%2Fwww.webofscience.com%2Fwos%2Fwoscc%2Ffull-record%2FWOS:000945981900001","View Full Record in Web of Science")</f>
        <v>View Full Record in Web of Science</v>
      </c>
    </row>
    <row r="477" spans="1:72" x14ac:dyDescent="0.15">
      <c r="A477" t="s">
        <v>72</v>
      </c>
      <c r="B477" t="s">
        <v>9531</v>
      </c>
      <c r="C477" t="s">
        <v>74</v>
      </c>
      <c r="D477" t="s">
        <v>74</v>
      </c>
      <c r="E477" t="s">
        <v>74</v>
      </c>
      <c r="F477" t="s">
        <v>9532</v>
      </c>
      <c r="G477" t="s">
        <v>74</v>
      </c>
      <c r="H477" t="s">
        <v>74</v>
      </c>
      <c r="I477" t="s">
        <v>9533</v>
      </c>
      <c r="J477" t="s">
        <v>9534</v>
      </c>
      <c r="K477" t="s">
        <v>74</v>
      </c>
      <c r="L477" t="s">
        <v>74</v>
      </c>
      <c r="M477" t="s">
        <v>78</v>
      </c>
      <c r="N477" t="s">
        <v>112</v>
      </c>
      <c r="O477" t="s">
        <v>74</v>
      </c>
      <c r="P477" t="s">
        <v>74</v>
      </c>
      <c r="Q477" t="s">
        <v>74</v>
      </c>
      <c r="R477" t="s">
        <v>74</v>
      </c>
      <c r="S477" t="s">
        <v>74</v>
      </c>
      <c r="T477" t="s">
        <v>74</v>
      </c>
      <c r="U477" t="s">
        <v>9535</v>
      </c>
      <c r="V477" t="s">
        <v>9536</v>
      </c>
      <c r="W477" t="s">
        <v>9537</v>
      </c>
      <c r="X477" t="s">
        <v>9538</v>
      </c>
      <c r="Y477" t="s">
        <v>9539</v>
      </c>
      <c r="Z477" t="s">
        <v>9540</v>
      </c>
      <c r="AA477" t="s">
        <v>9541</v>
      </c>
      <c r="AB477" t="s">
        <v>9542</v>
      </c>
      <c r="AC477" t="s">
        <v>9543</v>
      </c>
      <c r="AD477" t="s">
        <v>9544</v>
      </c>
      <c r="AE477" t="s">
        <v>9545</v>
      </c>
      <c r="AF477" t="s">
        <v>74</v>
      </c>
      <c r="AG477">
        <v>28</v>
      </c>
      <c r="AH477">
        <v>0</v>
      </c>
      <c r="AI477">
        <v>0</v>
      </c>
      <c r="AJ477">
        <v>8</v>
      </c>
      <c r="AK477">
        <v>20</v>
      </c>
      <c r="AL477" t="s">
        <v>6321</v>
      </c>
      <c r="AM477" t="s">
        <v>1102</v>
      </c>
      <c r="AN477" t="s">
        <v>6322</v>
      </c>
      <c r="AO477" t="s">
        <v>9546</v>
      </c>
      <c r="AP477" t="s">
        <v>9547</v>
      </c>
      <c r="AQ477" t="s">
        <v>74</v>
      </c>
      <c r="AR477" t="s">
        <v>9548</v>
      </c>
      <c r="AS477" t="s">
        <v>9549</v>
      </c>
      <c r="AT477" t="s">
        <v>7386</v>
      </c>
      <c r="AU477">
        <v>2023</v>
      </c>
      <c r="AV477">
        <v>11</v>
      </c>
      <c r="AW477">
        <v>12</v>
      </c>
      <c r="AX477" t="s">
        <v>74</v>
      </c>
      <c r="AY477" t="s">
        <v>74</v>
      </c>
      <c r="AZ477" t="s">
        <v>74</v>
      </c>
      <c r="BA477" t="s">
        <v>74</v>
      </c>
      <c r="BB477">
        <v>2762</v>
      </c>
      <c r="BC477">
        <v>2769</v>
      </c>
      <c r="BD477" t="s">
        <v>74</v>
      </c>
      <c r="BE477" t="s">
        <v>9550</v>
      </c>
      <c r="BF477" t="str">
        <f>HYPERLINK("http://dx.doi.org/10.1039/d2tb02623f","http://dx.doi.org/10.1039/d2tb02623f")</f>
        <v>http://dx.doi.org/10.1039/d2tb02623f</v>
      </c>
      <c r="BG477" t="s">
        <v>74</v>
      </c>
      <c r="BH477" t="s">
        <v>6218</v>
      </c>
      <c r="BI477">
        <v>8</v>
      </c>
      <c r="BJ477" t="s">
        <v>9551</v>
      </c>
      <c r="BK477" t="s">
        <v>103</v>
      </c>
      <c r="BL477" t="s">
        <v>9552</v>
      </c>
      <c r="BM477" t="s">
        <v>9553</v>
      </c>
      <c r="BN477">
        <v>36880839</v>
      </c>
      <c r="BO477" t="s">
        <v>74</v>
      </c>
      <c r="BP477" t="s">
        <v>74</v>
      </c>
      <c r="BQ477" t="s">
        <v>74</v>
      </c>
      <c r="BR477" t="s">
        <v>106</v>
      </c>
      <c r="BS477" t="s">
        <v>9554</v>
      </c>
      <c r="BT477" t="str">
        <f>HYPERLINK("https%3A%2F%2Fwww.webofscience.com%2Fwos%2Fwoscc%2Ffull-record%2FWOS:000945109300001","View Full Record in Web of Science")</f>
        <v>View Full Record in Web of Science</v>
      </c>
    </row>
    <row r="478" spans="1:72" x14ac:dyDescent="0.15">
      <c r="A478" t="s">
        <v>72</v>
      </c>
      <c r="B478" t="s">
        <v>9555</v>
      </c>
      <c r="C478" t="s">
        <v>74</v>
      </c>
      <c r="D478" t="s">
        <v>74</v>
      </c>
      <c r="E478" t="s">
        <v>74</v>
      </c>
      <c r="F478" t="s">
        <v>9556</v>
      </c>
      <c r="G478" t="s">
        <v>74</v>
      </c>
      <c r="H478" t="s">
        <v>74</v>
      </c>
      <c r="I478" t="s">
        <v>9557</v>
      </c>
      <c r="J478" t="s">
        <v>9558</v>
      </c>
      <c r="K478" t="s">
        <v>74</v>
      </c>
      <c r="L478" t="s">
        <v>74</v>
      </c>
      <c r="M478" t="s">
        <v>78</v>
      </c>
      <c r="N478" t="s">
        <v>365</v>
      </c>
      <c r="O478" t="s">
        <v>74</v>
      </c>
      <c r="P478" t="s">
        <v>74</v>
      </c>
      <c r="Q478" t="s">
        <v>74</v>
      </c>
      <c r="R478" t="s">
        <v>74</v>
      </c>
      <c r="S478" t="s">
        <v>74</v>
      </c>
      <c r="T478" t="s">
        <v>9559</v>
      </c>
      <c r="U478" t="s">
        <v>9560</v>
      </c>
      <c r="V478" t="s">
        <v>9561</v>
      </c>
      <c r="W478" t="s">
        <v>9562</v>
      </c>
      <c r="X478" t="s">
        <v>9563</v>
      </c>
      <c r="Y478" t="s">
        <v>9564</v>
      </c>
      <c r="Z478" t="s">
        <v>9565</v>
      </c>
      <c r="AA478" t="s">
        <v>74</v>
      </c>
      <c r="AB478" t="s">
        <v>9566</v>
      </c>
      <c r="AC478" t="s">
        <v>74</v>
      </c>
      <c r="AD478" t="s">
        <v>74</v>
      </c>
      <c r="AE478" t="s">
        <v>74</v>
      </c>
      <c r="AF478" t="s">
        <v>74</v>
      </c>
      <c r="AG478">
        <v>50</v>
      </c>
      <c r="AH478">
        <v>0</v>
      </c>
      <c r="AI478">
        <v>0</v>
      </c>
      <c r="AJ478">
        <v>10</v>
      </c>
      <c r="AK478">
        <v>22</v>
      </c>
      <c r="AL478" t="s">
        <v>9567</v>
      </c>
      <c r="AM478" t="s">
        <v>204</v>
      </c>
      <c r="AN478" t="s">
        <v>9568</v>
      </c>
      <c r="AO478" t="s">
        <v>74</v>
      </c>
      <c r="AP478" t="s">
        <v>9569</v>
      </c>
      <c r="AQ478" t="s">
        <v>74</v>
      </c>
      <c r="AR478" t="s">
        <v>9570</v>
      </c>
      <c r="AS478" t="s">
        <v>9571</v>
      </c>
      <c r="AT478" t="s">
        <v>131</v>
      </c>
      <c r="AU478">
        <v>2023</v>
      </c>
      <c r="AV478">
        <v>5</v>
      </c>
      <c r="AW478">
        <v>1</v>
      </c>
      <c r="AX478" t="s">
        <v>74</v>
      </c>
      <c r="AY478" t="s">
        <v>74</v>
      </c>
      <c r="AZ478" t="s">
        <v>74</v>
      </c>
      <c r="BA478" t="s">
        <v>74</v>
      </c>
      <c r="BB478">
        <v>91</v>
      </c>
      <c r="BC478">
        <v>105</v>
      </c>
      <c r="BD478" t="s">
        <v>74</v>
      </c>
      <c r="BE478" t="s">
        <v>9572</v>
      </c>
      <c r="BF478" t="str">
        <f>HYPERLINK("http://dx.doi.org/10.1515/cti-2023-0006","http://dx.doi.org/10.1515/cti-2023-0006")</f>
        <v>http://dx.doi.org/10.1515/cti-2023-0006</v>
      </c>
      <c r="BG478" t="s">
        <v>74</v>
      </c>
      <c r="BH478" t="s">
        <v>6218</v>
      </c>
      <c r="BI478">
        <v>15</v>
      </c>
      <c r="BJ478" t="s">
        <v>9573</v>
      </c>
      <c r="BK478" t="s">
        <v>160</v>
      </c>
      <c r="BL478" t="s">
        <v>9574</v>
      </c>
      <c r="BM478" t="s">
        <v>9575</v>
      </c>
      <c r="BN478" t="s">
        <v>74</v>
      </c>
      <c r="BO478" t="s">
        <v>359</v>
      </c>
      <c r="BP478" t="s">
        <v>74</v>
      </c>
      <c r="BQ478" t="s">
        <v>74</v>
      </c>
      <c r="BR478" t="s">
        <v>106</v>
      </c>
      <c r="BS478" t="s">
        <v>9576</v>
      </c>
      <c r="BT478" t="str">
        <f>HYPERLINK("https%3A%2F%2Fwww.webofscience.com%2Fwos%2Fwoscc%2Ffull-record%2FWOS:000944127400001","View Full Record in Web of Science")</f>
        <v>View Full Record in Web of Science</v>
      </c>
    </row>
    <row r="479" spans="1:72" x14ac:dyDescent="0.15">
      <c r="A479" t="s">
        <v>72</v>
      </c>
      <c r="B479" t="s">
        <v>9577</v>
      </c>
      <c r="C479" t="s">
        <v>74</v>
      </c>
      <c r="D479" t="s">
        <v>74</v>
      </c>
      <c r="E479" t="s">
        <v>74</v>
      </c>
      <c r="F479" t="s">
        <v>9578</v>
      </c>
      <c r="G479" t="s">
        <v>74</v>
      </c>
      <c r="H479" t="s">
        <v>74</v>
      </c>
      <c r="I479" t="s">
        <v>9579</v>
      </c>
      <c r="J479" t="s">
        <v>782</v>
      </c>
      <c r="K479" t="s">
        <v>74</v>
      </c>
      <c r="L479" t="s">
        <v>74</v>
      </c>
      <c r="M479" t="s">
        <v>78</v>
      </c>
      <c r="N479" t="s">
        <v>112</v>
      </c>
      <c r="O479" t="s">
        <v>74</v>
      </c>
      <c r="P479" t="s">
        <v>74</v>
      </c>
      <c r="Q479" t="s">
        <v>74</v>
      </c>
      <c r="R479" t="s">
        <v>74</v>
      </c>
      <c r="S479" t="s">
        <v>74</v>
      </c>
      <c r="T479" t="s">
        <v>74</v>
      </c>
      <c r="U479" t="s">
        <v>9580</v>
      </c>
      <c r="V479" t="s">
        <v>9581</v>
      </c>
      <c r="W479" t="s">
        <v>9582</v>
      </c>
      <c r="X479" t="s">
        <v>9583</v>
      </c>
      <c r="Y479" t="s">
        <v>9584</v>
      </c>
      <c r="Z479" t="s">
        <v>9585</v>
      </c>
      <c r="AA479" t="s">
        <v>9586</v>
      </c>
      <c r="AB479" t="s">
        <v>9587</v>
      </c>
      <c r="AC479" t="s">
        <v>9588</v>
      </c>
      <c r="AD479" t="s">
        <v>9589</v>
      </c>
      <c r="AE479" t="s">
        <v>9590</v>
      </c>
      <c r="AF479" t="s">
        <v>74</v>
      </c>
      <c r="AG479">
        <v>45</v>
      </c>
      <c r="AH479">
        <v>3</v>
      </c>
      <c r="AI479">
        <v>3</v>
      </c>
      <c r="AJ479">
        <v>0</v>
      </c>
      <c r="AK479">
        <v>0</v>
      </c>
      <c r="AL479" t="s">
        <v>794</v>
      </c>
      <c r="AM479" t="s">
        <v>795</v>
      </c>
      <c r="AN479" t="s">
        <v>796</v>
      </c>
      <c r="AO479" t="s">
        <v>797</v>
      </c>
      <c r="AP479" t="s">
        <v>798</v>
      </c>
      <c r="AQ479" t="s">
        <v>74</v>
      </c>
      <c r="AR479" t="s">
        <v>782</v>
      </c>
      <c r="AS479" t="s">
        <v>799</v>
      </c>
      <c r="AT479" t="s">
        <v>9591</v>
      </c>
      <c r="AU479">
        <v>2023</v>
      </c>
      <c r="AV479">
        <v>17</v>
      </c>
      <c r="AW479">
        <v>3</v>
      </c>
      <c r="AX479" t="s">
        <v>74</v>
      </c>
      <c r="AY479" t="s">
        <v>74</v>
      </c>
      <c r="AZ479" t="s">
        <v>74</v>
      </c>
      <c r="BA479" t="s">
        <v>74</v>
      </c>
      <c r="BB479">
        <v>1097</v>
      </c>
      <c r="BC479">
        <v>1105</v>
      </c>
      <c r="BD479" t="s">
        <v>74</v>
      </c>
      <c r="BE479" t="s">
        <v>9592</v>
      </c>
      <c r="BF479" t="str">
        <f>HYPERLINK("http://dx.doi.org/10.5194/tc-17-1097-2023","http://dx.doi.org/10.5194/tc-17-1097-2023")</f>
        <v>http://dx.doi.org/10.5194/tc-17-1097-2023</v>
      </c>
      <c r="BG479" t="s">
        <v>74</v>
      </c>
      <c r="BH479" t="s">
        <v>74</v>
      </c>
      <c r="BI479">
        <v>9</v>
      </c>
      <c r="BJ479" t="s">
        <v>801</v>
      </c>
      <c r="BK479" t="s">
        <v>103</v>
      </c>
      <c r="BL479" t="s">
        <v>802</v>
      </c>
      <c r="BM479" t="s">
        <v>9593</v>
      </c>
      <c r="BN479" t="s">
        <v>74</v>
      </c>
      <c r="BO479" t="s">
        <v>359</v>
      </c>
      <c r="BP479" t="s">
        <v>74</v>
      </c>
      <c r="BQ479" t="s">
        <v>74</v>
      </c>
      <c r="BR479" t="s">
        <v>106</v>
      </c>
      <c r="BS479" t="s">
        <v>9594</v>
      </c>
      <c r="BT479" t="str">
        <f>HYPERLINK("https%3A%2F%2Fwww.webofscience.com%2Fwos%2Fwoscc%2Ffull-record%2FWOS:000944014600001","View Full Record in Web of Science")</f>
        <v>View Full Record in Web of Science</v>
      </c>
    </row>
    <row r="480" spans="1:72" x14ac:dyDescent="0.15">
      <c r="A480" t="s">
        <v>72</v>
      </c>
      <c r="B480" t="s">
        <v>9595</v>
      </c>
      <c r="C480" t="s">
        <v>74</v>
      </c>
      <c r="D480" t="s">
        <v>74</v>
      </c>
      <c r="E480" t="s">
        <v>74</v>
      </c>
      <c r="F480" t="s">
        <v>9596</v>
      </c>
      <c r="G480" t="s">
        <v>74</v>
      </c>
      <c r="H480" t="s">
        <v>74</v>
      </c>
      <c r="I480" t="s">
        <v>9597</v>
      </c>
      <c r="J480" t="s">
        <v>782</v>
      </c>
      <c r="K480" t="s">
        <v>74</v>
      </c>
      <c r="L480" t="s">
        <v>74</v>
      </c>
      <c r="M480" t="s">
        <v>78</v>
      </c>
      <c r="N480" t="s">
        <v>112</v>
      </c>
      <c r="O480" t="s">
        <v>74</v>
      </c>
      <c r="P480" t="s">
        <v>74</v>
      </c>
      <c r="Q480" t="s">
        <v>74</v>
      </c>
      <c r="R480" t="s">
        <v>74</v>
      </c>
      <c r="S480" t="s">
        <v>74</v>
      </c>
      <c r="T480" t="s">
        <v>74</v>
      </c>
      <c r="U480" t="s">
        <v>9598</v>
      </c>
      <c r="V480" t="s">
        <v>9599</v>
      </c>
      <c r="W480" t="s">
        <v>9600</v>
      </c>
      <c r="X480" t="s">
        <v>9601</v>
      </c>
      <c r="Y480" t="s">
        <v>9602</v>
      </c>
      <c r="Z480" t="s">
        <v>9603</v>
      </c>
      <c r="AA480" t="s">
        <v>9604</v>
      </c>
      <c r="AB480" t="s">
        <v>9605</v>
      </c>
      <c r="AC480" t="s">
        <v>9606</v>
      </c>
      <c r="AD480" t="s">
        <v>9607</v>
      </c>
      <c r="AE480" t="s">
        <v>9608</v>
      </c>
      <c r="AF480" t="s">
        <v>74</v>
      </c>
      <c r="AG480">
        <v>88</v>
      </c>
      <c r="AH480">
        <v>1</v>
      </c>
      <c r="AI480">
        <v>1</v>
      </c>
      <c r="AJ480">
        <v>0</v>
      </c>
      <c r="AK480">
        <v>6</v>
      </c>
      <c r="AL480" t="s">
        <v>794</v>
      </c>
      <c r="AM480" t="s">
        <v>795</v>
      </c>
      <c r="AN480" t="s">
        <v>796</v>
      </c>
      <c r="AO480" t="s">
        <v>797</v>
      </c>
      <c r="AP480" t="s">
        <v>798</v>
      </c>
      <c r="AQ480" t="s">
        <v>74</v>
      </c>
      <c r="AR480" t="s">
        <v>782</v>
      </c>
      <c r="AS480" t="s">
        <v>799</v>
      </c>
      <c r="AT480" t="s">
        <v>9591</v>
      </c>
      <c r="AU480">
        <v>2023</v>
      </c>
      <c r="AV480">
        <v>17</v>
      </c>
      <c r="AW480">
        <v>3</v>
      </c>
      <c r="AX480" t="s">
        <v>74</v>
      </c>
      <c r="AY480" t="s">
        <v>74</v>
      </c>
      <c r="AZ480" t="s">
        <v>74</v>
      </c>
      <c r="BA480" t="s">
        <v>74</v>
      </c>
      <c r="BB480">
        <v>1107</v>
      </c>
      <c r="BC480">
        <v>1126</v>
      </c>
      <c r="BD480" t="s">
        <v>74</v>
      </c>
      <c r="BE480" t="s">
        <v>9609</v>
      </c>
      <c r="BF480" t="str">
        <f>HYPERLINK("http://dx.doi.org/10.5194/tc-17-1107-2023","http://dx.doi.org/10.5194/tc-17-1107-2023")</f>
        <v>http://dx.doi.org/10.5194/tc-17-1107-2023</v>
      </c>
      <c r="BG480" t="s">
        <v>74</v>
      </c>
      <c r="BH480" t="s">
        <v>74</v>
      </c>
      <c r="BI480">
        <v>20</v>
      </c>
      <c r="BJ480" t="s">
        <v>801</v>
      </c>
      <c r="BK480" t="s">
        <v>103</v>
      </c>
      <c r="BL480" t="s">
        <v>802</v>
      </c>
      <c r="BM480" t="s">
        <v>9610</v>
      </c>
      <c r="BN480" t="s">
        <v>74</v>
      </c>
      <c r="BO480" t="s">
        <v>8374</v>
      </c>
      <c r="BP480" t="s">
        <v>74</v>
      </c>
      <c r="BQ480" t="s">
        <v>74</v>
      </c>
      <c r="BR480" t="s">
        <v>106</v>
      </c>
      <c r="BS480" t="s">
        <v>9611</v>
      </c>
      <c r="BT480" t="str">
        <f>HYPERLINK("https%3A%2F%2Fwww.webofscience.com%2Fwos%2Fwoscc%2Ffull-record%2FWOS:000943811600001","View Full Record in Web of Science")</f>
        <v>View Full Record in Web of Science</v>
      </c>
    </row>
    <row r="481" spans="1:72" x14ac:dyDescent="0.15">
      <c r="A481" t="s">
        <v>72</v>
      </c>
      <c r="B481" t="s">
        <v>9612</v>
      </c>
      <c r="C481" t="s">
        <v>74</v>
      </c>
      <c r="D481" t="s">
        <v>74</v>
      </c>
      <c r="E481" t="s">
        <v>74</v>
      </c>
      <c r="F481" t="s">
        <v>9613</v>
      </c>
      <c r="G481" t="s">
        <v>74</v>
      </c>
      <c r="H481" t="s">
        <v>74</v>
      </c>
      <c r="I481" t="s">
        <v>9614</v>
      </c>
      <c r="J481" t="s">
        <v>9615</v>
      </c>
      <c r="K481" t="s">
        <v>74</v>
      </c>
      <c r="L481" t="s">
        <v>74</v>
      </c>
      <c r="M481" t="s">
        <v>78</v>
      </c>
      <c r="N481" t="s">
        <v>112</v>
      </c>
      <c r="O481" t="s">
        <v>74</v>
      </c>
      <c r="P481" t="s">
        <v>74</v>
      </c>
      <c r="Q481" t="s">
        <v>74</v>
      </c>
      <c r="R481" t="s">
        <v>74</v>
      </c>
      <c r="S481" t="s">
        <v>74</v>
      </c>
      <c r="T481" t="s">
        <v>74</v>
      </c>
      <c r="U481" t="s">
        <v>9616</v>
      </c>
      <c r="V481" t="s">
        <v>9617</v>
      </c>
      <c r="W481" t="s">
        <v>9618</v>
      </c>
      <c r="X481" t="s">
        <v>7629</v>
      </c>
      <c r="Y481" t="s">
        <v>9619</v>
      </c>
      <c r="Z481" t="s">
        <v>9620</v>
      </c>
      <c r="AA481" t="s">
        <v>9621</v>
      </c>
      <c r="AB481" t="s">
        <v>9622</v>
      </c>
      <c r="AC481" t="s">
        <v>74</v>
      </c>
      <c r="AD481" t="s">
        <v>74</v>
      </c>
      <c r="AE481" t="s">
        <v>74</v>
      </c>
      <c r="AF481" t="s">
        <v>74</v>
      </c>
      <c r="AG481">
        <v>64</v>
      </c>
      <c r="AH481">
        <v>4</v>
      </c>
      <c r="AI481">
        <v>4</v>
      </c>
      <c r="AJ481">
        <v>9</v>
      </c>
      <c r="AK481">
        <v>21</v>
      </c>
      <c r="AL481" t="s">
        <v>203</v>
      </c>
      <c r="AM481" t="s">
        <v>204</v>
      </c>
      <c r="AN481" t="s">
        <v>205</v>
      </c>
      <c r="AO481" t="s">
        <v>9623</v>
      </c>
      <c r="AP481" t="s">
        <v>74</v>
      </c>
      <c r="AQ481" t="s">
        <v>74</v>
      </c>
      <c r="AR481" t="s">
        <v>9624</v>
      </c>
      <c r="AS481" t="s">
        <v>9625</v>
      </c>
      <c r="AT481" t="s">
        <v>232</v>
      </c>
      <c r="AU481">
        <v>2023</v>
      </c>
      <c r="AV481">
        <v>6</v>
      </c>
      <c r="AW481">
        <v>6</v>
      </c>
      <c r="AX481" t="s">
        <v>74</v>
      </c>
      <c r="AY481" t="s">
        <v>74</v>
      </c>
      <c r="AZ481" t="s">
        <v>74</v>
      </c>
      <c r="BA481" t="s">
        <v>74</v>
      </c>
      <c r="BB481">
        <v>696</v>
      </c>
      <c r="BC481" t="s">
        <v>1385</v>
      </c>
      <c r="BD481" t="s">
        <v>74</v>
      </c>
      <c r="BE481" t="s">
        <v>9626</v>
      </c>
      <c r="BF481" t="str">
        <f>HYPERLINK("http://dx.doi.org/10.1038/s41893-023-01077-w","http://dx.doi.org/10.1038/s41893-023-01077-w")</f>
        <v>http://dx.doi.org/10.1038/s41893-023-01077-w</v>
      </c>
      <c r="BG481" t="s">
        <v>74</v>
      </c>
      <c r="BH481" t="s">
        <v>6218</v>
      </c>
      <c r="BI481">
        <v>13</v>
      </c>
      <c r="BJ481" t="s">
        <v>594</v>
      </c>
      <c r="BK481" t="s">
        <v>595</v>
      </c>
      <c r="BL481" t="s">
        <v>596</v>
      </c>
      <c r="BM481" t="s">
        <v>9627</v>
      </c>
      <c r="BN481" t="s">
        <v>74</v>
      </c>
      <c r="BO481" t="s">
        <v>74</v>
      </c>
      <c r="BP481" t="s">
        <v>74</v>
      </c>
      <c r="BQ481" t="s">
        <v>74</v>
      </c>
      <c r="BR481" t="s">
        <v>106</v>
      </c>
      <c r="BS481" t="s">
        <v>9628</v>
      </c>
      <c r="BT481" t="str">
        <f>HYPERLINK("https%3A%2F%2Fwww.webofscience.com%2Fwos%2Fwoscc%2Ffull-record%2FWOS:000943957300002","View Full Record in Web of Science")</f>
        <v>View Full Record in Web of Science</v>
      </c>
    </row>
    <row r="482" spans="1:72" x14ac:dyDescent="0.15">
      <c r="A482" t="s">
        <v>72</v>
      </c>
      <c r="B482" t="s">
        <v>9629</v>
      </c>
      <c r="C482" t="s">
        <v>74</v>
      </c>
      <c r="D482" t="s">
        <v>74</v>
      </c>
      <c r="E482" t="s">
        <v>74</v>
      </c>
      <c r="F482" t="s">
        <v>9630</v>
      </c>
      <c r="G482" t="s">
        <v>74</v>
      </c>
      <c r="H482" t="s">
        <v>74</v>
      </c>
      <c r="I482" t="s">
        <v>9631</v>
      </c>
      <c r="J482" t="s">
        <v>782</v>
      </c>
      <c r="K482" t="s">
        <v>74</v>
      </c>
      <c r="L482" t="s">
        <v>74</v>
      </c>
      <c r="M482" t="s">
        <v>78</v>
      </c>
      <c r="N482" t="s">
        <v>112</v>
      </c>
      <c r="O482" t="s">
        <v>74</v>
      </c>
      <c r="P482" t="s">
        <v>74</v>
      </c>
      <c r="Q482" t="s">
        <v>74</v>
      </c>
      <c r="R482" t="s">
        <v>74</v>
      </c>
      <c r="S482" t="s">
        <v>74</v>
      </c>
      <c r="T482" t="s">
        <v>74</v>
      </c>
      <c r="U482" t="s">
        <v>9632</v>
      </c>
      <c r="V482" t="s">
        <v>9633</v>
      </c>
      <c r="W482" t="s">
        <v>9634</v>
      </c>
      <c r="X482" t="s">
        <v>9635</v>
      </c>
      <c r="Y482" t="s">
        <v>9636</v>
      </c>
      <c r="Z482" t="s">
        <v>9637</v>
      </c>
      <c r="AA482" t="s">
        <v>9638</v>
      </c>
      <c r="AB482" t="s">
        <v>9639</v>
      </c>
      <c r="AC482" t="s">
        <v>9640</v>
      </c>
      <c r="AD482" t="s">
        <v>9641</v>
      </c>
      <c r="AE482" t="s">
        <v>9642</v>
      </c>
      <c r="AF482" t="s">
        <v>74</v>
      </c>
      <c r="AG482">
        <v>23</v>
      </c>
      <c r="AH482">
        <v>2</v>
      </c>
      <c r="AI482">
        <v>2</v>
      </c>
      <c r="AJ482">
        <v>8</v>
      </c>
      <c r="AK482">
        <v>26</v>
      </c>
      <c r="AL482" t="s">
        <v>794</v>
      </c>
      <c r="AM482" t="s">
        <v>795</v>
      </c>
      <c r="AN482" t="s">
        <v>796</v>
      </c>
      <c r="AO482" t="s">
        <v>797</v>
      </c>
      <c r="AP482" t="s">
        <v>798</v>
      </c>
      <c r="AQ482" t="s">
        <v>74</v>
      </c>
      <c r="AR482" t="s">
        <v>782</v>
      </c>
      <c r="AS482" t="s">
        <v>799</v>
      </c>
      <c r="AT482" t="s">
        <v>9591</v>
      </c>
      <c r="AU482">
        <v>2023</v>
      </c>
      <c r="AV482">
        <v>17</v>
      </c>
      <c r="AW482">
        <v>3</v>
      </c>
      <c r="AX482" t="s">
        <v>74</v>
      </c>
      <c r="AY482" t="s">
        <v>74</v>
      </c>
      <c r="AZ482" t="s">
        <v>74</v>
      </c>
      <c r="BA482" t="s">
        <v>74</v>
      </c>
      <c r="BB482">
        <v>1089</v>
      </c>
      <c r="BC482">
        <v>1095</v>
      </c>
      <c r="BD482" t="s">
        <v>74</v>
      </c>
      <c r="BE482" t="s">
        <v>9643</v>
      </c>
      <c r="BF482" t="str">
        <f>HYPERLINK("http://dx.doi.org/10.5194/tc-17-1089-2023","http://dx.doi.org/10.5194/tc-17-1089-2023")</f>
        <v>http://dx.doi.org/10.5194/tc-17-1089-2023</v>
      </c>
      <c r="BG482" t="s">
        <v>74</v>
      </c>
      <c r="BH482" t="s">
        <v>74</v>
      </c>
      <c r="BI482">
        <v>7</v>
      </c>
      <c r="BJ482" t="s">
        <v>801</v>
      </c>
      <c r="BK482" t="s">
        <v>103</v>
      </c>
      <c r="BL482" t="s">
        <v>802</v>
      </c>
      <c r="BM482" t="s">
        <v>9644</v>
      </c>
      <c r="BN482" t="s">
        <v>74</v>
      </c>
      <c r="BO482" t="s">
        <v>3241</v>
      </c>
      <c r="BP482" t="s">
        <v>74</v>
      </c>
      <c r="BQ482" t="s">
        <v>74</v>
      </c>
      <c r="BR482" t="s">
        <v>106</v>
      </c>
      <c r="BS482" t="s">
        <v>9645</v>
      </c>
      <c r="BT482" t="str">
        <f>HYPERLINK("https%3A%2F%2Fwww.webofscience.com%2Fwos%2Fwoscc%2Ffull-record%2FWOS:000943979300001","View Full Record in Web of Science")</f>
        <v>View Full Record in Web of Science</v>
      </c>
    </row>
    <row r="483" spans="1:72" x14ac:dyDescent="0.15">
      <c r="A483" t="s">
        <v>72</v>
      </c>
      <c r="B483" t="s">
        <v>9646</v>
      </c>
      <c r="C483" t="s">
        <v>74</v>
      </c>
      <c r="D483" t="s">
        <v>74</v>
      </c>
      <c r="E483" t="s">
        <v>74</v>
      </c>
      <c r="F483" t="s">
        <v>9647</v>
      </c>
      <c r="G483" t="s">
        <v>74</v>
      </c>
      <c r="H483" t="s">
        <v>74</v>
      </c>
      <c r="I483" t="s">
        <v>9648</v>
      </c>
      <c r="J483" t="s">
        <v>8288</v>
      </c>
      <c r="K483" t="s">
        <v>74</v>
      </c>
      <c r="L483" t="s">
        <v>74</v>
      </c>
      <c r="M483" t="s">
        <v>78</v>
      </c>
      <c r="N483" t="s">
        <v>112</v>
      </c>
      <c r="O483" t="s">
        <v>74</v>
      </c>
      <c r="P483" t="s">
        <v>74</v>
      </c>
      <c r="Q483" t="s">
        <v>74</v>
      </c>
      <c r="R483" t="s">
        <v>74</v>
      </c>
      <c r="S483" t="s">
        <v>74</v>
      </c>
      <c r="T483" t="s">
        <v>9649</v>
      </c>
      <c r="U483" t="s">
        <v>9650</v>
      </c>
      <c r="V483" t="s">
        <v>9651</v>
      </c>
      <c r="W483" t="s">
        <v>9652</v>
      </c>
      <c r="X483" t="s">
        <v>9653</v>
      </c>
      <c r="Y483" t="s">
        <v>9654</v>
      </c>
      <c r="Z483" t="s">
        <v>9655</v>
      </c>
      <c r="AA483" t="s">
        <v>9656</v>
      </c>
      <c r="AB483" t="s">
        <v>74</v>
      </c>
      <c r="AC483" t="s">
        <v>9657</v>
      </c>
      <c r="AD483" t="s">
        <v>9658</v>
      </c>
      <c r="AE483" t="s">
        <v>9659</v>
      </c>
      <c r="AF483" t="s">
        <v>74</v>
      </c>
      <c r="AG483">
        <v>79</v>
      </c>
      <c r="AH483">
        <v>0</v>
      </c>
      <c r="AI483">
        <v>0</v>
      </c>
      <c r="AJ483">
        <v>8</v>
      </c>
      <c r="AK483">
        <v>15</v>
      </c>
      <c r="AL483" t="s">
        <v>2092</v>
      </c>
      <c r="AM483" t="s">
        <v>2093</v>
      </c>
      <c r="AN483" t="s">
        <v>2094</v>
      </c>
      <c r="AO483" t="s">
        <v>8301</v>
      </c>
      <c r="AP483" t="s">
        <v>8302</v>
      </c>
      <c r="AQ483" t="s">
        <v>74</v>
      </c>
      <c r="AR483" t="s">
        <v>8303</v>
      </c>
      <c r="AS483" t="s">
        <v>8304</v>
      </c>
      <c r="AT483" t="s">
        <v>9660</v>
      </c>
      <c r="AU483">
        <v>2023</v>
      </c>
      <c r="AV483">
        <v>43</v>
      </c>
      <c r="AW483">
        <v>8</v>
      </c>
      <c r="AX483" t="s">
        <v>74</v>
      </c>
      <c r="AY483" t="s">
        <v>74</v>
      </c>
      <c r="AZ483" t="s">
        <v>74</v>
      </c>
      <c r="BA483" t="s">
        <v>74</v>
      </c>
      <c r="BB483">
        <v>3605</v>
      </c>
      <c r="BC483">
        <v>3628</v>
      </c>
      <c r="BD483" t="s">
        <v>74</v>
      </c>
      <c r="BE483" t="s">
        <v>9661</v>
      </c>
      <c r="BF483" t="str">
        <f>HYPERLINK("http://dx.doi.org/10.1002/joc.8048","http://dx.doi.org/10.1002/joc.8048")</f>
        <v>http://dx.doi.org/10.1002/joc.8048</v>
      </c>
      <c r="BG483" t="s">
        <v>74</v>
      </c>
      <c r="BH483" t="s">
        <v>6218</v>
      </c>
      <c r="BI483">
        <v>24</v>
      </c>
      <c r="BJ483" t="s">
        <v>102</v>
      </c>
      <c r="BK483" t="s">
        <v>103</v>
      </c>
      <c r="BL483" t="s">
        <v>102</v>
      </c>
      <c r="BM483" t="s">
        <v>9662</v>
      </c>
      <c r="BN483" t="s">
        <v>74</v>
      </c>
      <c r="BO483" t="s">
        <v>74</v>
      </c>
      <c r="BP483" t="s">
        <v>74</v>
      </c>
      <c r="BQ483" t="s">
        <v>74</v>
      </c>
      <c r="BR483" t="s">
        <v>106</v>
      </c>
      <c r="BS483" t="s">
        <v>9663</v>
      </c>
      <c r="BT483" t="str">
        <f>HYPERLINK("https%3A%2F%2Fwww.webofscience.com%2Fwos%2Fwoscc%2Ffull-record%2FWOS:000943598100001","View Full Record in Web of Science")</f>
        <v>View Full Record in Web of Science</v>
      </c>
    </row>
    <row r="484" spans="1:72" x14ac:dyDescent="0.15">
      <c r="A484" t="s">
        <v>72</v>
      </c>
      <c r="B484" t="s">
        <v>9664</v>
      </c>
      <c r="C484" t="s">
        <v>74</v>
      </c>
      <c r="D484" t="s">
        <v>74</v>
      </c>
      <c r="E484" t="s">
        <v>74</v>
      </c>
      <c r="F484" t="s">
        <v>9665</v>
      </c>
      <c r="G484" t="s">
        <v>74</v>
      </c>
      <c r="H484" t="s">
        <v>74</v>
      </c>
      <c r="I484" t="s">
        <v>9666</v>
      </c>
      <c r="J484" t="s">
        <v>9667</v>
      </c>
      <c r="K484" t="s">
        <v>74</v>
      </c>
      <c r="L484" t="s">
        <v>74</v>
      </c>
      <c r="M484" t="s">
        <v>78</v>
      </c>
      <c r="N484" t="s">
        <v>112</v>
      </c>
      <c r="O484" t="s">
        <v>74</v>
      </c>
      <c r="P484" t="s">
        <v>74</v>
      </c>
      <c r="Q484" t="s">
        <v>74</v>
      </c>
      <c r="R484" t="s">
        <v>74</v>
      </c>
      <c r="S484" t="s">
        <v>74</v>
      </c>
      <c r="T484" t="s">
        <v>9668</v>
      </c>
      <c r="U484" t="s">
        <v>9669</v>
      </c>
      <c r="V484" t="s">
        <v>9670</v>
      </c>
      <c r="W484" t="s">
        <v>9671</v>
      </c>
      <c r="X484" t="s">
        <v>9672</v>
      </c>
      <c r="Y484" t="s">
        <v>9673</v>
      </c>
      <c r="Z484" t="s">
        <v>9674</v>
      </c>
      <c r="AA484" t="s">
        <v>9675</v>
      </c>
      <c r="AB484" t="s">
        <v>74</v>
      </c>
      <c r="AC484" t="s">
        <v>9676</v>
      </c>
      <c r="AD484" t="s">
        <v>9677</v>
      </c>
      <c r="AE484" t="s">
        <v>9678</v>
      </c>
      <c r="AF484" t="s">
        <v>74</v>
      </c>
      <c r="AG484">
        <v>41</v>
      </c>
      <c r="AH484">
        <v>0</v>
      </c>
      <c r="AI484">
        <v>0</v>
      </c>
      <c r="AJ484">
        <v>3</v>
      </c>
      <c r="AK484">
        <v>5</v>
      </c>
      <c r="AL484" t="s">
        <v>1405</v>
      </c>
      <c r="AM484" t="s">
        <v>226</v>
      </c>
      <c r="AN484" t="s">
        <v>1406</v>
      </c>
      <c r="AO484" t="s">
        <v>9679</v>
      </c>
      <c r="AP484" t="s">
        <v>9680</v>
      </c>
      <c r="AQ484" t="s">
        <v>74</v>
      </c>
      <c r="AR484" t="s">
        <v>9681</v>
      </c>
      <c r="AS484" t="s">
        <v>9682</v>
      </c>
      <c r="AT484" t="s">
        <v>1437</v>
      </c>
      <c r="AU484">
        <v>2023</v>
      </c>
      <c r="AV484">
        <v>191</v>
      </c>
      <c r="AW484" t="s">
        <v>74</v>
      </c>
      <c r="AX484" t="s">
        <v>74</v>
      </c>
      <c r="AY484" t="s">
        <v>74</v>
      </c>
      <c r="AZ484" t="s">
        <v>74</v>
      </c>
      <c r="BA484" t="s">
        <v>74</v>
      </c>
      <c r="BB484" t="s">
        <v>74</v>
      </c>
      <c r="BC484" t="s">
        <v>74</v>
      </c>
      <c r="BD484">
        <v>102553</v>
      </c>
      <c r="BE484" t="s">
        <v>9683</v>
      </c>
      <c r="BF484" t="str">
        <f>HYPERLINK("http://dx.doi.org/10.1016/j.plefa.2023.102553","http://dx.doi.org/10.1016/j.plefa.2023.102553")</f>
        <v>http://dx.doi.org/10.1016/j.plefa.2023.102553</v>
      </c>
      <c r="BG484" t="s">
        <v>74</v>
      </c>
      <c r="BH484" t="s">
        <v>6218</v>
      </c>
      <c r="BI484">
        <v>11</v>
      </c>
      <c r="BJ484" t="s">
        <v>9684</v>
      </c>
      <c r="BK484" t="s">
        <v>103</v>
      </c>
      <c r="BL484" t="s">
        <v>9684</v>
      </c>
      <c r="BM484" t="s">
        <v>9685</v>
      </c>
      <c r="BN484">
        <v>36878083</v>
      </c>
      <c r="BO484" t="s">
        <v>74</v>
      </c>
      <c r="BP484" t="s">
        <v>74</v>
      </c>
      <c r="BQ484" t="s">
        <v>74</v>
      </c>
      <c r="BR484" t="s">
        <v>106</v>
      </c>
      <c r="BS484" t="s">
        <v>9686</v>
      </c>
      <c r="BT484" t="str">
        <f>HYPERLINK("https%3A%2F%2Fwww.webofscience.com%2Fwos%2Fwoscc%2Ffull-record%2FWOS:000995313900001","View Full Record in Web of Science")</f>
        <v>View Full Record in Web of Science</v>
      </c>
    </row>
    <row r="485" spans="1:72" x14ac:dyDescent="0.15">
      <c r="A485" t="s">
        <v>72</v>
      </c>
      <c r="B485" t="s">
        <v>9687</v>
      </c>
      <c r="C485" t="s">
        <v>74</v>
      </c>
      <c r="D485" t="s">
        <v>74</v>
      </c>
      <c r="E485" t="s">
        <v>74</v>
      </c>
      <c r="F485" t="s">
        <v>9688</v>
      </c>
      <c r="G485" t="s">
        <v>74</v>
      </c>
      <c r="H485" t="s">
        <v>74</v>
      </c>
      <c r="I485" t="s">
        <v>9689</v>
      </c>
      <c r="J485" t="s">
        <v>9690</v>
      </c>
      <c r="K485" t="s">
        <v>74</v>
      </c>
      <c r="L485" t="s">
        <v>74</v>
      </c>
      <c r="M485" t="s">
        <v>78</v>
      </c>
      <c r="N485" t="s">
        <v>3844</v>
      </c>
      <c r="O485" t="s">
        <v>74</v>
      </c>
      <c r="P485" t="s">
        <v>74</v>
      </c>
      <c r="Q485" t="s">
        <v>74</v>
      </c>
      <c r="R485" t="s">
        <v>74</v>
      </c>
      <c r="S485" t="s">
        <v>74</v>
      </c>
      <c r="T485" t="s">
        <v>74</v>
      </c>
      <c r="U485" t="s">
        <v>9691</v>
      </c>
      <c r="V485" t="s">
        <v>74</v>
      </c>
      <c r="W485" t="s">
        <v>9692</v>
      </c>
      <c r="X485" t="s">
        <v>9693</v>
      </c>
      <c r="Y485" t="s">
        <v>9694</v>
      </c>
      <c r="Z485" t="s">
        <v>7284</v>
      </c>
      <c r="AA485" t="s">
        <v>9695</v>
      </c>
      <c r="AB485" t="s">
        <v>74</v>
      </c>
      <c r="AC485" t="s">
        <v>74</v>
      </c>
      <c r="AD485" t="s">
        <v>74</v>
      </c>
      <c r="AE485" t="s">
        <v>74</v>
      </c>
      <c r="AF485" t="s">
        <v>74</v>
      </c>
      <c r="AG485">
        <v>23</v>
      </c>
      <c r="AH485">
        <v>0</v>
      </c>
      <c r="AI485">
        <v>0</v>
      </c>
      <c r="AJ485">
        <v>2</v>
      </c>
      <c r="AK485">
        <v>7</v>
      </c>
      <c r="AL485" t="s">
        <v>447</v>
      </c>
      <c r="AM485" t="s">
        <v>448</v>
      </c>
      <c r="AN485" t="s">
        <v>449</v>
      </c>
      <c r="AO485" t="s">
        <v>9696</v>
      </c>
      <c r="AP485" t="s">
        <v>9697</v>
      </c>
      <c r="AQ485" t="s">
        <v>74</v>
      </c>
      <c r="AR485" t="s">
        <v>9698</v>
      </c>
      <c r="AS485" t="s">
        <v>9699</v>
      </c>
      <c r="AT485" t="s">
        <v>232</v>
      </c>
      <c r="AU485">
        <v>2023</v>
      </c>
      <c r="AV485">
        <v>480</v>
      </c>
      <c r="AW485" t="s">
        <v>74</v>
      </c>
      <c r="AX485" t="s">
        <v>74</v>
      </c>
      <c r="AY485" t="s">
        <v>74</v>
      </c>
      <c r="AZ485" t="s">
        <v>74</v>
      </c>
      <c r="BA485" t="s">
        <v>74</v>
      </c>
      <c r="BB485" t="s">
        <v>74</v>
      </c>
      <c r="BC485" t="s">
        <v>74</v>
      </c>
      <c r="BD485">
        <v>110309</v>
      </c>
      <c r="BE485" t="s">
        <v>9700</v>
      </c>
      <c r="BF485" t="str">
        <f>HYPERLINK("http://dx.doi.org/10.1016/j.ecolmodel.2023.110309","http://dx.doi.org/10.1016/j.ecolmodel.2023.110309")</f>
        <v>http://dx.doi.org/10.1016/j.ecolmodel.2023.110309</v>
      </c>
      <c r="BG485" t="s">
        <v>74</v>
      </c>
      <c r="BH485" t="s">
        <v>6218</v>
      </c>
      <c r="BI485">
        <v>2</v>
      </c>
      <c r="BJ485" t="s">
        <v>2101</v>
      </c>
      <c r="BK485" t="s">
        <v>103</v>
      </c>
      <c r="BL485" t="s">
        <v>1164</v>
      </c>
      <c r="BM485" t="s">
        <v>9701</v>
      </c>
      <c r="BN485" t="s">
        <v>74</v>
      </c>
      <c r="BO485" t="s">
        <v>74</v>
      </c>
      <c r="BP485" t="s">
        <v>74</v>
      </c>
      <c r="BQ485" t="s">
        <v>74</v>
      </c>
      <c r="BR485" t="s">
        <v>106</v>
      </c>
      <c r="BS485" t="s">
        <v>9702</v>
      </c>
      <c r="BT485" t="str">
        <f>HYPERLINK("https%3A%2F%2Fwww.webofscience.com%2Fwos%2Fwoscc%2Ffull-record%2FWOS:000958484900001","View Full Record in Web of Science")</f>
        <v>View Full Record in Web of Science</v>
      </c>
    </row>
    <row r="486" spans="1:72" x14ac:dyDescent="0.15">
      <c r="A486" t="s">
        <v>72</v>
      </c>
      <c r="B486" t="s">
        <v>9703</v>
      </c>
      <c r="C486" t="s">
        <v>74</v>
      </c>
      <c r="D486" t="s">
        <v>74</v>
      </c>
      <c r="E486" t="s">
        <v>74</v>
      </c>
      <c r="F486" t="s">
        <v>9704</v>
      </c>
      <c r="G486" t="s">
        <v>74</v>
      </c>
      <c r="H486" t="s">
        <v>74</v>
      </c>
      <c r="I486" t="s">
        <v>9705</v>
      </c>
      <c r="J486" t="s">
        <v>1946</v>
      </c>
      <c r="K486" t="s">
        <v>74</v>
      </c>
      <c r="L486" t="s">
        <v>74</v>
      </c>
      <c r="M486" t="s">
        <v>78</v>
      </c>
      <c r="N486" t="s">
        <v>112</v>
      </c>
      <c r="O486" t="s">
        <v>74</v>
      </c>
      <c r="P486" t="s">
        <v>74</v>
      </c>
      <c r="Q486" t="s">
        <v>74</v>
      </c>
      <c r="R486" t="s">
        <v>74</v>
      </c>
      <c r="S486" t="s">
        <v>74</v>
      </c>
      <c r="T486" t="s">
        <v>9706</v>
      </c>
      <c r="U486" t="s">
        <v>9707</v>
      </c>
      <c r="V486" t="s">
        <v>9708</v>
      </c>
      <c r="W486" t="s">
        <v>9709</v>
      </c>
      <c r="X486" t="s">
        <v>9710</v>
      </c>
      <c r="Y486" t="s">
        <v>9711</v>
      </c>
      <c r="Z486" t="s">
        <v>9712</v>
      </c>
      <c r="AA486" t="s">
        <v>9713</v>
      </c>
      <c r="AB486" t="s">
        <v>9714</v>
      </c>
      <c r="AC486" t="s">
        <v>9715</v>
      </c>
      <c r="AD486" t="s">
        <v>9716</v>
      </c>
      <c r="AE486" t="s">
        <v>9717</v>
      </c>
      <c r="AF486" t="s">
        <v>74</v>
      </c>
      <c r="AG486">
        <v>103</v>
      </c>
      <c r="AH486">
        <v>1</v>
      </c>
      <c r="AI486">
        <v>1</v>
      </c>
      <c r="AJ486">
        <v>7</v>
      </c>
      <c r="AK486">
        <v>13</v>
      </c>
      <c r="AL486" t="s">
        <v>447</v>
      </c>
      <c r="AM486" t="s">
        <v>448</v>
      </c>
      <c r="AN486" t="s">
        <v>449</v>
      </c>
      <c r="AO486" t="s">
        <v>1956</v>
      </c>
      <c r="AP486" t="s">
        <v>1957</v>
      </c>
      <c r="AQ486" t="s">
        <v>74</v>
      </c>
      <c r="AR486" t="s">
        <v>1958</v>
      </c>
      <c r="AS486" t="s">
        <v>1959</v>
      </c>
      <c r="AT486" t="s">
        <v>1437</v>
      </c>
      <c r="AU486">
        <v>2023</v>
      </c>
      <c r="AV486">
        <v>223</v>
      </c>
      <c r="AW486" t="s">
        <v>74</v>
      </c>
      <c r="AX486" t="s">
        <v>74</v>
      </c>
      <c r="AY486" t="s">
        <v>74</v>
      </c>
      <c r="AZ486" t="s">
        <v>74</v>
      </c>
      <c r="BA486" t="s">
        <v>74</v>
      </c>
      <c r="BB486" t="s">
        <v>74</v>
      </c>
      <c r="BC486" t="s">
        <v>74</v>
      </c>
      <c r="BD486">
        <v>104077</v>
      </c>
      <c r="BE486" t="s">
        <v>9718</v>
      </c>
      <c r="BF486" t="str">
        <f>HYPERLINK("http://dx.doi.org/10.1016/j.gloplacha.2023.104077","http://dx.doi.org/10.1016/j.gloplacha.2023.104077")</f>
        <v>http://dx.doi.org/10.1016/j.gloplacha.2023.104077</v>
      </c>
      <c r="BG486" t="s">
        <v>74</v>
      </c>
      <c r="BH486" t="s">
        <v>6218</v>
      </c>
      <c r="BI486">
        <v>12</v>
      </c>
      <c r="BJ486" t="s">
        <v>801</v>
      </c>
      <c r="BK486" t="s">
        <v>103</v>
      </c>
      <c r="BL486" t="s">
        <v>802</v>
      </c>
      <c r="BM486" t="s">
        <v>9719</v>
      </c>
      <c r="BN486" t="s">
        <v>74</v>
      </c>
      <c r="BO486" t="s">
        <v>823</v>
      </c>
      <c r="BP486" t="s">
        <v>74</v>
      </c>
      <c r="BQ486" t="s">
        <v>74</v>
      </c>
      <c r="BR486" t="s">
        <v>106</v>
      </c>
      <c r="BS486" t="s">
        <v>9720</v>
      </c>
      <c r="BT486" t="str">
        <f>HYPERLINK("https%3A%2F%2Fwww.webofscience.com%2Fwos%2Fwoscc%2Ffull-record%2FWOS:000955827300001","View Full Record in Web of Science")</f>
        <v>View Full Record in Web of Science</v>
      </c>
    </row>
    <row r="487" spans="1:72" x14ac:dyDescent="0.15">
      <c r="A487" t="s">
        <v>72</v>
      </c>
      <c r="B487" t="s">
        <v>9721</v>
      </c>
      <c r="C487" t="s">
        <v>74</v>
      </c>
      <c r="D487" t="s">
        <v>74</v>
      </c>
      <c r="E487" t="s">
        <v>74</v>
      </c>
      <c r="F487" t="s">
        <v>9722</v>
      </c>
      <c r="G487" t="s">
        <v>74</v>
      </c>
      <c r="H487" t="s">
        <v>74</v>
      </c>
      <c r="I487" t="s">
        <v>9723</v>
      </c>
      <c r="J487" t="s">
        <v>9724</v>
      </c>
      <c r="K487" t="s">
        <v>74</v>
      </c>
      <c r="L487" t="s">
        <v>74</v>
      </c>
      <c r="M487" t="s">
        <v>78</v>
      </c>
      <c r="N487" t="s">
        <v>112</v>
      </c>
      <c r="O487" t="s">
        <v>74</v>
      </c>
      <c r="P487" t="s">
        <v>74</v>
      </c>
      <c r="Q487" t="s">
        <v>74</v>
      </c>
      <c r="R487" t="s">
        <v>74</v>
      </c>
      <c r="S487" t="s">
        <v>74</v>
      </c>
      <c r="T487" t="s">
        <v>9725</v>
      </c>
      <c r="U487" t="s">
        <v>9726</v>
      </c>
      <c r="V487" t="s">
        <v>9727</v>
      </c>
      <c r="W487" t="s">
        <v>9728</v>
      </c>
      <c r="X487" t="s">
        <v>9729</v>
      </c>
      <c r="Y487" t="s">
        <v>9730</v>
      </c>
      <c r="Z487" t="s">
        <v>9731</v>
      </c>
      <c r="AA487" t="s">
        <v>9732</v>
      </c>
      <c r="AB487" t="s">
        <v>9733</v>
      </c>
      <c r="AC487" t="s">
        <v>74</v>
      </c>
      <c r="AD487" t="s">
        <v>74</v>
      </c>
      <c r="AE487" t="s">
        <v>74</v>
      </c>
      <c r="AF487" t="s">
        <v>74</v>
      </c>
      <c r="AG487">
        <v>60</v>
      </c>
      <c r="AH487">
        <v>3</v>
      </c>
      <c r="AI487">
        <v>3</v>
      </c>
      <c r="AJ487">
        <v>1</v>
      </c>
      <c r="AK487">
        <v>5</v>
      </c>
      <c r="AL487" t="s">
        <v>768</v>
      </c>
      <c r="AM487" t="s">
        <v>2866</v>
      </c>
      <c r="AN487" t="s">
        <v>2867</v>
      </c>
      <c r="AO487" t="s">
        <v>9734</v>
      </c>
      <c r="AP487" t="s">
        <v>9735</v>
      </c>
      <c r="AQ487" t="s">
        <v>74</v>
      </c>
      <c r="AR487" t="s">
        <v>9736</v>
      </c>
      <c r="AS487" t="s">
        <v>9737</v>
      </c>
      <c r="AT487" t="s">
        <v>1437</v>
      </c>
      <c r="AU487">
        <v>2023</v>
      </c>
      <c r="AV487">
        <v>32</v>
      </c>
      <c r="AW487">
        <v>5</v>
      </c>
      <c r="AX487" t="s">
        <v>74</v>
      </c>
      <c r="AY487" t="s">
        <v>74</v>
      </c>
      <c r="AZ487" t="s">
        <v>74</v>
      </c>
      <c r="BA487" t="s">
        <v>74</v>
      </c>
      <c r="BB487">
        <v>1639</v>
      </c>
      <c r="BC487">
        <v>1655</v>
      </c>
      <c r="BD487" t="s">
        <v>74</v>
      </c>
      <c r="BE487" t="s">
        <v>9738</v>
      </c>
      <c r="BF487" t="str">
        <f>HYPERLINK("http://dx.doi.org/10.1007/s10531-023-02568-0","http://dx.doi.org/10.1007/s10531-023-02568-0")</f>
        <v>http://dx.doi.org/10.1007/s10531-023-02568-0</v>
      </c>
      <c r="BG487" t="s">
        <v>74</v>
      </c>
      <c r="BH487" t="s">
        <v>6218</v>
      </c>
      <c r="BI487">
        <v>17</v>
      </c>
      <c r="BJ487" t="s">
        <v>7496</v>
      </c>
      <c r="BK487" t="s">
        <v>103</v>
      </c>
      <c r="BL487" t="s">
        <v>776</v>
      </c>
      <c r="BM487" t="s">
        <v>9739</v>
      </c>
      <c r="BN487" t="s">
        <v>74</v>
      </c>
      <c r="BO487" t="s">
        <v>387</v>
      </c>
      <c r="BP487" t="s">
        <v>74</v>
      </c>
      <c r="BQ487" t="s">
        <v>74</v>
      </c>
      <c r="BR487" t="s">
        <v>106</v>
      </c>
      <c r="BS487" t="s">
        <v>9740</v>
      </c>
      <c r="BT487" t="str">
        <f>HYPERLINK("https%3A%2F%2Fwww.webofscience.com%2Fwos%2Fwoscc%2Ffull-record%2FWOS:000943647300001","View Full Record in Web of Science")</f>
        <v>View Full Record in Web of Science</v>
      </c>
    </row>
    <row r="488" spans="1:72" x14ac:dyDescent="0.15">
      <c r="A488" t="s">
        <v>72</v>
      </c>
      <c r="B488" t="s">
        <v>9741</v>
      </c>
      <c r="C488" t="s">
        <v>74</v>
      </c>
      <c r="D488" t="s">
        <v>74</v>
      </c>
      <c r="E488" t="s">
        <v>74</v>
      </c>
      <c r="F488" t="s">
        <v>9742</v>
      </c>
      <c r="G488" t="s">
        <v>74</v>
      </c>
      <c r="H488" t="s">
        <v>74</v>
      </c>
      <c r="I488" t="s">
        <v>9743</v>
      </c>
      <c r="J488" t="s">
        <v>4198</v>
      </c>
      <c r="K488" t="s">
        <v>74</v>
      </c>
      <c r="L488" t="s">
        <v>74</v>
      </c>
      <c r="M488" t="s">
        <v>78</v>
      </c>
      <c r="N488" t="s">
        <v>112</v>
      </c>
      <c r="O488" t="s">
        <v>74</v>
      </c>
      <c r="P488" t="s">
        <v>74</v>
      </c>
      <c r="Q488" t="s">
        <v>74</v>
      </c>
      <c r="R488" t="s">
        <v>74</v>
      </c>
      <c r="S488" t="s">
        <v>74</v>
      </c>
      <c r="T488" t="s">
        <v>9744</v>
      </c>
      <c r="U488" t="s">
        <v>9745</v>
      </c>
      <c r="V488" t="s">
        <v>9746</v>
      </c>
      <c r="W488" t="s">
        <v>9747</v>
      </c>
      <c r="X488" t="s">
        <v>9748</v>
      </c>
      <c r="Y488" t="s">
        <v>9749</v>
      </c>
      <c r="Z488" t="s">
        <v>607</v>
      </c>
      <c r="AA488" t="s">
        <v>9750</v>
      </c>
      <c r="AB488" t="s">
        <v>9751</v>
      </c>
      <c r="AC488" t="s">
        <v>9752</v>
      </c>
      <c r="AD488" t="s">
        <v>9753</v>
      </c>
      <c r="AE488" t="s">
        <v>9754</v>
      </c>
      <c r="AF488" t="s">
        <v>74</v>
      </c>
      <c r="AG488">
        <v>160</v>
      </c>
      <c r="AH488">
        <v>2</v>
      </c>
      <c r="AI488">
        <v>2</v>
      </c>
      <c r="AJ488">
        <v>13</v>
      </c>
      <c r="AK488">
        <v>28</v>
      </c>
      <c r="AL488" t="s">
        <v>2116</v>
      </c>
      <c r="AM488" t="s">
        <v>226</v>
      </c>
      <c r="AN488" t="s">
        <v>2117</v>
      </c>
      <c r="AO488" t="s">
        <v>4211</v>
      </c>
      <c r="AP488" t="s">
        <v>4212</v>
      </c>
      <c r="AQ488" t="s">
        <v>74</v>
      </c>
      <c r="AR488" t="s">
        <v>4213</v>
      </c>
      <c r="AS488" t="s">
        <v>4214</v>
      </c>
      <c r="AT488" t="s">
        <v>9755</v>
      </c>
      <c r="AU488">
        <v>2023</v>
      </c>
      <c r="AV488">
        <v>40</v>
      </c>
      <c r="AW488">
        <v>3</v>
      </c>
      <c r="AX488" t="s">
        <v>74</v>
      </c>
      <c r="AY488" t="s">
        <v>74</v>
      </c>
      <c r="AZ488" t="s">
        <v>74</v>
      </c>
      <c r="BA488" t="s">
        <v>74</v>
      </c>
      <c r="BB488" t="s">
        <v>74</v>
      </c>
      <c r="BC488" t="s">
        <v>74</v>
      </c>
      <c r="BD488" t="s">
        <v>9756</v>
      </c>
      <c r="BE488" t="s">
        <v>9757</v>
      </c>
      <c r="BF488" t="str">
        <f>HYPERLINK("http://dx.doi.org/10.1093/molbev/msad029","http://dx.doi.org/10.1093/molbev/msad029")</f>
        <v>http://dx.doi.org/10.1093/molbev/msad029</v>
      </c>
      <c r="BG488" t="s">
        <v>74</v>
      </c>
      <c r="BH488" t="s">
        <v>74</v>
      </c>
      <c r="BI488">
        <v>22</v>
      </c>
      <c r="BJ488" t="s">
        <v>4217</v>
      </c>
      <c r="BK488" t="s">
        <v>103</v>
      </c>
      <c r="BL488" t="s">
        <v>4217</v>
      </c>
      <c r="BM488" t="s">
        <v>9758</v>
      </c>
      <c r="BN488">
        <v>36806940</v>
      </c>
      <c r="BO488" t="s">
        <v>9759</v>
      </c>
      <c r="BP488" t="s">
        <v>74</v>
      </c>
      <c r="BQ488" t="s">
        <v>74</v>
      </c>
      <c r="BR488" t="s">
        <v>106</v>
      </c>
      <c r="BS488" t="s">
        <v>9760</v>
      </c>
      <c r="BT488" t="str">
        <f>HYPERLINK("https%3A%2F%2Fwww.webofscience.com%2Fwos%2Fwoscc%2Ffull-record%2FWOS:000943601800003","View Full Record in Web of Science")</f>
        <v>View Full Record in Web of Science</v>
      </c>
    </row>
    <row r="489" spans="1:72" x14ac:dyDescent="0.15">
      <c r="A489" t="s">
        <v>72</v>
      </c>
      <c r="B489" t="s">
        <v>9761</v>
      </c>
      <c r="C489" t="s">
        <v>74</v>
      </c>
      <c r="D489" t="s">
        <v>74</v>
      </c>
      <c r="E489" t="s">
        <v>74</v>
      </c>
      <c r="F489" t="s">
        <v>9762</v>
      </c>
      <c r="G489" t="s">
        <v>74</v>
      </c>
      <c r="H489" t="s">
        <v>74</v>
      </c>
      <c r="I489" t="s">
        <v>9763</v>
      </c>
      <c r="J489" t="s">
        <v>1447</v>
      </c>
      <c r="K489" t="s">
        <v>74</v>
      </c>
      <c r="L489" t="s">
        <v>74</v>
      </c>
      <c r="M489" t="s">
        <v>78</v>
      </c>
      <c r="N489" t="s">
        <v>112</v>
      </c>
      <c r="O489" t="s">
        <v>74</v>
      </c>
      <c r="P489" t="s">
        <v>74</v>
      </c>
      <c r="Q489" t="s">
        <v>74</v>
      </c>
      <c r="R489" t="s">
        <v>74</v>
      </c>
      <c r="S489" t="s">
        <v>74</v>
      </c>
      <c r="T489" t="s">
        <v>9764</v>
      </c>
      <c r="U489" t="s">
        <v>9765</v>
      </c>
      <c r="V489" t="s">
        <v>9766</v>
      </c>
      <c r="W489" t="s">
        <v>9767</v>
      </c>
      <c r="X489" t="s">
        <v>9768</v>
      </c>
      <c r="Y489" t="s">
        <v>9769</v>
      </c>
      <c r="Z489" t="s">
        <v>9770</v>
      </c>
      <c r="AA489" t="s">
        <v>9771</v>
      </c>
      <c r="AB489" t="s">
        <v>9772</v>
      </c>
      <c r="AC489" t="s">
        <v>9773</v>
      </c>
      <c r="AD489" t="s">
        <v>9774</v>
      </c>
      <c r="AE489" t="s">
        <v>9775</v>
      </c>
      <c r="AF489" t="s">
        <v>74</v>
      </c>
      <c r="AG489">
        <v>44</v>
      </c>
      <c r="AH489">
        <v>1</v>
      </c>
      <c r="AI489">
        <v>1</v>
      </c>
      <c r="AJ489">
        <v>0</v>
      </c>
      <c r="AK489">
        <v>1</v>
      </c>
      <c r="AL489" t="s">
        <v>225</v>
      </c>
      <c r="AM489" t="s">
        <v>226</v>
      </c>
      <c r="AN489" t="s">
        <v>227</v>
      </c>
      <c r="AO489" t="s">
        <v>1457</v>
      </c>
      <c r="AP489" t="s">
        <v>1458</v>
      </c>
      <c r="AQ489" t="s">
        <v>74</v>
      </c>
      <c r="AR489" t="s">
        <v>1459</v>
      </c>
      <c r="AS489" t="s">
        <v>1460</v>
      </c>
      <c r="AT489" t="s">
        <v>1437</v>
      </c>
      <c r="AU489">
        <v>2023</v>
      </c>
      <c r="AV489">
        <v>124</v>
      </c>
      <c r="AW489" t="s">
        <v>74</v>
      </c>
      <c r="AX489" t="s">
        <v>74</v>
      </c>
      <c r="AY489" t="s">
        <v>74</v>
      </c>
      <c r="AZ489" t="s">
        <v>74</v>
      </c>
      <c r="BA489" t="s">
        <v>74</v>
      </c>
      <c r="BB489" t="s">
        <v>74</v>
      </c>
      <c r="BC489" t="s">
        <v>74</v>
      </c>
      <c r="BD489">
        <v>104285</v>
      </c>
      <c r="BE489" t="s">
        <v>9776</v>
      </c>
      <c r="BF489" t="str">
        <f>HYPERLINK("http://dx.doi.org/10.1016/j.jsames.2023.104285","http://dx.doi.org/10.1016/j.jsames.2023.104285")</f>
        <v>http://dx.doi.org/10.1016/j.jsames.2023.104285</v>
      </c>
      <c r="BG489" t="s">
        <v>74</v>
      </c>
      <c r="BH489" t="s">
        <v>6218</v>
      </c>
      <c r="BI489">
        <v>11</v>
      </c>
      <c r="BJ489" t="s">
        <v>261</v>
      </c>
      <c r="BK489" t="s">
        <v>103</v>
      </c>
      <c r="BL489" t="s">
        <v>262</v>
      </c>
      <c r="BM489" t="s">
        <v>9777</v>
      </c>
      <c r="BN489" t="s">
        <v>74</v>
      </c>
      <c r="BO489" t="s">
        <v>387</v>
      </c>
      <c r="BP489" t="s">
        <v>74</v>
      </c>
      <c r="BQ489" t="s">
        <v>74</v>
      </c>
      <c r="BR489" t="s">
        <v>106</v>
      </c>
      <c r="BS489" t="s">
        <v>9778</v>
      </c>
      <c r="BT489" t="str">
        <f>HYPERLINK("https%3A%2F%2Fwww.webofscience.com%2Fwos%2Fwoscc%2Ffull-record%2FWOS:000962536600001","View Full Record in Web of Science")</f>
        <v>View Full Record in Web of Science</v>
      </c>
    </row>
    <row r="490" spans="1:72" x14ac:dyDescent="0.15">
      <c r="A490" t="s">
        <v>72</v>
      </c>
      <c r="B490" t="s">
        <v>9779</v>
      </c>
      <c r="C490" t="s">
        <v>74</v>
      </c>
      <c r="D490" t="s">
        <v>74</v>
      </c>
      <c r="E490" t="s">
        <v>74</v>
      </c>
      <c r="F490" t="s">
        <v>9780</v>
      </c>
      <c r="G490" t="s">
        <v>74</v>
      </c>
      <c r="H490" t="s">
        <v>74</v>
      </c>
      <c r="I490" t="s">
        <v>9781</v>
      </c>
      <c r="J490" t="s">
        <v>9782</v>
      </c>
      <c r="K490" t="s">
        <v>74</v>
      </c>
      <c r="L490" t="s">
        <v>74</v>
      </c>
      <c r="M490" t="s">
        <v>78</v>
      </c>
      <c r="N490" t="s">
        <v>112</v>
      </c>
      <c r="O490" t="s">
        <v>74</v>
      </c>
      <c r="P490" t="s">
        <v>74</v>
      </c>
      <c r="Q490" t="s">
        <v>74</v>
      </c>
      <c r="R490" t="s">
        <v>74</v>
      </c>
      <c r="S490" t="s">
        <v>74</v>
      </c>
      <c r="T490" t="s">
        <v>9783</v>
      </c>
      <c r="U490" t="s">
        <v>9784</v>
      </c>
      <c r="V490" t="s">
        <v>9785</v>
      </c>
      <c r="W490" t="s">
        <v>9786</v>
      </c>
      <c r="X490" t="s">
        <v>9787</v>
      </c>
      <c r="Y490" t="s">
        <v>9788</v>
      </c>
      <c r="Z490" t="s">
        <v>9789</v>
      </c>
      <c r="AA490" t="s">
        <v>9790</v>
      </c>
      <c r="AB490" t="s">
        <v>9791</v>
      </c>
      <c r="AC490" t="s">
        <v>9792</v>
      </c>
      <c r="AD490" t="s">
        <v>9793</v>
      </c>
      <c r="AE490" t="s">
        <v>9794</v>
      </c>
      <c r="AF490" t="s">
        <v>74</v>
      </c>
      <c r="AG490">
        <v>55</v>
      </c>
      <c r="AH490">
        <v>4</v>
      </c>
      <c r="AI490">
        <v>4</v>
      </c>
      <c r="AJ490">
        <v>36</v>
      </c>
      <c r="AK490">
        <v>94</v>
      </c>
      <c r="AL490" t="s">
        <v>3119</v>
      </c>
      <c r="AM490" t="s">
        <v>306</v>
      </c>
      <c r="AN490" t="s">
        <v>3120</v>
      </c>
      <c r="AO490" t="s">
        <v>9795</v>
      </c>
      <c r="AP490" t="s">
        <v>74</v>
      </c>
      <c r="AQ490" t="s">
        <v>74</v>
      </c>
      <c r="AR490" t="s">
        <v>9796</v>
      </c>
      <c r="AS490" t="s">
        <v>9797</v>
      </c>
      <c r="AT490" t="s">
        <v>7699</v>
      </c>
      <c r="AU490">
        <v>2023</v>
      </c>
      <c r="AV490">
        <v>13</v>
      </c>
      <c r="AW490">
        <v>6</v>
      </c>
      <c r="AX490" t="s">
        <v>74</v>
      </c>
      <c r="AY490" t="s">
        <v>74</v>
      </c>
      <c r="AZ490" t="s">
        <v>74</v>
      </c>
      <c r="BA490" t="s">
        <v>74</v>
      </c>
      <c r="BB490">
        <v>3830</v>
      </c>
      <c r="BC490">
        <v>3840</v>
      </c>
      <c r="BD490" t="s">
        <v>74</v>
      </c>
      <c r="BE490" t="s">
        <v>9798</v>
      </c>
      <c r="BF490" t="str">
        <f>HYPERLINK("http://dx.doi.org/10.1021/acscatal.2c05891","http://dx.doi.org/10.1021/acscatal.2c05891")</f>
        <v>http://dx.doi.org/10.1021/acscatal.2c05891</v>
      </c>
      <c r="BG490" t="s">
        <v>74</v>
      </c>
      <c r="BH490" t="s">
        <v>6218</v>
      </c>
      <c r="BI490">
        <v>11</v>
      </c>
      <c r="BJ490" t="s">
        <v>9799</v>
      </c>
      <c r="BK490" t="s">
        <v>103</v>
      </c>
      <c r="BL490" t="s">
        <v>1940</v>
      </c>
      <c r="BM490" t="s">
        <v>9800</v>
      </c>
      <c r="BN490" t="s">
        <v>74</v>
      </c>
      <c r="BO490" t="s">
        <v>387</v>
      </c>
      <c r="BP490" t="s">
        <v>74</v>
      </c>
      <c r="BQ490" t="s">
        <v>74</v>
      </c>
      <c r="BR490" t="s">
        <v>106</v>
      </c>
      <c r="BS490" t="s">
        <v>9801</v>
      </c>
      <c r="BT490" t="str">
        <f>HYPERLINK("https%3A%2F%2Fwww.webofscience.com%2Fwos%2Fwoscc%2Ffull-record%2FWOS:000962130700001","View Full Record in Web of Science")</f>
        <v>View Full Record in Web of Science</v>
      </c>
    </row>
    <row r="491" spans="1:72" x14ac:dyDescent="0.15">
      <c r="A491" t="s">
        <v>72</v>
      </c>
      <c r="B491" t="s">
        <v>9802</v>
      </c>
      <c r="C491" t="s">
        <v>74</v>
      </c>
      <c r="D491" t="s">
        <v>74</v>
      </c>
      <c r="E491" t="s">
        <v>74</v>
      </c>
      <c r="F491" t="s">
        <v>9803</v>
      </c>
      <c r="G491" t="s">
        <v>74</v>
      </c>
      <c r="H491" t="s">
        <v>74</v>
      </c>
      <c r="I491" t="s">
        <v>9804</v>
      </c>
      <c r="J491" t="s">
        <v>9805</v>
      </c>
      <c r="K491" t="s">
        <v>74</v>
      </c>
      <c r="L491" t="s">
        <v>74</v>
      </c>
      <c r="M491" t="s">
        <v>78</v>
      </c>
      <c r="N491" t="s">
        <v>112</v>
      </c>
      <c r="O491" t="s">
        <v>74</v>
      </c>
      <c r="P491" t="s">
        <v>74</v>
      </c>
      <c r="Q491" t="s">
        <v>74</v>
      </c>
      <c r="R491" t="s">
        <v>74</v>
      </c>
      <c r="S491" t="s">
        <v>74</v>
      </c>
      <c r="T491" t="s">
        <v>9806</v>
      </c>
      <c r="U491" t="s">
        <v>9807</v>
      </c>
      <c r="V491" t="s">
        <v>9808</v>
      </c>
      <c r="W491" t="s">
        <v>9809</v>
      </c>
      <c r="X491" t="s">
        <v>9810</v>
      </c>
      <c r="Y491" t="s">
        <v>9811</v>
      </c>
      <c r="Z491" t="s">
        <v>9812</v>
      </c>
      <c r="AA491" t="s">
        <v>9813</v>
      </c>
      <c r="AB491" t="s">
        <v>9814</v>
      </c>
      <c r="AC491" t="s">
        <v>9815</v>
      </c>
      <c r="AD491" t="s">
        <v>9816</v>
      </c>
      <c r="AE491" t="s">
        <v>9817</v>
      </c>
      <c r="AF491" t="s">
        <v>74</v>
      </c>
      <c r="AG491">
        <v>53</v>
      </c>
      <c r="AH491">
        <v>1</v>
      </c>
      <c r="AI491">
        <v>1</v>
      </c>
      <c r="AJ491">
        <v>1</v>
      </c>
      <c r="AK491">
        <v>7</v>
      </c>
      <c r="AL491" t="s">
        <v>3119</v>
      </c>
      <c r="AM491" t="s">
        <v>306</v>
      </c>
      <c r="AN491" t="s">
        <v>3120</v>
      </c>
      <c r="AO491" t="s">
        <v>9818</v>
      </c>
      <c r="AP491" t="s">
        <v>74</v>
      </c>
      <c r="AQ491" t="s">
        <v>74</v>
      </c>
      <c r="AR491" t="s">
        <v>9819</v>
      </c>
      <c r="AS491" t="s">
        <v>9820</v>
      </c>
      <c r="AT491" t="s">
        <v>7699</v>
      </c>
      <c r="AU491">
        <v>2023</v>
      </c>
      <c r="AV491">
        <v>12</v>
      </c>
      <c r="AW491">
        <v>3</v>
      </c>
      <c r="AX491" t="s">
        <v>74</v>
      </c>
      <c r="AY491" t="s">
        <v>74</v>
      </c>
      <c r="AZ491" t="s">
        <v>74</v>
      </c>
      <c r="BA491" t="s">
        <v>74</v>
      </c>
      <c r="BB491">
        <v>722</v>
      </c>
      <c r="BC491">
        <v>734</v>
      </c>
      <c r="BD491" t="s">
        <v>74</v>
      </c>
      <c r="BE491" t="s">
        <v>9821</v>
      </c>
      <c r="BF491" t="str">
        <f>HYPERLINK("http://dx.doi.org/10.1021/acssynbio.2c00543","http://dx.doi.org/10.1021/acssynbio.2c00543")</f>
        <v>http://dx.doi.org/10.1021/acssynbio.2c00543</v>
      </c>
      <c r="BG491" t="s">
        <v>74</v>
      </c>
      <c r="BH491" t="s">
        <v>6218</v>
      </c>
      <c r="BI491">
        <v>13</v>
      </c>
      <c r="BJ491" t="s">
        <v>9822</v>
      </c>
      <c r="BK491" t="s">
        <v>103</v>
      </c>
      <c r="BL491" t="s">
        <v>9823</v>
      </c>
      <c r="BM491" t="s">
        <v>9824</v>
      </c>
      <c r="BN491">
        <v>36862944</v>
      </c>
      <c r="BO491" t="s">
        <v>74</v>
      </c>
      <c r="BP491" t="s">
        <v>74</v>
      </c>
      <c r="BQ491" t="s">
        <v>74</v>
      </c>
      <c r="BR491" t="s">
        <v>106</v>
      </c>
      <c r="BS491" t="s">
        <v>9825</v>
      </c>
      <c r="BT491" t="str">
        <f>HYPERLINK("https%3A%2F%2Fwww.webofscience.com%2Fwos%2Fwoscc%2Ffull-record%2FWOS:000943592800001","View Full Record in Web of Science")</f>
        <v>View Full Record in Web of Science</v>
      </c>
    </row>
    <row r="492" spans="1:72" x14ac:dyDescent="0.15">
      <c r="A492" t="s">
        <v>72</v>
      </c>
      <c r="B492" t="s">
        <v>9826</v>
      </c>
      <c r="C492" t="s">
        <v>74</v>
      </c>
      <c r="D492" t="s">
        <v>74</v>
      </c>
      <c r="E492" t="s">
        <v>74</v>
      </c>
      <c r="F492" t="s">
        <v>9827</v>
      </c>
      <c r="G492" t="s">
        <v>74</v>
      </c>
      <c r="H492" t="s">
        <v>74</v>
      </c>
      <c r="I492" t="s">
        <v>9828</v>
      </c>
      <c r="J492" t="s">
        <v>8578</v>
      </c>
      <c r="K492" t="s">
        <v>74</v>
      </c>
      <c r="L492" t="s">
        <v>74</v>
      </c>
      <c r="M492" t="s">
        <v>78</v>
      </c>
      <c r="N492" t="s">
        <v>112</v>
      </c>
      <c r="O492" t="s">
        <v>74</v>
      </c>
      <c r="P492" t="s">
        <v>74</v>
      </c>
      <c r="Q492" t="s">
        <v>74</v>
      </c>
      <c r="R492" t="s">
        <v>74</v>
      </c>
      <c r="S492" t="s">
        <v>74</v>
      </c>
      <c r="T492" t="s">
        <v>9829</v>
      </c>
      <c r="U492" t="s">
        <v>9830</v>
      </c>
      <c r="V492" t="s">
        <v>9831</v>
      </c>
      <c r="W492" t="s">
        <v>9832</v>
      </c>
      <c r="X492" t="s">
        <v>9833</v>
      </c>
      <c r="Y492" t="s">
        <v>9834</v>
      </c>
      <c r="Z492" t="s">
        <v>9835</v>
      </c>
      <c r="AA492" t="s">
        <v>9836</v>
      </c>
      <c r="AB492" t="s">
        <v>9837</v>
      </c>
      <c r="AC492" t="s">
        <v>9838</v>
      </c>
      <c r="AD492" t="s">
        <v>9839</v>
      </c>
      <c r="AE492" t="s">
        <v>9840</v>
      </c>
      <c r="AF492" t="s">
        <v>74</v>
      </c>
      <c r="AG492">
        <v>63</v>
      </c>
      <c r="AH492">
        <v>2</v>
      </c>
      <c r="AI492">
        <v>2</v>
      </c>
      <c r="AJ492">
        <v>6</v>
      </c>
      <c r="AK492">
        <v>14</v>
      </c>
      <c r="AL492" t="s">
        <v>447</v>
      </c>
      <c r="AM492" t="s">
        <v>448</v>
      </c>
      <c r="AN492" t="s">
        <v>449</v>
      </c>
      <c r="AO492" t="s">
        <v>8590</v>
      </c>
      <c r="AP492" t="s">
        <v>8591</v>
      </c>
      <c r="AQ492" t="s">
        <v>74</v>
      </c>
      <c r="AR492" t="s">
        <v>8592</v>
      </c>
      <c r="AS492" t="s">
        <v>8593</v>
      </c>
      <c r="AT492" t="s">
        <v>4546</v>
      </c>
      <c r="AU492">
        <v>2023</v>
      </c>
      <c r="AV492">
        <v>607</v>
      </c>
      <c r="AW492" t="s">
        <v>74</v>
      </c>
      <c r="AX492" t="s">
        <v>74</v>
      </c>
      <c r="AY492" t="s">
        <v>74</v>
      </c>
      <c r="AZ492" t="s">
        <v>74</v>
      </c>
      <c r="BA492" t="s">
        <v>74</v>
      </c>
      <c r="BB492" t="s">
        <v>74</v>
      </c>
      <c r="BC492" t="s">
        <v>74</v>
      </c>
      <c r="BD492">
        <v>118067</v>
      </c>
      <c r="BE492" t="s">
        <v>9841</v>
      </c>
      <c r="BF492" t="str">
        <f>HYPERLINK("http://dx.doi.org/10.1016/j.epsl.2023.118067","http://dx.doi.org/10.1016/j.epsl.2023.118067")</f>
        <v>http://dx.doi.org/10.1016/j.epsl.2023.118067</v>
      </c>
      <c r="BG492" t="s">
        <v>74</v>
      </c>
      <c r="BH492" t="s">
        <v>6218</v>
      </c>
      <c r="BI492">
        <v>10</v>
      </c>
      <c r="BJ492" t="s">
        <v>313</v>
      </c>
      <c r="BK492" t="s">
        <v>103</v>
      </c>
      <c r="BL492" t="s">
        <v>313</v>
      </c>
      <c r="BM492" t="s">
        <v>9842</v>
      </c>
      <c r="BN492" t="s">
        <v>74</v>
      </c>
      <c r="BO492" t="s">
        <v>74</v>
      </c>
      <c r="BP492" t="s">
        <v>74</v>
      </c>
      <c r="BQ492" t="s">
        <v>74</v>
      </c>
      <c r="BR492" t="s">
        <v>106</v>
      </c>
      <c r="BS492" t="s">
        <v>9843</v>
      </c>
      <c r="BT492" t="str">
        <f>HYPERLINK("https%3A%2F%2Fwww.webofscience.com%2Fwos%2Fwoscc%2Ffull-record%2FWOS:000965849300001","View Full Record in Web of Science")</f>
        <v>View Full Record in Web of Science</v>
      </c>
    </row>
    <row r="493" spans="1:72" x14ac:dyDescent="0.15">
      <c r="A493" t="s">
        <v>72</v>
      </c>
      <c r="B493" t="s">
        <v>9844</v>
      </c>
      <c r="C493" t="s">
        <v>74</v>
      </c>
      <c r="D493" t="s">
        <v>74</v>
      </c>
      <c r="E493" t="s">
        <v>74</v>
      </c>
      <c r="F493" t="s">
        <v>9845</v>
      </c>
      <c r="G493" t="s">
        <v>74</v>
      </c>
      <c r="H493" t="s">
        <v>74</v>
      </c>
      <c r="I493" t="s">
        <v>9846</v>
      </c>
      <c r="J493" t="s">
        <v>9847</v>
      </c>
      <c r="K493" t="s">
        <v>74</v>
      </c>
      <c r="L493" t="s">
        <v>74</v>
      </c>
      <c r="M493" t="s">
        <v>78</v>
      </c>
      <c r="N493" t="s">
        <v>112</v>
      </c>
      <c r="O493" t="s">
        <v>74</v>
      </c>
      <c r="P493" t="s">
        <v>74</v>
      </c>
      <c r="Q493" t="s">
        <v>74</v>
      </c>
      <c r="R493" t="s">
        <v>74</v>
      </c>
      <c r="S493" t="s">
        <v>74</v>
      </c>
      <c r="T493" t="s">
        <v>9848</v>
      </c>
      <c r="U493" t="s">
        <v>9849</v>
      </c>
      <c r="V493" t="s">
        <v>9850</v>
      </c>
      <c r="W493" t="s">
        <v>9851</v>
      </c>
      <c r="X493" t="s">
        <v>9852</v>
      </c>
      <c r="Y493" t="s">
        <v>9853</v>
      </c>
      <c r="Z493" t="s">
        <v>9854</v>
      </c>
      <c r="AA493" t="s">
        <v>74</v>
      </c>
      <c r="AB493" t="s">
        <v>9855</v>
      </c>
      <c r="AC493" t="s">
        <v>9856</v>
      </c>
      <c r="AD493" t="s">
        <v>9857</v>
      </c>
      <c r="AE493" t="s">
        <v>9858</v>
      </c>
      <c r="AF493" t="s">
        <v>74</v>
      </c>
      <c r="AG493">
        <v>54</v>
      </c>
      <c r="AH493">
        <v>3</v>
      </c>
      <c r="AI493">
        <v>3</v>
      </c>
      <c r="AJ493">
        <v>4</v>
      </c>
      <c r="AK493">
        <v>12</v>
      </c>
      <c r="AL493" t="s">
        <v>2092</v>
      </c>
      <c r="AM493" t="s">
        <v>2093</v>
      </c>
      <c r="AN493" t="s">
        <v>2094</v>
      </c>
      <c r="AO493" t="s">
        <v>9859</v>
      </c>
      <c r="AP493" t="s">
        <v>9860</v>
      </c>
      <c r="AQ493" t="s">
        <v>74</v>
      </c>
      <c r="AR493" t="s">
        <v>9861</v>
      </c>
      <c r="AS493" t="s">
        <v>9862</v>
      </c>
      <c r="AT493" t="s">
        <v>232</v>
      </c>
      <c r="AU493">
        <v>2023</v>
      </c>
      <c r="AV493">
        <v>37</v>
      </c>
      <c r="AW493">
        <v>3</v>
      </c>
      <c r="AX493" t="s">
        <v>74</v>
      </c>
      <c r="AY493" t="s">
        <v>74</v>
      </c>
      <c r="AZ493" t="s">
        <v>74</v>
      </c>
      <c r="BA493" t="s">
        <v>74</v>
      </c>
      <c r="BB493" t="s">
        <v>74</v>
      </c>
      <c r="BC493" t="s">
        <v>74</v>
      </c>
      <c r="BD493" t="s">
        <v>74</v>
      </c>
      <c r="BE493" t="s">
        <v>9863</v>
      </c>
      <c r="BF493" t="str">
        <f>HYPERLINK("http://dx.doi.org/10.1111/cobi.14059","http://dx.doi.org/10.1111/cobi.14059")</f>
        <v>http://dx.doi.org/10.1111/cobi.14059</v>
      </c>
      <c r="BG493" t="s">
        <v>74</v>
      </c>
      <c r="BH493" t="s">
        <v>6218</v>
      </c>
      <c r="BI493">
        <v>10</v>
      </c>
      <c r="BJ493" t="s">
        <v>7496</v>
      </c>
      <c r="BK493" t="s">
        <v>103</v>
      </c>
      <c r="BL493" t="s">
        <v>776</v>
      </c>
      <c r="BM493" t="s">
        <v>9864</v>
      </c>
      <c r="BN493">
        <v>36661063</v>
      </c>
      <c r="BO493" t="s">
        <v>823</v>
      </c>
      <c r="BP493" t="s">
        <v>74</v>
      </c>
      <c r="BQ493" t="s">
        <v>74</v>
      </c>
      <c r="BR493" t="s">
        <v>106</v>
      </c>
      <c r="BS493" t="s">
        <v>9865</v>
      </c>
      <c r="BT493" t="str">
        <f>HYPERLINK("https%3A%2F%2Fwww.webofscience.com%2Fwos%2Fwoscc%2Ffull-record%2FWOS:000942676600001","View Full Record in Web of Science")</f>
        <v>View Full Record in Web of Science</v>
      </c>
    </row>
    <row r="494" spans="1:72" x14ac:dyDescent="0.15">
      <c r="A494" t="s">
        <v>72</v>
      </c>
      <c r="B494" t="s">
        <v>9866</v>
      </c>
      <c r="C494" t="s">
        <v>74</v>
      </c>
      <c r="D494" t="s">
        <v>74</v>
      </c>
      <c r="E494" t="s">
        <v>74</v>
      </c>
      <c r="F494" t="s">
        <v>9867</v>
      </c>
      <c r="G494" t="s">
        <v>74</v>
      </c>
      <c r="H494" t="s">
        <v>74</v>
      </c>
      <c r="I494" t="s">
        <v>9868</v>
      </c>
      <c r="J494" t="s">
        <v>1707</v>
      </c>
      <c r="K494" t="s">
        <v>74</v>
      </c>
      <c r="L494" t="s">
        <v>74</v>
      </c>
      <c r="M494" t="s">
        <v>78</v>
      </c>
      <c r="N494" t="s">
        <v>365</v>
      </c>
      <c r="O494" t="s">
        <v>74</v>
      </c>
      <c r="P494" t="s">
        <v>74</v>
      </c>
      <c r="Q494" t="s">
        <v>74</v>
      </c>
      <c r="R494" t="s">
        <v>74</v>
      </c>
      <c r="S494" t="s">
        <v>74</v>
      </c>
      <c r="T494" t="s">
        <v>9869</v>
      </c>
      <c r="U494" t="s">
        <v>9870</v>
      </c>
      <c r="V494" t="s">
        <v>9871</v>
      </c>
      <c r="W494" t="s">
        <v>9872</v>
      </c>
      <c r="X494" t="s">
        <v>9873</v>
      </c>
      <c r="Y494" t="s">
        <v>9874</v>
      </c>
      <c r="Z494" t="s">
        <v>9875</v>
      </c>
      <c r="AA494" t="s">
        <v>9876</v>
      </c>
      <c r="AB494" t="s">
        <v>9877</v>
      </c>
      <c r="AC494" t="s">
        <v>9878</v>
      </c>
      <c r="AD494" t="s">
        <v>9879</v>
      </c>
      <c r="AE494" t="s">
        <v>9880</v>
      </c>
      <c r="AF494" t="s">
        <v>74</v>
      </c>
      <c r="AG494">
        <v>70</v>
      </c>
      <c r="AH494">
        <v>1</v>
      </c>
      <c r="AI494">
        <v>1</v>
      </c>
      <c r="AJ494">
        <v>9</v>
      </c>
      <c r="AK494">
        <v>18</v>
      </c>
      <c r="AL494" t="s">
        <v>225</v>
      </c>
      <c r="AM494" t="s">
        <v>226</v>
      </c>
      <c r="AN494" t="s">
        <v>227</v>
      </c>
      <c r="AO494" t="s">
        <v>1719</v>
      </c>
      <c r="AP494" t="s">
        <v>1720</v>
      </c>
      <c r="AQ494" t="s">
        <v>74</v>
      </c>
      <c r="AR494" t="s">
        <v>1721</v>
      </c>
      <c r="AS494" t="s">
        <v>1722</v>
      </c>
      <c r="AT494" t="s">
        <v>8042</v>
      </c>
      <c r="AU494">
        <v>2023</v>
      </c>
      <c r="AV494">
        <v>212</v>
      </c>
      <c r="AW494" t="s">
        <v>74</v>
      </c>
      <c r="AX494" t="s">
        <v>74</v>
      </c>
      <c r="AY494" t="s">
        <v>74</v>
      </c>
      <c r="AZ494" t="s">
        <v>74</v>
      </c>
      <c r="BA494" t="s">
        <v>74</v>
      </c>
      <c r="BB494" t="s">
        <v>74</v>
      </c>
      <c r="BC494" t="s">
        <v>74</v>
      </c>
      <c r="BD494">
        <v>102997</v>
      </c>
      <c r="BE494" t="s">
        <v>9881</v>
      </c>
      <c r="BF494" t="str">
        <f>HYPERLINK("http://dx.doi.org/10.1016/j.pocean.2023.102997","http://dx.doi.org/10.1016/j.pocean.2023.102997")</f>
        <v>http://dx.doi.org/10.1016/j.pocean.2023.102997</v>
      </c>
      <c r="BG494" t="s">
        <v>74</v>
      </c>
      <c r="BH494" t="s">
        <v>6218</v>
      </c>
      <c r="BI494">
        <v>22</v>
      </c>
      <c r="BJ494" t="s">
        <v>863</v>
      </c>
      <c r="BK494" t="s">
        <v>103</v>
      </c>
      <c r="BL494" t="s">
        <v>863</v>
      </c>
      <c r="BM494" t="s">
        <v>9882</v>
      </c>
      <c r="BN494" t="s">
        <v>74</v>
      </c>
      <c r="BO494" t="s">
        <v>74</v>
      </c>
      <c r="BP494" t="s">
        <v>74</v>
      </c>
      <c r="BQ494" t="s">
        <v>74</v>
      </c>
      <c r="BR494" t="s">
        <v>106</v>
      </c>
      <c r="BS494" t="s">
        <v>9883</v>
      </c>
      <c r="BT494" t="str">
        <f>HYPERLINK("https%3A%2F%2Fwww.webofscience.com%2Fwos%2Fwoscc%2Ffull-record%2FWOS:000951469200001","View Full Record in Web of Science")</f>
        <v>View Full Record in Web of Science</v>
      </c>
    </row>
    <row r="495" spans="1:72" x14ac:dyDescent="0.15">
      <c r="A495" t="s">
        <v>72</v>
      </c>
      <c r="B495" t="s">
        <v>9884</v>
      </c>
      <c r="C495" t="s">
        <v>74</v>
      </c>
      <c r="D495" t="s">
        <v>74</v>
      </c>
      <c r="E495" t="s">
        <v>74</v>
      </c>
      <c r="F495" t="s">
        <v>9885</v>
      </c>
      <c r="G495" t="s">
        <v>74</v>
      </c>
      <c r="H495" t="s">
        <v>74</v>
      </c>
      <c r="I495" t="s">
        <v>9886</v>
      </c>
      <c r="J495" t="s">
        <v>1215</v>
      </c>
      <c r="K495" t="s">
        <v>74</v>
      </c>
      <c r="L495" t="s">
        <v>74</v>
      </c>
      <c r="M495" t="s">
        <v>78</v>
      </c>
      <c r="N495" t="s">
        <v>112</v>
      </c>
      <c r="O495" t="s">
        <v>74</v>
      </c>
      <c r="P495" t="s">
        <v>74</v>
      </c>
      <c r="Q495" t="s">
        <v>74</v>
      </c>
      <c r="R495" t="s">
        <v>74</v>
      </c>
      <c r="S495" t="s">
        <v>74</v>
      </c>
      <c r="T495" t="s">
        <v>9887</v>
      </c>
      <c r="U495" t="s">
        <v>9888</v>
      </c>
      <c r="V495" t="s">
        <v>9889</v>
      </c>
      <c r="W495" t="s">
        <v>9890</v>
      </c>
      <c r="X495" t="s">
        <v>9891</v>
      </c>
      <c r="Y495" t="s">
        <v>9892</v>
      </c>
      <c r="Z495" t="s">
        <v>9893</v>
      </c>
      <c r="AA495" t="s">
        <v>9894</v>
      </c>
      <c r="AB495" t="s">
        <v>9895</v>
      </c>
      <c r="AC495" t="s">
        <v>9896</v>
      </c>
      <c r="AD495" t="s">
        <v>9897</v>
      </c>
      <c r="AE495" t="s">
        <v>9898</v>
      </c>
      <c r="AF495" t="s">
        <v>74</v>
      </c>
      <c r="AG495">
        <v>109</v>
      </c>
      <c r="AH495">
        <v>3</v>
      </c>
      <c r="AI495">
        <v>4</v>
      </c>
      <c r="AJ495">
        <v>9</v>
      </c>
      <c r="AK495">
        <v>26</v>
      </c>
      <c r="AL495" t="s">
        <v>700</v>
      </c>
      <c r="AM495" t="s">
        <v>701</v>
      </c>
      <c r="AN495" t="s">
        <v>702</v>
      </c>
      <c r="AO495" t="s">
        <v>74</v>
      </c>
      <c r="AP495" t="s">
        <v>1228</v>
      </c>
      <c r="AQ495" t="s">
        <v>74</v>
      </c>
      <c r="AR495" t="s">
        <v>1229</v>
      </c>
      <c r="AS495" t="s">
        <v>1230</v>
      </c>
      <c r="AT495" t="s">
        <v>9899</v>
      </c>
      <c r="AU495">
        <v>2023</v>
      </c>
      <c r="AV495">
        <v>9</v>
      </c>
      <c r="AW495" t="s">
        <v>74</v>
      </c>
      <c r="AX495" t="s">
        <v>74</v>
      </c>
      <c r="AY495" t="s">
        <v>74</v>
      </c>
      <c r="AZ495" t="s">
        <v>74</v>
      </c>
      <c r="BA495" t="s">
        <v>74</v>
      </c>
      <c r="BB495" t="s">
        <v>74</v>
      </c>
      <c r="BC495" t="s">
        <v>74</v>
      </c>
      <c r="BD495">
        <v>876830</v>
      </c>
      <c r="BE495" t="s">
        <v>9900</v>
      </c>
      <c r="BF495" t="str">
        <f>HYPERLINK("http://dx.doi.org/10.3389/fmars.2022.876830","http://dx.doi.org/10.3389/fmars.2022.876830")</f>
        <v>http://dx.doi.org/10.3389/fmars.2022.876830</v>
      </c>
      <c r="BG495" t="s">
        <v>74</v>
      </c>
      <c r="BH495" t="s">
        <v>74</v>
      </c>
      <c r="BI495">
        <v>19</v>
      </c>
      <c r="BJ495" t="s">
        <v>636</v>
      </c>
      <c r="BK495" t="s">
        <v>103</v>
      </c>
      <c r="BL495" t="s">
        <v>637</v>
      </c>
      <c r="BM495" t="s">
        <v>9901</v>
      </c>
      <c r="BN495" t="s">
        <v>74</v>
      </c>
      <c r="BO495" t="s">
        <v>136</v>
      </c>
      <c r="BP495" t="s">
        <v>74</v>
      </c>
      <c r="BQ495" t="s">
        <v>74</v>
      </c>
      <c r="BR495" t="s">
        <v>106</v>
      </c>
      <c r="BS495" t="s">
        <v>9902</v>
      </c>
      <c r="BT495" t="str">
        <f>HYPERLINK("https%3A%2F%2Fwww.webofscience.com%2Fwos%2Fwoscc%2Ffull-record%2FWOS:000950145200001","View Full Record in Web of Science")</f>
        <v>View Full Record in Web of Science</v>
      </c>
    </row>
    <row r="496" spans="1:72" x14ac:dyDescent="0.15">
      <c r="A496" t="s">
        <v>72</v>
      </c>
      <c r="B496" t="s">
        <v>9903</v>
      </c>
      <c r="C496" t="s">
        <v>74</v>
      </c>
      <c r="D496" t="s">
        <v>74</v>
      </c>
      <c r="E496" t="s">
        <v>74</v>
      </c>
      <c r="F496" t="s">
        <v>9904</v>
      </c>
      <c r="G496" t="s">
        <v>74</v>
      </c>
      <c r="H496" t="s">
        <v>74</v>
      </c>
      <c r="I496" t="s">
        <v>9905</v>
      </c>
      <c r="J496" t="s">
        <v>9906</v>
      </c>
      <c r="K496" t="s">
        <v>74</v>
      </c>
      <c r="L496" t="s">
        <v>74</v>
      </c>
      <c r="M496" t="s">
        <v>78</v>
      </c>
      <c r="N496" t="s">
        <v>112</v>
      </c>
      <c r="O496" t="s">
        <v>74</v>
      </c>
      <c r="P496" t="s">
        <v>74</v>
      </c>
      <c r="Q496" t="s">
        <v>74</v>
      </c>
      <c r="R496" t="s">
        <v>74</v>
      </c>
      <c r="S496" t="s">
        <v>74</v>
      </c>
      <c r="T496" t="s">
        <v>74</v>
      </c>
      <c r="U496" t="s">
        <v>9907</v>
      </c>
      <c r="V496" t="s">
        <v>9908</v>
      </c>
      <c r="W496" t="s">
        <v>9909</v>
      </c>
      <c r="X496" t="s">
        <v>9910</v>
      </c>
      <c r="Y496" t="s">
        <v>9911</v>
      </c>
      <c r="Z496" t="s">
        <v>9912</v>
      </c>
      <c r="AA496" t="s">
        <v>74</v>
      </c>
      <c r="AB496" t="s">
        <v>9913</v>
      </c>
      <c r="AC496" t="s">
        <v>9914</v>
      </c>
      <c r="AD496" t="s">
        <v>9915</v>
      </c>
      <c r="AE496" t="s">
        <v>9916</v>
      </c>
      <c r="AF496" t="s">
        <v>74</v>
      </c>
      <c r="AG496">
        <v>67</v>
      </c>
      <c r="AH496">
        <v>8</v>
      </c>
      <c r="AI496">
        <v>8</v>
      </c>
      <c r="AJ496">
        <v>3</v>
      </c>
      <c r="AK496">
        <v>7</v>
      </c>
      <c r="AL496" t="s">
        <v>203</v>
      </c>
      <c r="AM496" t="s">
        <v>204</v>
      </c>
      <c r="AN496" t="s">
        <v>205</v>
      </c>
      <c r="AO496" t="s">
        <v>9917</v>
      </c>
      <c r="AP496" t="s">
        <v>9918</v>
      </c>
      <c r="AQ496" t="s">
        <v>74</v>
      </c>
      <c r="AR496" t="s">
        <v>9919</v>
      </c>
      <c r="AS496" t="s">
        <v>9920</v>
      </c>
      <c r="AT496" t="s">
        <v>8042</v>
      </c>
      <c r="AU496">
        <v>2023</v>
      </c>
      <c r="AV496">
        <v>16</v>
      </c>
      <c r="AW496">
        <v>3</v>
      </c>
      <c r="AX496" t="s">
        <v>74</v>
      </c>
      <c r="AY496" t="s">
        <v>74</v>
      </c>
      <c r="AZ496" t="s">
        <v>74</v>
      </c>
      <c r="BA496" t="s">
        <v>74</v>
      </c>
      <c r="BB496">
        <v>238</v>
      </c>
      <c r="BC496" t="s">
        <v>1385</v>
      </c>
      <c r="BD496" t="s">
        <v>74</v>
      </c>
      <c r="BE496" t="s">
        <v>9921</v>
      </c>
      <c r="BF496" t="str">
        <f>HYPERLINK("http://dx.doi.org/10.1038/s41561-023-01129-y","http://dx.doi.org/10.1038/s41561-023-01129-y")</f>
        <v>http://dx.doi.org/10.1038/s41561-023-01129-y</v>
      </c>
      <c r="BG496" t="s">
        <v>74</v>
      </c>
      <c r="BH496" t="s">
        <v>6218</v>
      </c>
      <c r="BI496">
        <v>17</v>
      </c>
      <c r="BJ496" t="s">
        <v>261</v>
      </c>
      <c r="BK496" t="s">
        <v>103</v>
      </c>
      <c r="BL496" t="s">
        <v>262</v>
      </c>
      <c r="BM496" t="s">
        <v>9922</v>
      </c>
      <c r="BN496">
        <v>36920161</v>
      </c>
      <c r="BO496" t="s">
        <v>430</v>
      </c>
      <c r="BP496" t="s">
        <v>74</v>
      </c>
      <c r="BQ496" t="s">
        <v>74</v>
      </c>
      <c r="BR496" t="s">
        <v>106</v>
      </c>
      <c r="BS496" t="s">
        <v>9923</v>
      </c>
      <c r="BT496" t="str">
        <f>HYPERLINK("https%3A%2F%2Fwww.webofscience.com%2Fwos%2Fwoscc%2Ffull-record%2FWOS:000942760500003","View Full Record in Web of Science")</f>
        <v>View Full Record in Web of Science</v>
      </c>
    </row>
    <row r="497" spans="1:72" x14ac:dyDescent="0.15">
      <c r="A497" t="s">
        <v>72</v>
      </c>
      <c r="B497" t="s">
        <v>9924</v>
      </c>
      <c r="C497" t="s">
        <v>74</v>
      </c>
      <c r="D497" t="s">
        <v>74</v>
      </c>
      <c r="E497" t="s">
        <v>74</v>
      </c>
      <c r="F497" t="s">
        <v>9925</v>
      </c>
      <c r="G497" t="s">
        <v>74</v>
      </c>
      <c r="H497" t="s">
        <v>74</v>
      </c>
      <c r="I497" t="s">
        <v>9926</v>
      </c>
      <c r="J497" t="s">
        <v>9927</v>
      </c>
      <c r="K497" t="s">
        <v>74</v>
      </c>
      <c r="L497" t="s">
        <v>74</v>
      </c>
      <c r="M497" t="s">
        <v>78</v>
      </c>
      <c r="N497" t="s">
        <v>112</v>
      </c>
      <c r="O497" t="s">
        <v>74</v>
      </c>
      <c r="P497" t="s">
        <v>74</v>
      </c>
      <c r="Q497" t="s">
        <v>74</v>
      </c>
      <c r="R497" t="s">
        <v>74</v>
      </c>
      <c r="S497" t="s">
        <v>74</v>
      </c>
      <c r="T497" t="s">
        <v>9928</v>
      </c>
      <c r="U497" t="s">
        <v>9929</v>
      </c>
      <c r="V497" t="s">
        <v>9930</v>
      </c>
      <c r="W497" t="s">
        <v>9931</v>
      </c>
      <c r="X497" t="s">
        <v>9932</v>
      </c>
      <c r="Y497" t="s">
        <v>9933</v>
      </c>
      <c r="Z497" t="s">
        <v>9934</v>
      </c>
      <c r="AA497" t="s">
        <v>9935</v>
      </c>
      <c r="AB497" t="s">
        <v>9936</v>
      </c>
      <c r="AC497" t="s">
        <v>74</v>
      </c>
      <c r="AD497" t="s">
        <v>74</v>
      </c>
      <c r="AE497" t="s">
        <v>74</v>
      </c>
      <c r="AF497" t="s">
        <v>74</v>
      </c>
      <c r="AG497">
        <v>43</v>
      </c>
      <c r="AH497">
        <v>3</v>
      </c>
      <c r="AI497">
        <v>3</v>
      </c>
      <c r="AJ497">
        <v>3</v>
      </c>
      <c r="AK497">
        <v>10</v>
      </c>
      <c r="AL497" t="s">
        <v>768</v>
      </c>
      <c r="AM497" t="s">
        <v>2866</v>
      </c>
      <c r="AN497" t="s">
        <v>2867</v>
      </c>
      <c r="AO497" t="s">
        <v>9937</v>
      </c>
      <c r="AP497" t="s">
        <v>9938</v>
      </c>
      <c r="AQ497" t="s">
        <v>74</v>
      </c>
      <c r="AR497" t="s">
        <v>9939</v>
      </c>
      <c r="AS497" t="s">
        <v>9940</v>
      </c>
      <c r="AT497" t="s">
        <v>232</v>
      </c>
      <c r="AU497">
        <v>2023</v>
      </c>
      <c r="AV497">
        <v>33</v>
      </c>
      <c r="AW497">
        <v>2</v>
      </c>
      <c r="AX497" t="s">
        <v>74</v>
      </c>
      <c r="AY497" t="s">
        <v>74</v>
      </c>
      <c r="AZ497" t="s">
        <v>185</v>
      </c>
      <c r="BA497" t="s">
        <v>74</v>
      </c>
      <c r="BB497">
        <v>513</v>
      </c>
      <c r="BC497">
        <v>534</v>
      </c>
      <c r="BD497" t="s">
        <v>74</v>
      </c>
      <c r="BE497" t="s">
        <v>9941</v>
      </c>
      <c r="BF497" t="str">
        <f>HYPERLINK("http://dx.doi.org/10.1007/s11160-023-09760-z","http://dx.doi.org/10.1007/s11160-023-09760-z")</f>
        <v>http://dx.doi.org/10.1007/s11160-023-09760-z</v>
      </c>
      <c r="BG497" t="s">
        <v>74</v>
      </c>
      <c r="BH497" t="s">
        <v>6218</v>
      </c>
      <c r="BI497">
        <v>22</v>
      </c>
      <c r="BJ497" t="s">
        <v>1065</v>
      </c>
      <c r="BK497" t="s">
        <v>103</v>
      </c>
      <c r="BL497" t="s">
        <v>1065</v>
      </c>
      <c r="BM497" t="s">
        <v>9942</v>
      </c>
      <c r="BN497">
        <v>37122955</v>
      </c>
      <c r="BO497" t="s">
        <v>3931</v>
      </c>
      <c r="BP497" t="s">
        <v>74</v>
      </c>
      <c r="BQ497" t="s">
        <v>74</v>
      </c>
      <c r="BR497" t="s">
        <v>106</v>
      </c>
      <c r="BS497" t="s">
        <v>9943</v>
      </c>
      <c r="BT497" t="str">
        <f>HYPERLINK("https%3A%2F%2Fwww.webofscience.com%2Fwos%2Fwoscc%2Ffull-record%2FWOS:000941882200001","View Full Record in Web of Science")</f>
        <v>View Full Record in Web of Science</v>
      </c>
    </row>
    <row r="498" spans="1:72" x14ac:dyDescent="0.15">
      <c r="A498" t="s">
        <v>72</v>
      </c>
      <c r="B498" t="s">
        <v>9944</v>
      </c>
      <c r="C498" t="s">
        <v>74</v>
      </c>
      <c r="D498" t="s">
        <v>74</v>
      </c>
      <c r="E498" t="s">
        <v>74</v>
      </c>
      <c r="F498" t="s">
        <v>9945</v>
      </c>
      <c r="G498" t="s">
        <v>74</v>
      </c>
      <c r="H498" t="s">
        <v>74</v>
      </c>
      <c r="I498" t="s">
        <v>9946</v>
      </c>
      <c r="J498" t="s">
        <v>9947</v>
      </c>
      <c r="K498" t="s">
        <v>74</v>
      </c>
      <c r="L498" t="s">
        <v>74</v>
      </c>
      <c r="M498" t="s">
        <v>78</v>
      </c>
      <c r="N498" t="s">
        <v>112</v>
      </c>
      <c r="O498" t="s">
        <v>74</v>
      </c>
      <c r="P498" t="s">
        <v>74</v>
      </c>
      <c r="Q498" t="s">
        <v>74</v>
      </c>
      <c r="R498" t="s">
        <v>74</v>
      </c>
      <c r="S498" t="s">
        <v>74</v>
      </c>
      <c r="T498" t="s">
        <v>74</v>
      </c>
      <c r="U498" t="s">
        <v>9948</v>
      </c>
      <c r="V498" t="s">
        <v>9949</v>
      </c>
      <c r="W498" t="s">
        <v>9950</v>
      </c>
      <c r="X498" t="s">
        <v>9951</v>
      </c>
      <c r="Y498" t="s">
        <v>9952</v>
      </c>
      <c r="Z498" t="s">
        <v>9953</v>
      </c>
      <c r="AA498" t="s">
        <v>9954</v>
      </c>
      <c r="AB498" t="s">
        <v>9955</v>
      </c>
      <c r="AC498" t="s">
        <v>74</v>
      </c>
      <c r="AD498" t="s">
        <v>74</v>
      </c>
      <c r="AE498" t="s">
        <v>74</v>
      </c>
      <c r="AF498" t="s">
        <v>74</v>
      </c>
      <c r="AG498">
        <v>93</v>
      </c>
      <c r="AH498">
        <v>2</v>
      </c>
      <c r="AI498">
        <v>2</v>
      </c>
      <c r="AJ498">
        <v>2</v>
      </c>
      <c r="AK498">
        <v>4</v>
      </c>
      <c r="AL498" t="s">
        <v>794</v>
      </c>
      <c r="AM498" t="s">
        <v>795</v>
      </c>
      <c r="AN498" t="s">
        <v>796</v>
      </c>
      <c r="AO498" t="s">
        <v>9956</v>
      </c>
      <c r="AP498" t="s">
        <v>9957</v>
      </c>
      <c r="AQ498" t="s">
        <v>74</v>
      </c>
      <c r="AR498" t="s">
        <v>9958</v>
      </c>
      <c r="AS498" t="s">
        <v>9959</v>
      </c>
      <c r="AT498" t="s">
        <v>9899</v>
      </c>
      <c r="AU498">
        <v>2023</v>
      </c>
      <c r="AV498">
        <v>16</v>
      </c>
      <c r="AW498">
        <v>4</v>
      </c>
      <c r="AX498" t="s">
        <v>74</v>
      </c>
      <c r="AY498" t="s">
        <v>74</v>
      </c>
      <c r="AZ498" t="s">
        <v>74</v>
      </c>
      <c r="BA498" t="s">
        <v>74</v>
      </c>
      <c r="BB498">
        <v>1395</v>
      </c>
      <c r="BC498">
        <v>1425</v>
      </c>
      <c r="BD498" t="s">
        <v>74</v>
      </c>
      <c r="BE498" t="s">
        <v>9960</v>
      </c>
      <c r="BF498" t="str">
        <f>HYPERLINK("http://dx.doi.org/10.5194/gmd-16-1395-2023","http://dx.doi.org/10.5194/gmd-16-1395-2023")</f>
        <v>http://dx.doi.org/10.5194/gmd-16-1395-2023</v>
      </c>
      <c r="BG498" t="s">
        <v>74</v>
      </c>
      <c r="BH498" t="s">
        <v>74</v>
      </c>
      <c r="BI498">
        <v>31</v>
      </c>
      <c r="BJ498" t="s">
        <v>261</v>
      </c>
      <c r="BK498" t="s">
        <v>103</v>
      </c>
      <c r="BL498" t="s">
        <v>262</v>
      </c>
      <c r="BM498" t="s">
        <v>9961</v>
      </c>
      <c r="BN498" t="s">
        <v>74</v>
      </c>
      <c r="BO498" t="s">
        <v>8374</v>
      </c>
      <c r="BP498" t="s">
        <v>74</v>
      </c>
      <c r="BQ498" t="s">
        <v>74</v>
      </c>
      <c r="BR498" t="s">
        <v>106</v>
      </c>
      <c r="BS498" t="s">
        <v>9962</v>
      </c>
      <c r="BT498" t="str">
        <f>HYPERLINK("https%3A%2F%2Fwww.webofscience.com%2Fwos%2Fwoscc%2Ffull-record%2FWOS:000942259100001","View Full Record in Web of Science")</f>
        <v>View Full Record in Web of Science</v>
      </c>
    </row>
    <row r="499" spans="1:72" x14ac:dyDescent="0.15">
      <c r="A499" t="s">
        <v>72</v>
      </c>
      <c r="B499" t="s">
        <v>9963</v>
      </c>
      <c r="C499" t="s">
        <v>74</v>
      </c>
      <c r="D499" t="s">
        <v>74</v>
      </c>
      <c r="E499" t="s">
        <v>74</v>
      </c>
      <c r="F499" t="s">
        <v>9964</v>
      </c>
      <c r="G499" t="s">
        <v>74</v>
      </c>
      <c r="H499" t="s">
        <v>74</v>
      </c>
      <c r="I499" t="s">
        <v>9965</v>
      </c>
      <c r="J499" t="s">
        <v>9966</v>
      </c>
      <c r="K499" t="s">
        <v>74</v>
      </c>
      <c r="L499" t="s">
        <v>74</v>
      </c>
      <c r="M499" t="s">
        <v>78</v>
      </c>
      <c r="N499" t="s">
        <v>112</v>
      </c>
      <c r="O499" t="s">
        <v>74</v>
      </c>
      <c r="P499" t="s">
        <v>74</v>
      </c>
      <c r="Q499" t="s">
        <v>74</v>
      </c>
      <c r="R499" t="s">
        <v>74</v>
      </c>
      <c r="S499" t="s">
        <v>74</v>
      </c>
      <c r="T499" t="s">
        <v>74</v>
      </c>
      <c r="U499" t="s">
        <v>9967</v>
      </c>
      <c r="V499" t="s">
        <v>9968</v>
      </c>
      <c r="W499" t="s">
        <v>9969</v>
      </c>
      <c r="X499" t="s">
        <v>9396</v>
      </c>
      <c r="Y499" t="s">
        <v>9970</v>
      </c>
      <c r="Z499" t="s">
        <v>9971</v>
      </c>
      <c r="AA499" t="s">
        <v>74</v>
      </c>
      <c r="AB499" t="s">
        <v>74</v>
      </c>
      <c r="AC499" t="s">
        <v>9972</v>
      </c>
      <c r="AD499" t="s">
        <v>3117</v>
      </c>
      <c r="AE499" t="s">
        <v>9973</v>
      </c>
      <c r="AF499" t="s">
        <v>74</v>
      </c>
      <c r="AG499">
        <v>41</v>
      </c>
      <c r="AH499">
        <v>3</v>
      </c>
      <c r="AI499">
        <v>3</v>
      </c>
      <c r="AJ499">
        <v>7</v>
      </c>
      <c r="AK499">
        <v>15</v>
      </c>
      <c r="AL499" t="s">
        <v>3119</v>
      </c>
      <c r="AM499" t="s">
        <v>306</v>
      </c>
      <c r="AN499" t="s">
        <v>3120</v>
      </c>
      <c r="AO499" t="s">
        <v>9974</v>
      </c>
      <c r="AP499" t="s">
        <v>9975</v>
      </c>
      <c r="AQ499" t="s">
        <v>74</v>
      </c>
      <c r="AR499" t="s">
        <v>9976</v>
      </c>
      <c r="AS499" t="s">
        <v>9977</v>
      </c>
      <c r="AT499" t="s">
        <v>592</v>
      </c>
      <c r="AU499">
        <v>2023</v>
      </c>
      <c r="AV499">
        <v>86</v>
      </c>
      <c r="AW499">
        <v>4</v>
      </c>
      <c r="AX499" t="s">
        <v>74</v>
      </c>
      <c r="AY499" t="s">
        <v>74</v>
      </c>
      <c r="AZ499" t="s">
        <v>74</v>
      </c>
      <c r="BA499" t="s">
        <v>74</v>
      </c>
      <c r="BB499">
        <v>882</v>
      </c>
      <c r="BC499">
        <v>890</v>
      </c>
      <c r="BD499" t="s">
        <v>74</v>
      </c>
      <c r="BE499" t="s">
        <v>9978</v>
      </c>
      <c r="BF499" t="str">
        <f>HYPERLINK("http://dx.doi.org/10.1021/acs.jnatprod.2c01101","http://dx.doi.org/10.1021/acs.jnatprod.2c01101")</f>
        <v>http://dx.doi.org/10.1021/acs.jnatprod.2c01101</v>
      </c>
      <c r="BG499" t="s">
        <v>74</v>
      </c>
      <c r="BH499" t="s">
        <v>6218</v>
      </c>
      <c r="BI499">
        <v>9</v>
      </c>
      <c r="BJ499" t="s">
        <v>9979</v>
      </c>
      <c r="BK499" t="s">
        <v>1939</v>
      </c>
      <c r="BL499" t="s">
        <v>9980</v>
      </c>
      <c r="BM499" t="s">
        <v>9981</v>
      </c>
      <c r="BN499">
        <v>36861650</v>
      </c>
      <c r="BO499" t="s">
        <v>74</v>
      </c>
      <c r="BP499" t="s">
        <v>74</v>
      </c>
      <c r="BQ499" t="s">
        <v>74</v>
      </c>
      <c r="BR499" t="s">
        <v>106</v>
      </c>
      <c r="BS499" t="s">
        <v>9982</v>
      </c>
      <c r="BT499" t="str">
        <f>HYPERLINK("https%3A%2F%2Fwww.webofscience.com%2Fwos%2Fwoscc%2Ffull-record%2FWOS:000943291600001","View Full Record in Web of Science")</f>
        <v>View Full Record in Web of Science</v>
      </c>
    </row>
    <row r="500" spans="1:72" x14ac:dyDescent="0.15">
      <c r="A500" t="s">
        <v>72</v>
      </c>
      <c r="B500" t="s">
        <v>9983</v>
      </c>
      <c r="C500" t="s">
        <v>74</v>
      </c>
      <c r="D500" t="s">
        <v>74</v>
      </c>
      <c r="E500" t="s">
        <v>74</v>
      </c>
      <c r="F500" t="s">
        <v>9984</v>
      </c>
      <c r="G500" t="s">
        <v>74</v>
      </c>
      <c r="H500" t="s">
        <v>74</v>
      </c>
      <c r="I500" t="s">
        <v>9985</v>
      </c>
      <c r="J500" t="s">
        <v>4714</v>
      </c>
      <c r="K500" t="s">
        <v>74</v>
      </c>
      <c r="L500" t="s">
        <v>74</v>
      </c>
      <c r="M500" t="s">
        <v>78</v>
      </c>
      <c r="N500" t="s">
        <v>112</v>
      </c>
      <c r="O500" t="s">
        <v>74</v>
      </c>
      <c r="P500" t="s">
        <v>74</v>
      </c>
      <c r="Q500" t="s">
        <v>74</v>
      </c>
      <c r="R500" t="s">
        <v>74</v>
      </c>
      <c r="S500" t="s">
        <v>74</v>
      </c>
      <c r="T500" t="s">
        <v>9986</v>
      </c>
      <c r="U500" t="s">
        <v>9987</v>
      </c>
      <c r="V500" t="s">
        <v>9988</v>
      </c>
      <c r="W500" t="s">
        <v>9989</v>
      </c>
      <c r="X500" t="s">
        <v>9990</v>
      </c>
      <c r="Y500" t="s">
        <v>9991</v>
      </c>
      <c r="Z500" t="s">
        <v>9992</v>
      </c>
      <c r="AA500" t="s">
        <v>74</v>
      </c>
      <c r="AB500" t="s">
        <v>9993</v>
      </c>
      <c r="AC500" t="s">
        <v>9994</v>
      </c>
      <c r="AD500" t="s">
        <v>9995</v>
      </c>
      <c r="AE500" t="s">
        <v>9996</v>
      </c>
      <c r="AF500" t="s">
        <v>74</v>
      </c>
      <c r="AG500">
        <v>107</v>
      </c>
      <c r="AH500">
        <v>0</v>
      </c>
      <c r="AI500">
        <v>0</v>
      </c>
      <c r="AJ500">
        <v>6</v>
      </c>
      <c r="AK500">
        <v>7</v>
      </c>
      <c r="AL500" t="s">
        <v>305</v>
      </c>
      <c r="AM500" t="s">
        <v>306</v>
      </c>
      <c r="AN500" t="s">
        <v>307</v>
      </c>
      <c r="AO500" t="s">
        <v>4727</v>
      </c>
      <c r="AP500" t="s">
        <v>4728</v>
      </c>
      <c r="AQ500" t="s">
        <v>74</v>
      </c>
      <c r="AR500" t="s">
        <v>4729</v>
      </c>
      <c r="AS500" t="s">
        <v>4730</v>
      </c>
      <c r="AT500" t="s">
        <v>8042</v>
      </c>
      <c r="AU500">
        <v>2023</v>
      </c>
      <c r="AV500">
        <v>128</v>
      </c>
      <c r="AW500">
        <v>3</v>
      </c>
      <c r="AX500" t="s">
        <v>74</v>
      </c>
      <c r="AY500" t="s">
        <v>74</v>
      </c>
      <c r="AZ500" t="s">
        <v>74</v>
      </c>
      <c r="BA500" t="s">
        <v>74</v>
      </c>
      <c r="BB500" t="s">
        <v>74</v>
      </c>
      <c r="BC500" t="s">
        <v>74</v>
      </c>
      <c r="BD500" t="s">
        <v>9997</v>
      </c>
      <c r="BE500" t="s">
        <v>9998</v>
      </c>
      <c r="BF500" t="str">
        <f>HYPERLINK("http://dx.doi.org/10.1029/2022JG007053","http://dx.doi.org/10.1029/2022JG007053")</f>
        <v>http://dx.doi.org/10.1029/2022JG007053</v>
      </c>
      <c r="BG500" t="s">
        <v>74</v>
      </c>
      <c r="BH500" t="s">
        <v>74</v>
      </c>
      <c r="BI500">
        <v>16</v>
      </c>
      <c r="BJ500" t="s">
        <v>1363</v>
      </c>
      <c r="BK500" t="s">
        <v>103</v>
      </c>
      <c r="BL500" t="s">
        <v>1364</v>
      </c>
      <c r="BM500" t="s">
        <v>9999</v>
      </c>
      <c r="BN500" t="s">
        <v>74</v>
      </c>
      <c r="BO500" t="s">
        <v>74</v>
      </c>
      <c r="BP500" t="s">
        <v>74</v>
      </c>
      <c r="BQ500" t="s">
        <v>74</v>
      </c>
      <c r="BR500" t="s">
        <v>106</v>
      </c>
      <c r="BS500" t="s">
        <v>10000</v>
      </c>
      <c r="BT500" t="str">
        <f>HYPERLINK("https%3A%2F%2Fwww.webofscience.com%2Fwos%2Fwoscc%2Ffull-record%2FWOS:000973582400001","View Full Record in Web of Science")</f>
        <v>View Full Record in Web of Science</v>
      </c>
    </row>
    <row r="501" spans="1:72" x14ac:dyDescent="0.15">
      <c r="A501" t="s">
        <v>72</v>
      </c>
      <c r="B501" t="s">
        <v>10001</v>
      </c>
      <c r="C501" t="s">
        <v>74</v>
      </c>
      <c r="D501" t="s">
        <v>74</v>
      </c>
      <c r="E501" t="s">
        <v>74</v>
      </c>
      <c r="F501" t="s">
        <v>10002</v>
      </c>
      <c r="G501" t="s">
        <v>74</v>
      </c>
      <c r="H501" t="s">
        <v>74</v>
      </c>
      <c r="I501" t="s">
        <v>10003</v>
      </c>
      <c r="J501" t="s">
        <v>4714</v>
      </c>
      <c r="K501" t="s">
        <v>74</v>
      </c>
      <c r="L501" t="s">
        <v>74</v>
      </c>
      <c r="M501" t="s">
        <v>78</v>
      </c>
      <c r="N501" t="s">
        <v>112</v>
      </c>
      <c r="O501" t="s">
        <v>74</v>
      </c>
      <c r="P501" t="s">
        <v>74</v>
      </c>
      <c r="Q501" t="s">
        <v>74</v>
      </c>
      <c r="R501" t="s">
        <v>74</v>
      </c>
      <c r="S501" t="s">
        <v>74</v>
      </c>
      <c r="T501" t="s">
        <v>10004</v>
      </c>
      <c r="U501" t="s">
        <v>10005</v>
      </c>
      <c r="V501" t="s">
        <v>10006</v>
      </c>
      <c r="W501" t="s">
        <v>10007</v>
      </c>
      <c r="X501" t="s">
        <v>10008</v>
      </c>
      <c r="Y501" t="s">
        <v>10009</v>
      </c>
      <c r="Z501" t="s">
        <v>10010</v>
      </c>
      <c r="AA501" t="s">
        <v>10011</v>
      </c>
      <c r="AB501" t="s">
        <v>10012</v>
      </c>
      <c r="AC501" t="s">
        <v>10013</v>
      </c>
      <c r="AD501" t="s">
        <v>10014</v>
      </c>
      <c r="AE501" t="s">
        <v>10015</v>
      </c>
      <c r="AF501" t="s">
        <v>74</v>
      </c>
      <c r="AG501">
        <v>78</v>
      </c>
      <c r="AH501">
        <v>0</v>
      </c>
      <c r="AI501">
        <v>0</v>
      </c>
      <c r="AJ501">
        <v>8</v>
      </c>
      <c r="AK501">
        <v>9</v>
      </c>
      <c r="AL501" t="s">
        <v>305</v>
      </c>
      <c r="AM501" t="s">
        <v>306</v>
      </c>
      <c r="AN501" t="s">
        <v>307</v>
      </c>
      <c r="AO501" t="s">
        <v>4727</v>
      </c>
      <c r="AP501" t="s">
        <v>4728</v>
      </c>
      <c r="AQ501" t="s">
        <v>74</v>
      </c>
      <c r="AR501" t="s">
        <v>4729</v>
      </c>
      <c r="AS501" t="s">
        <v>4730</v>
      </c>
      <c r="AT501" t="s">
        <v>8042</v>
      </c>
      <c r="AU501">
        <v>2023</v>
      </c>
      <c r="AV501">
        <v>128</v>
      </c>
      <c r="AW501">
        <v>3</v>
      </c>
      <c r="AX501" t="s">
        <v>74</v>
      </c>
      <c r="AY501" t="s">
        <v>74</v>
      </c>
      <c r="AZ501" t="s">
        <v>74</v>
      </c>
      <c r="BA501" t="s">
        <v>74</v>
      </c>
      <c r="BB501" t="s">
        <v>74</v>
      </c>
      <c r="BC501" t="s">
        <v>74</v>
      </c>
      <c r="BD501" t="s">
        <v>10016</v>
      </c>
      <c r="BE501" t="s">
        <v>10017</v>
      </c>
      <c r="BF501" t="str">
        <f>HYPERLINK("http://dx.doi.org/10.1029/2023JG007415","http://dx.doi.org/10.1029/2023JG007415")</f>
        <v>http://dx.doi.org/10.1029/2023JG007415</v>
      </c>
      <c r="BG501" t="s">
        <v>74</v>
      </c>
      <c r="BH501" t="s">
        <v>74</v>
      </c>
      <c r="BI501">
        <v>14</v>
      </c>
      <c r="BJ501" t="s">
        <v>1363</v>
      </c>
      <c r="BK501" t="s">
        <v>103</v>
      </c>
      <c r="BL501" t="s">
        <v>1364</v>
      </c>
      <c r="BM501" t="s">
        <v>10018</v>
      </c>
      <c r="BN501" t="s">
        <v>74</v>
      </c>
      <c r="BO501" t="s">
        <v>74</v>
      </c>
      <c r="BP501" t="s">
        <v>74</v>
      </c>
      <c r="BQ501" t="s">
        <v>74</v>
      </c>
      <c r="BR501" t="s">
        <v>106</v>
      </c>
      <c r="BS501" t="s">
        <v>10019</v>
      </c>
      <c r="BT501" t="str">
        <f>HYPERLINK("https%3A%2F%2Fwww.webofscience.com%2Fwos%2Fwoscc%2Ffull-record%2FWOS:000973603100001","View Full Record in Web of Science")</f>
        <v>View Full Record in Web of Science</v>
      </c>
    </row>
    <row r="502" spans="1:72" x14ac:dyDescent="0.15">
      <c r="A502" t="s">
        <v>72</v>
      </c>
      <c r="B502" t="s">
        <v>10020</v>
      </c>
      <c r="C502" t="s">
        <v>74</v>
      </c>
      <c r="D502" t="s">
        <v>74</v>
      </c>
      <c r="E502" t="s">
        <v>74</v>
      </c>
      <c r="F502" t="s">
        <v>10021</v>
      </c>
      <c r="G502" t="s">
        <v>74</v>
      </c>
      <c r="H502" t="s">
        <v>74</v>
      </c>
      <c r="I502" t="s">
        <v>10022</v>
      </c>
      <c r="J502" t="s">
        <v>10023</v>
      </c>
      <c r="K502" t="s">
        <v>74</v>
      </c>
      <c r="L502" t="s">
        <v>74</v>
      </c>
      <c r="M502" t="s">
        <v>78</v>
      </c>
      <c r="N502" t="s">
        <v>112</v>
      </c>
      <c r="O502" t="s">
        <v>74</v>
      </c>
      <c r="P502" t="s">
        <v>74</v>
      </c>
      <c r="Q502" t="s">
        <v>74</v>
      </c>
      <c r="R502" t="s">
        <v>74</v>
      </c>
      <c r="S502" t="s">
        <v>74</v>
      </c>
      <c r="T502" t="s">
        <v>74</v>
      </c>
      <c r="U502" t="s">
        <v>10024</v>
      </c>
      <c r="V502" t="s">
        <v>10025</v>
      </c>
      <c r="W502" t="s">
        <v>10026</v>
      </c>
      <c r="X502" t="s">
        <v>10027</v>
      </c>
      <c r="Y502" t="s">
        <v>10028</v>
      </c>
      <c r="Z502" t="s">
        <v>10029</v>
      </c>
      <c r="AA502" t="s">
        <v>10030</v>
      </c>
      <c r="AB502" t="s">
        <v>10031</v>
      </c>
      <c r="AC502" t="s">
        <v>10032</v>
      </c>
      <c r="AD502" t="s">
        <v>10033</v>
      </c>
      <c r="AE502" t="s">
        <v>10034</v>
      </c>
      <c r="AF502" t="s">
        <v>74</v>
      </c>
      <c r="AG502">
        <v>72</v>
      </c>
      <c r="AH502">
        <v>0</v>
      </c>
      <c r="AI502">
        <v>0</v>
      </c>
      <c r="AJ502">
        <v>5</v>
      </c>
      <c r="AK502">
        <v>10</v>
      </c>
      <c r="AL502" t="s">
        <v>305</v>
      </c>
      <c r="AM502" t="s">
        <v>306</v>
      </c>
      <c r="AN502" t="s">
        <v>307</v>
      </c>
      <c r="AO502" t="s">
        <v>10035</v>
      </c>
      <c r="AP502" t="s">
        <v>10036</v>
      </c>
      <c r="AQ502" t="s">
        <v>74</v>
      </c>
      <c r="AR502" t="s">
        <v>10037</v>
      </c>
      <c r="AS502" t="s">
        <v>10038</v>
      </c>
      <c r="AT502" t="s">
        <v>8042</v>
      </c>
      <c r="AU502">
        <v>2023</v>
      </c>
      <c r="AV502">
        <v>128</v>
      </c>
      <c r="AW502">
        <v>3</v>
      </c>
      <c r="AX502" t="s">
        <v>74</v>
      </c>
      <c r="AY502" t="s">
        <v>74</v>
      </c>
      <c r="AZ502" t="s">
        <v>74</v>
      </c>
      <c r="BA502" t="s">
        <v>74</v>
      </c>
      <c r="BB502" t="s">
        <v>74</v>
      </c>
      <c r="BC502" t="s">
        <v>74</v>
      </c>
      <c r="BD502" t="s">
        <v>10039</v>
      </c>
      <c r="BE502" t="s">
        <v>10040</v>
      </c>
      <c r="BF502" t="str">
        <f>HYPERLINK("http://dx.doi.org/10.1029/2022JF006980","http://dx.doi.org/10.1029/2022JF006980")</f>
        <v>http://dx.doi.org/10.1029/2022JF006980</v>
      </c>
      <c r="BG502" t="s">
        <v>74</v>
      </c>
      <c r="BH502" t="s">
        <v>74</v>
      </c>
      <c r="BI502">
        <v>17</v>
      </c>
      <c r="BJ502" t="s">
        <v>261</v>
      </c>
      <c r="BK502" t="s">
        <v>103</v>
      </c>
      <c r="BL502" t="s">
        <v>262</v>
      </c>
      <c r="BM502" t="s">
        <v>10041</v>
      </c>
      <c r="BN502" t="s">
        <v>74</v>
      </c>
      <c r="BO502" t="s">
        <v>74</v>
      </c>
      <c r="BP502" t="s">
        <v>74</v>
      </c>
      <c r="BQ502" t="s">
        <v>74</v>
      </c>
      <c r="BR502" t="s">
        <v>106</v>
      </c>
      <c r="BS502" t="s">
        <v>10042</v>
      </c>
      <c r="BT502" t="str">
        <f>HYPERLINK("https%3A%2F%2Fwww.webofscience.com%2Fwos%2Fwoscc%2Ffull-record%2FWOS:000958784900001","View Full Record in Web of Science")</f>
        <v>View Full Record in Web of Science</v>
      </c>
    </row>
    <row r="503" spans="1:72" x14ac:dyDescent="0.15">
      <c r="A503" t="s">
        <v>72</v>
      </c>
      <c r="B503" t="s">
        <v>10043</v>
      </c>
      <c r="C503" t="s">
        <v>74</v>
      </c>
      <c r="D503" t="s">
        <v>74</v>
      </c>
      <c r="E503" t="s">
        <v>74</v>
      </c>
      <c r="F503" t="s">
        <v>10044</v>
      </c>
      <c r="G503" t="s">
        <v>74</v>
      </c>
      <c r="H503" t="s">
        <v>74</v>
      </c>
      <c r="I503" t="s">
        <v>10045</v>
      </c>
      <c r="J503" t="s">
        <v>10023</v>
      </c>
      <c r="K503" t="s">
        <v>74</v>
      </c>
      <c r="L503" t="s">
        <v>74</v>
      </c>
      <c r="M503" t="s">
        <v>78</v>
      </c>
      <c r="N503" t="s">
        <v>112</v>
      </c>
      <c r="O503" t="s">
        <v>74</v>
      </c>
      <c r="P503" t="s">
        <v>74</v>
      </c>
      <c r="Q503" t="s">
        <v>74</v>
      </c>
      <c r="R503" t="s">
        <v>74</v>
      </c>
      <c r="S503" t="s">
        <v>74</v>
      </c>
      <c r="T503" t="s">
        <v>10046</v>
      </c>
      <c r="U503" t="s">
        <v>10047</v>
      </c>
      <c r="V503" t="s">
        <v>10048</v>
      </c>
      <c r="W503" t="s">
        <v>10049</v>
      </c>
      <c r="X503" t="s">
        <v>10050</v>
      </c>
      <c r="Y503" t="s">
        <v>10051</v>
      </c>
      <c r="Z503" t="s">
        <v>10052</v>
      </c>
      <c r="AA503" t="s">
        <v>10053</v>
      </c>
      <c r="AB503" t="s">
        <v>10054</v>
      </c>
      <c r="AC503" t="s">
        <v>10055</v>
      </c>
      <c r="AD503" t="s">
        <v>10056</v>
      </c>
      <c r="AE503" t="s">
        <v>10057</v>
      </c>
      <c r="AF503" t="s">
        <v>74</v>
      </c>
      <c r="AG503">
        <v>50</v>
      </c>
      <c r="AH503">
        <v>1</v>
      </c>
      <c r="AI503">
        <v>1</v>
      </c>
      <c r="AJ503">
        <v>0</v>
      </c>
      <c r="AK503">
        <v>3</v>
      </c>
      <c r="AL503" t="s">
        <v>305</v>
      </c>
      <c r="AM503" t="s">
        <v>306</v>
      </c>
      <c r="AN503" t="s">
        <v>307</v>
      </c>
      <c r="AO503" t="s">
        <v>10035</v>
      </c>
      <c r="AP503" t="s">
        <v>10036</v>
      </c>
      <c r="AQ503" t="s">
        <v>74</v>
      </c>
      <c r="AR503" t="s">
        <v>10037</v>
      </c>
      <c r="AS503" t="s">
        <v>10038</v>
      </c>
      <c r="AT503" t="s">
        <v>8042</v>
      </c>
      <c r="AU503">
        <v>2023</v>
      </c>
      <c r="AV503">
        <v>128</v>
      </c>
      <c r="AW503">
        <v>3</v>
      </c>
      <c r="AX503" t="s">
        <v>74</v>
      </c>
      <c r="AY503" t="s">
        <v>74</v>
      </c>
      <c r="AZ503" t="s">
        <v>74</v>
      </c>
      <c r="BA503" t="s">
        <v>74</v>
      </c>
      <c r="BB503" t="s">
        <v>74</v>
      </c>
      <c r="BC503" t="s">
        <v>74</v>
      </c>
      <c r="BD503" t="s">
        <v>10058</v>
      </c>
      <c r="BE503" t="s">
        <v>10059</v>
      </c>
      <c r="BF503" t="str">
        <f>HYPERLINK("http://dx.doi.org/10.1029/2022JF006853","http://dx.doi.org/10.1029/2022JF006853")</f>
        <v>http://dx.doi.org/10.1029/2022JF006853</v>
      </c>
      <c r="BG503" t="s">
        <v>74</v>
      </c>
      <c r="BH503" t="s">
        <v>74</v>
      </c>
      <c r="BI503">
        <v>25</v>
      </c>
      <c r="BJ503" t="s">
        <v>261</v>
      </c>
      <c r="BK503" t="s">
        <v>103</v>
      </c>
      <c r="BL503" t="s">
        <v>262</v>
      </c>
      <c r="BM503" t="s">
        <v>10060</v>
      </c>
      <c r="BN503" t="s">
        <v>74</v>
      </c>
      <c r="BO503" t="s">
        <v>8532</v>
      </c>
      <c r="BP503" t="s">
        <v>74</v>
      </c>
      <c r="BQ503" t="s">
        <v>74</v>
      </c>
      <c r="BR503" t="s">
        <v>106</v>
      </c>
      <c r="BS503" t="s">
        <v>10061</v>
      </c>
      <c r="BT503" t="str">
        <f>HYPERLINK("https%3A%2F%2Fwww.webofscience.com%2Fwos%2Fwoscc%2Ffull-record%2FWOS:000973458300001","View Full Record in Web of Science")</f>
        <v>View Full Record in Web of Science</v>
      </c>
    </row>
    <row r="504" spans="1:72" x14ac:dyDescent="0.15">
      <c r="A504" t="s">
        <v>72</v>
      </c>
      <c r="B504" t="s">
        <v>10062</v>
      </c>
      <c r="C504" t="s">
        <v>74</v>
      </c>
      <c r="D504" t="s">
        <v>74</v>
      </c>
      <c r="E504" t="s">
        <v>74</v>
      </c>
      <c r="F504" t="s">
        <v>10063</v>
      </c>
      <c r="G504" t="s">
        <v>74</v>
      </c>
      <c r="H504" t="s">
        <v>74</v>
      </c>
      <c r="I504" t="s">
        <v>10064</v>
      </c>
      <c r="J504" t="s">
        <v>10023</v>
      </c>
      <c r="K504" t="s">
        <v>74</v>
      </c>
      <c r="L504" t="s">
        <v>74</v>
      </c>
      <c r="M504" t="s">
        <v>78</v>
      </c>
      <c r="N504" t="s">
        <v>112</v>
      </c>
      <c r="O504" t="s">
        <v>74</v>
      </c>
      <c r="P504" t="s">
        <v>74</v>
      </c>
      <c r="Q504" t="s">
        <v>74</v>
      </c>
      <c r="R504" t="s">
        <v>74</v>
      </c>
      <c r="S504" t="s">
        <v>74</v>
      </c>
      <c r="T504" t="s">
        <v>74</v>
      </c>
      <c r="U504" t="s">
        <v>10065</v>
      </c>
      <c r="V504" t="s">
        <v>10066</v>
      </c>
      <c r="W504" t="s">
        <v>10067</v>
      </c>
      <c r="X504" t="s">
        <v>10068</v>
      </c>
      <c r="Y504" t="s">
        <v>10069</v>
      </c>
      <c r="Z504" t="s">
        <v>10070</v>
      </c>
      <c r="AA504" t="s">
        <v>74</v>
      </c>
      <c r="AB504" t="s">
        <v>10071</v>
      </c>
      <c r="AC504" t="s">
        <v>10072</v>
      </c>
      <c r="AD504" t="s">
        <v>10073</v>
      </c>
      <c r="AE504" t="s">
        <v>10074</v>
      </c>
      <c r="AF504" t="s">
        <v>74</v>
      </c>
      <c r="AG504">
        <v>104</v>
      </c>
      <c r="AH504">
        <v>1</v>
      </c>
      <c r="AI504">
        <v>1</v>
      </c>
      <c r="AJ504">
        <v>2</v>
      </c>
      <c r="AK504">
        <v>4</v>
      </c>
      <c r="AL504" t="s">
        <v>305</v>
      </c>
      <c r="AM504" t="s">
        <v>306</v>
      </c>
      <c r="AN504" t="s">
        <v>307</v>
      </c>
      <c r="AO504" t="s">
        <v>10035</v>
      </c>
      <c r="AP504" t="s">
        <v>10036</v>
      </c>
      <c r="AQ504" t="s">
        <v>74</v>
      </c>
      <c r="AR504" t="s">
        <v>10037</v>
      </c>
      <c r="AS504" t="s">
        <v>10038</v>
      </c>
      <c r="AT504" t="s">
        <v>8042</v>
      </c>
      <c r="AU504">
        <v>2023</v>
      </c>
      <c r="AV504">
        <v>128</v>
      </c>
      <c r="AW504">
        <v>3</v>
      </c>
      <c r="AX504" t="s">
        <v>74</v>
      </c>
      <c r="AY504" t="s">
        <v>74</v>
      </c>
      <c r="AZ504" t="s">
        <v>74</v>
      </c>
      <c r="BA504" t="s">
        <v>74</v>
      </c>
      <c r="BB504" t="s">
        <v>74</v>
      </c>
      <c r="BC504" t="s">
        <v>74</v>
      </c>
      <c r="BD504" t="s">
        <v>10075</v>
      </c>
      <c r="BE504" t="s">
        <v>10076</v>
      </c>
      <c r="BF504" t="str">
        <f>HYPERLINK("http://dx.doi.org/10.1029/2022JF006958","http://dx.doi.org/10.1029/2022JF006958")</f>
        <v>http://dx.doi.org/10.1029/2022JF006958</v>
      </c>
      <c r="BG504" t="s">
        <v>74</v>
      </c>
      <c r="BH504" t="s">
        <v>74</v>
      </c>
      <c r="BI504">
        <v>22</v>
      </c>
      <c r="BJ504" t="s">
        <v>261</v>
      </c>
      <c r="BK504" t="s">
        <v>103</v>
      </c>
      <c r="BL504" t="s">
        <v>262</v>
      </c>
      <c r="BM504" t="s">
        <v>10077</v>
      </c>
      <c r="BN504" t="s">
        <v>74</v>
      </c>
      <c r="BO504" t="s">
        <v>387</v>
      </c>
      <c r="BP504" t="s">
        <v>74</v>
      </c>
      <c r="BQ504" t="s">
        <v>74</v>
      </c>
      <c r="BR504" t="s">
        <v>106</v>
      </c>
      <c r="BS504" t="s">
        <v>10078</v>
      </c>
      <c r="BT504" t="str">
        <f>HYPERLINK("https%3A%2F%2Fwww.webofscience.com%2Fwos%2Fwoscc%2Ffull-record%2FWOS:000957128500001","View Full Record in Web of Science")</f>
        <v>View Full Record in Web of Science</v>
      </c>
    </row>
    <row r="505" spans="1:72" x14ac:dyDescent="0.15">
      <c r="A505" t="s">
        <v>72</v>
      </c>
      <c r="B505" t="s">
        <v>10079</v>
      </c>
      <c r="C505" t="s">
        <v>74</v>
      </c>
      <c r="D505" t="s">
        <v>74</v>
      </c>
      <c r="E505" t="s">
        <v>74</v>
      </c>
      <c r="F505" t="s">
        <v>10080</v>
      </c>
      <c r="G505" t="s">
        <v>74</v>
      </c>
      <c r="H505" t="s">
        <v>74</v>
      </c>
      <c r="I505" t="s">
        <v>10081</v>
      </c>
      <c r="J505" t="s">
        <v>10082</v>
      </c>
      <c r="K505" t="s">
        <v>74</v>
      </c>
      <c r="L505" t="s">
        <v>74</v>
      </c>
      <c r="M505" t="s">
        <v>78</v>
      </c>
      <c r="N505" t="s">
        <v>52</v>
      </c>
      <c r="O505" t="s">
        <v>74</v>
      </c>
      <c r="P505" t="s">
        <v>74</v>
      </c>
      <c r="Q505" t="s">
        <v>74</v>
      </c>
      <c r="R505" t="s">
        <v>74</v>
      </c>
      <c r="S505" t="s">
        <v>74</v>
      </c>
      <c r="T505" t="s">
        <v>74</v>
      </c>
      <c r="U505" t="s">
        <v>74</v>
      </c>
      <c r="V505" t="s">
        <v>74</v>
      </c>
      <c r="W505" t="s">
        <v>74</v>
      </c>
      <c r="X505" t="s">
        <v>74</v>
      </c>
      <c r="Y505" t="s">
        <v>74</v>
      </c>
      <c r="Z505" t="s">
        <v>74</v>
      </c>
      <c r="AA505" t="s">
        <v>74</v>
      </c>
      <c r="AB505" t="s">
        <v>74</v>
      </c>
      <c r="AC505" t="s">
        <v>74</v>
      </c>
      <c r="AD505" t="s">
        <v>74</v>
      </c>
      <c r="AE505" t="s">
        <v>74</v>
      </c>
      <c r="AF505" t="s">
        <v>74</v>
      </c>
      <c r="AG505">
        <v>0</v>
      </c>
      <c r="AH505">
        <v>0</v>
      </c>
      <c r="AI505">
        <v>0</v>
      </c>
      <c r="AJ505">
        <v>0</v>
      </c>
      <c r="AK505">
        <v>0</v>
      </c>
      <c r="AL505" t="s">
        <v>10083</v>
      </c>
      <c r="AM505" t="s">
        <v>10084</v>
      </c>
      <c r="AN505" t="s">
        <v>10085</v>
      </c>
      <c r="AO505" t="s">
        <v>10086</v>
      </c>
      <c r="AP505" t="s">
        <v>10087</v>
      </c>
      <c r="AQ505" t="s">
        <v>74</v>
      </c>
      <c r="AR505" t="s">
        <v>10088</v>
      </c>
      <c r="AS505" t="s">
        <v>10089</v>
      </c>
      <c r="AT505" t="s">
        <v>8042</v>
      </c>
      <c r="AU505">
        <v>2023</v>
      </c>
      <c r="AV505">
        <v>63</v>
      </c>
      <c r="AW505" t="s">
        <v>74</v>
      </c>
      <c r="AX505" t="s">
        <v>74</v>
      </c>
      <c r="AY505">
        <v>1</v>
      </c>
      <c r="AZ505" t="s">
        <v>74</v>
      </c>
      <c r="BA505">
        <v>658</v>
      </c>
      <c r="BB505" t="s">
        <v>10090</v>
      </c>
      <c r="BC505" t="s">
        <v>10090</v>
      </c>
      <c r="BD505" t="s">
        <v>74</v>
      </c>
      <c r="BE505" t="s">
        <v>74</v>
      </c>
      <c r="BF505" t="s">
        <v>74</v>
      </c>
      <c r="BG505" t="s">
        <v>74</v>
      </c>
      <c r="BH505" t="s">
        <v>74</v>
      </c>
      <c r="BI505">
        <v>1</v>
      </c>
      <c r="BJ505" t="s">
        <v>2582</v>
      </c>
      <c r="BK505" t="s">
        <v>103</v>
      </c>
      <c r="BL505" t="s">
        <v>2582</v>
      </c>
      <c r="BM505" t="s">
        <v>10091</v>
      </c>
      <c r="BN505" t="s">
        <v>74</v>
      </c>
      <c r="BO505" t="s">
        <v>74</v>
      </c>
      <c r="BP505" t="s">
        <v>74</v>
      </c>
      <c r="BQ505" t="s">
        <v>74</v>
      </c>
      <c r="BR505" t="s">
        <v>106</v>
      </c>
      <c r="BS505" t="s">
        <v>10092</v>
      </c>
      <c r="BT505" t="str">
        <f>HYPERLINK("https%3A%2F%2Fwww.webofscience.com%2Fwos%2Fwoscc%2Ffull-record%2FWOS:001002201200228","View Full Record in Web of Science")</f>
        <v>View Full Record in Web of Science</v>
      </c>
    </row>
    <row r="506" spans="1:72" x14ac:dyDescent="0.15">
      <c r="A506" t="s">
        <v>72</v>
      </c>
      <c r="B506" t="s">
        <v>10093</v>
      </c>
      <c r="C506" t="s">
        <v>74</v>
      </c>
      <c r="D506" t="s">
        <v>74</v>
      </c>
      <c r="E506" t="s">
        <v>74</v>
      </c>
      <c r="F506" t="s">
        <v>10094</v>
      </c>
      <c r="G506" t="s">
        <v>74</v>
      </c>
      <c r="H506" t="s">
        <v>74</v>
      </c>
      <c r="I506" t="s">
        <v>10095</v>
      </c>
      <c r="J506" t="s">
        <v>10082</v>
      </c>
      <c r="K506" t="s">
        <v>74</v>
      </c>
      <c r="L506" t="s">
        <v>74</v>
      </c>
      <c r="M506" t="s">
        <v>78</v>
      </c>
      <c r="N506" t="s">
        <v>52</v>
      </c>
      <c r="O506" t="s">
        <v>74</v>
      </c>
      <c r="P506" t="s">
        <v>74</v>
      </c>
      <c r="Q506" t="s">
        <v>74</v>
      </c>
      <c r="R506" t="s">
        <v>74</v>
      </c>
      <c r="S506" t="s">
        <v>74</v>
      </c>
      <c r="T506" t="s">
        <v>74</v>
      </c>
      <c r="U506" t="s">
        <v>74</v>
      </c>
      <c r="V506" t="s">
        <v>74</v>
      </c>
      <c r="W506" t="s">
        <v>74</v>
      </c>
      <c r="X506" t="s">
        <v>74</v>
      </c>
      <c r="Y506" t="s">
        <v>74</v>
      </c>
      <c r="Z506" t="s">
        <v>74</v>
      </c>
      <c r="AA506" t="s">
        <v>74</v>
      </c>
      <c r="AB506" t="s">
        <v>74</v>
      </c>
      <c r="AC506" t="s">
        <v>10096</v>
      </c>
      <c r="AD506" t="s">
        <v>5122</v>
      </c>
      <c r="AE506" t="s">
        <v>10097</v>
      </c>
      <c r="AF506" t="s">
        <v>74</v>
      </c>
      <c r="AG506">
        <v>0</v>
      </c>
      <c r="AH506">
        <v>0</v>
      </c>
      <c r="AI506">
        <v>0</v>
      </c>
      <c r="AJ506">
        <v>0</v>
      </c>
      <c r="AK506">
        <v>0</v>
      </c>
      <c r="AL506" t="s">
        <v>10083</v>
      </c>
      <c r="AM506" t="s">
        <v>10084</v>
      </c>
      <c r="AN506" t="s">
        <v>10085</v>
      </c>
      <c r="AO506" t="s">
        <v>10086</v>
      </c>
      <c r="AP506" t="s">
        <v>10087</v>
      </c>
      <c r="AQ506" t="s">
        <v>74</v>
      </c>
      <c r="AR506" t="s">
        <v>10088</v>
      </c>
      <c r="AS506" t="s">
        <v>10089</v>
      </c>
      <c r="AT506" t="s">
        <v>8042</v>
      </c>
      <c r="AU506">
        <v>2023</v>
      </c>
      <c r="AV506">
        <v>63</v>
      </c>
      <c r="AW506" t="s">
        <v>74</v>
      </c>
      <c r="AX506" t="s">
        <v>74</v>
      </c>
      <c r="AY506">
        <v>1</v>
      </c>
      <c r="AZ506" t="s">
        <v>74</v>
      </c>
      <c r="BA506">
        <v>1329</v>
      </c>
      <c r="BB506" t="s">
        <v>10098</v>
      </c>
      <c r="BC506" t="s">
        <v>10098</v>
      </c>
      <c r="BD506" t="s">
        <v>74</v>
      </c>
      <c r="BE506" t="s">
        <v>74</v>
      </c>
      <c r="BF506" t="s">
        <v>74</v>
      </c>
      <c r="BG506" t="s">
        <v>74</v>
      </c>
      <c r="BH506" t="s">
        <v>74</v>
      </c>
      <c r="BI506">
        <v>1</v>
      </c>
      <c r="BJ506" t="s">
        <v>2582</v>
      </c>
      <c r="BK506" t="s">
        <v>103</v>
      </c>
      <c r="BL506" t="s">
        <v>2582</v>
      </c>
      <c r="BM506" t="s">
        <v>10091</v>
      </c>
      <c r="BN506" t="s">
        <v>74</v>
      </c>
      <c r="BO506" t="s">
        <v>74</v>
      </c>
      <c r="BP506" t="s">
        <v>74</v>
      </c>
      <c r="BQ506" t="s">
        <v>74</v>
      </c>
      <c r="BR506" t="s">
        <v>106</v>
      </c>
      <c r="BS506" t="s">
        <v>10099</v>
      </c>
      <c r="BT506" t="str">
        <f>HYPERLINK("https%3A%2F%2Fwww.webofscience.com%2Fwos%2Fwoscc%2Ffull-record%2FWOS:001002201202318","View Full Record in Web of Science")</f>
        <v>View Full Record in Web of Science</v>
      </c>
    </row>
    <row r="507" spans="1:72" x14ac:dyDescent="0.15">
      <c r="A507" t="s">
        <v>72</v>
      </c>
      <c r="B507" t="s">
        <v>10100</v>
      </c>
      <c r="C507" t="s">
        <v>74</v>
      </c>
      <c r="D507" t="s">
        <v>74</v>
      </c>
      <c r="E507" t="s">
        <v>74</v>
      </c>
      <c r="F507" t="s">
        <v>10101</v>
      </c>
      <c r="G507" t="s">
        <v>74</v>
      </c>
      <c r="H507" t="s">
        <v>74</v>
      </c>
      <c r="I507" t="s">
        <v>10102</v>
      </c>
      <c r="J507" t="s">
        <v>4821</v>
      </c>
      <c r="K507" t="s">
        <v>74</v>
      </c>
      <c r="L507" t="s">
        <v>74</v>
      </c>
      <c r="M507" t="s">
        <v>78</v>
      </c>
      <c r="N507" t="s">
        <v>112</v>
      </c>
      <c r="O507" t="s">
        <v>74</v>
      </c>
      <c r="P507" t="s">
        <v>74</v>
      </c>
      <c r="Q507" t="s">
        <v>74</v>
      </c>
      <c r="R507" t="s">
        <v>74</v>
      </c>
      <c r="S507" t="s">
        <v>74</v>
      </c>
      <c r="T507" t="s">
        <v>10103</v>
      </c>
      <c r="U507" t="s">
        <v>10104</v>
      </c>
      <c r="V507" t="s">
        <v>10105</v>
      </c>
      <c r="W507" t="s">
        <v>10106</v>
      </c>
      <c r="X507" t="s">
        <v>10107</v>
      </c>
      <c r="Y507" t="s">
        <v>10108</v>
      </c>
      <c r="Z507" t="s">
        <v>10109</v>
      </c>
      <c r="AA507" t="s">
        <v>10110</v>
      </c>
      <c r="AB507" t="s">
        <v>10111</v>
      </c>
      <c r="AC507" t="s">
        <v>10112</v>
      </c>
      <c r="AD507" t="s">
        <v>10113</v>
      </c>
      <c r="AE507" t="s">
        <v>10114</v>
      </c>
      <c r="AF507" t="s">
        <v>74</v>
      </c>
      <c r="AG507">
        <v>129</v>
      </c>
      <c r="AH507">
        <v>0</v>
      </c>
      <c r="AI507">
        <v>0</v>
      </c>
      <c r="AJ507">
        <v>4</v>
      </c>
      <c r="AK507">
        <v>5</v>
      </c>
      <c r="AL507" t="s">
        <v>305</v>
      </c>
      <c r="AM507" t="s">
        <v>306</v>
      </c>
      <c r="AN507" t="s">
        <v>307</v>
      </c>
      <c r="AO507" t="s">
        <v>4834</v>
      </c>
      <c r="AP507" t="s">
        <v>4835</v>
      </c>
      <c r="AQ507" t="s">
        <v>74</v>
      </c>
      <c r="AR507" t="s">
        <v>4836</v>
      </c>
      <c r="AS507" t="s">
        <v>4837</v>
      </c>
      <c r="AT507" t="s">
        <v>8042</v>
      </c>
      <c r="AU507">
        <v>2023</v>
      </c>
      <c r="AV507">
        <v>38</v>
      </c>
      <c r="AW507">
        <v>3</v>
      </c>
      <c r="AX507" t="s">
        <v>74</v>
      </c>
      <c r="AY507" t="s">
        <v>74</v>
      </c>
      <c r="AZ507" t="s">
        <v>74</v>
      </c>
      <c r="BA507" t="s">
        <v>74</v>
      </c>
      <c r="BB507" t="s">
        <v>74</v>
      </c>
      <c r="BC507" t="s">
        <v>74</v>
      </c>
      <c r="BD507" t="s">
        <v>10115</v>
      </c>
      <c r="BE507" t="s">
        <v>10116</v>
      </c>
      <c r="BF507" t="str">
        <f>HYPERLINK("http://dx.doi.org/10.1029/2022PA004529","http://dx.doi.org/10.1029/2022PA004529")</f>
        <v>http://dx.doi.org/10.1029/2022PA004529</v>
      </c>
      <c r="BG507" t="s">
        <v>74</v>
      </c>
      <c r="BH507" t="s">
        <v>74</v>
      </c>
      <c r="BI507">
        <v>24</v>
      </c>
      <c r="BJ507" t="s">
        <v>4840</v>
      </c>
      <c r="BK507" t="s">
        <v>103</v>
      </c>
      <c r="BL507" t="s">
        <v>4841</v>
      </c>
      <c r="BM507" t="s">
        <v>10117</v>
      </c>
      <c r="BN507" t="s">
        <v>74</v>
      </c>
      <c r="BO507" t="s">
        <v>1748</v>
      </c>
      <c r="BP507" t="s">
        <v>74</v>
      </c>
      <c r="BQ507" t="s">
        <v>74</v>
      </c>
      <c r="BR507" t="s">
        <v>106</v>
      </c>
      <c r="BS507" t="s">
        <v>10118</v>
      </c>
      <c r="BT507" t="str">
        <f>HYPERLINK("https%3A%2F%2Fwww.webofscience.com%2Fwos%2Fwoscc%2Ffull-record%2FWOS:001000274600005","View Full Record in Web of Science")</f>
        <v>View Full Record in Web of Science</v>
      </c>
    </row>
    <row r="508" spans="1:72" x14ac:dyDescent="0.15">
      <c r="A508" t="s">
        <v>72</v>
      </c>
      <c r="B508" t="s">
        <v>10119</v>
      </c>
      <c r="C508" t="s">
        <v>74</v>
      </c>
      <c r="D508" t="s">
        <v>74</v>
      </c>
      <c r="E508" t="s">
        <v>74</v>
      </c>
      <c r="F508" t="s">
        <v>10120</v>
      </c>
      <c r="G508" t="s">
        <v>74</v>
      </c>
      <c r="H508" t="s">
        <v>74</v>
      </c>
      <c r="I508" t="s">
        <v>10121</v>
      </c>
      <c r="J508" t="s">
        <v>4821</v>
      </c>
      <c r="K508" t="s">
        <v>74</v>
      </c>
      <c r="L508" t="s">
        <v>74</v>
      </c>
      <c r="M508" t="s">
        <v>78</v>
      </c>
      <c r="N508" t="s">
        <v>112</v>
      </c>
      <c r="O508" t="s">
        <v>74</v>
      </c>
      <c r="P508" t="s">
        <v>74</v>
      </c>
      <c r="Q508" t="s">
        <v>74</v>
      </c>
      <c r="R508" t="s">
        <v>74</v>
      </c>
      <c r="S508" t="s">
        <v>74</v>
      </c>
      <c r="T508" t="s">
        <v>10122</v>
      </c>
      <c r="U508" t="s">
        <v>10123</v>
      </c>
      <c r="V508" t="s">
        <v>10124</v>
      </c>
      <c r="W508" t="s">
        <v>10125</v>
      </c>
      <c r="X508" t="s">
        <v>10126</v>
      </c>
      <c r="Y508" t="s">
        <v>10127</v>
      </c>
      <c r="Z508" t="s">
        <v>10128</v>
      </c>
      <c r="AA508" t="s">
        <v>10129</v>
      </c>
      <c r="AB508" t="s">
        <v>10130</v>
      </c>
      <c r="AC508" t="s">
        <v>10131</v>
      </c>
      <c r="AD508" t="s">
        <v>10132</v>
      </c>
      <c r="AE508" t="s">
        <v>10133</v>
      </c>
      <c r="AF508" t="s">
        <v>74</v>
      </c>
      <c r="AG508">
        <v>48</v>
      </c>
      <c r="AH508">
        <v>2</v>
      </c>
      <c r="AI508">
        <v>2</v>
      </c>
      <c r="AJ508">
        <v>4</v>
      </c>
      <c r="AK508">
        <v>5</v>
      </c>
      <c r="AL508" t="s">
        <v>305</v>
      </c>
      <c r="AM508" t="s">
        <v>306</v>
      </c>
      <c r="AN508" t="s">
        <v>307</v>
      </c>
      <c r="AO508" t="s">
        <v>4834</v>
      </c>
      <c r="AP508" t="s">
        <v>4835</v>
      </c>
      <c r="AQ508" t="s">
        <v>74</v>
      </c>
      <c r="AR508" t="s">
        <v>4836</v>
      </c>
      <c r="AS508" t="s">
        <v>4837</v>
      </c>
      <c r="AT508" t="s">
        <v>8042</v>
      </c>
      <c r="AU508">
        <v>2023</v>
      </c>
      <c r="AV508">
        <v>38</v>
      </c>
      <c r="AW508">
        <v>3</v>
      </c>
      <c r="AX508" t="s">
        <v>74</v>
      </c>
      <c r="AY508" t="s">
        <v>74</v>
      </c>
      <c r="AZ508" t="s">
        <v>74</v>
      </c>
      <c r="BA508" t="s">
        <v>74</v>
      </c>
      <c r="BB508" t="s">
        <v>74</v>
      </c>
      <c r="BC508" t="s">
        <v>74</v>
      </c>
      <c r="BD508" t="s">
        <v>10134</v>
      </c>
      <c r="BE508" t="s">
        <v>10135</v>
      </c>
      <c r="BF508" t="str">
        <f>HYPERLINK("http://dx.doi.org/10.1029/2022PA004500","http://dx.doi.org/10.1029/2022PA004500")</f>
        <v>http://dx.doi.org/10.1029/2022PA004500</v>
      </c>
      <c r="BG508" t="s">
        <v>74</v>
      </c>
      <c r="BH508" t="s">
        <v>74</v>
      </c>
      <c r="BI508">
        <v>16</v>
      </c>
      <c r="BJ508" t="s">
        <v>4840</v>
      </c>
      <c r="BK508" t="s">
        <v>103</v>
      </c>
      <c r="BL508" t="s">
        <v>4841</v>
      </c>
      <c r="BM508" t="s">
        <v>10117</v>
      </c>
      <c r="BN508" t="s">
        <v>74</v>
      </c>
      <c r="BO508" t="s">
        <v>8573</v>
      </c>
      <c r="BP508" t="s">
        <v>74</v>
      </c>
      <c r="BQ508" t="s">
        <v>74</v>
      </c>
      <c r="BR508" t="s">
        <v>106</v>
      </c>
      <c r="BS508" t="s">
        <v>10136</v>
      </c>
      <c r="BT508" t="str">
        <f>HYPERLINK("https%3A%2F%2Fwww.webofscience.com%2Fwos%2Fwoscc%2Ffull-record%2FWOS:001000274600007","View Full Record in Web of Science")</f>
        <v>View Full Record in Web of Science</v>
      </c>
    </row>
    <row r="509" spans="1:72" x14ac:dyDescent="0.15">
      <c r="A509" t="s">
        <v>72</v>
      </c>
      <c r="B509" t="s">
        <v>10137</v>
      </c>
      <c r="C509" t="s">
        <v>74</v>
      </c>
      <c r="D509" t="s">
        <v>74</v>
      </c>
      <c r="E509" t="s">
        <v>74</v>
      </c>
      <c r="F509" t="s">
        <v>10138</v>
      </c>
      <c r="G509" t="s">
        <v>74</v>
      </c>
      <c r="H509" t="s">
        <v>74</v>
      </c>
      <c r="I509" t="s">
        <v>10139</v>
      </c>
      <c r="J509" t="s">
        <v>10140</v>
      </c>
      <c r="K509" t="s">
        <v>74</v>
      </c>
      <c r="L509" t="s">
        <v>74</v>
      </c>
      <c r="M509" t="s">
        <v>78</v>
      </c>
      <c r="N509" t="s">
        <v>112</v>
      </c>
      <c r="O509" t="s">
        <v>74</v>
      </c>
      <c r="P509" t="s">
        <v>74</v>
      </c>
      <c r="Q509" t="s">
        <v>74</v>
      </c>
      <c r="R509" t="s">
        <v>74</v>
      </c>
      <c r="S509" t="s">
        <v>74</v>
      </c>
      <c r="T509" t="s">
        <v>10141</v>
      </c>
      <c r="U509" t="s">
        <v>10142</v>
      </c>
      <c r="V509" t="s">
        <v>10143</v>
      </c>
      <c r="W509" t="s">
        <v>10144</v>
      </c>
      <c r="X509" t="s">
        <v>10145</v>
      </c>
      <c r="Y509" t="s">
        <v>10146</v>
      </c>
      <c r="Z509" t="s">
        <v>10147</v>
      </c>
      <c r="AA509" t="s">
        <v>10148</v>
      </c>
      <c r="AB509" t="s">
        <v>10149</v>
      </c>
      <c r="AC509" t="s">
        <v>10150</v>
      </c>
      <c r="AD509" t="s">
        <v>10151</v>
      </c>
      <c r="AE509" t="s">
        <v>10152</v>
      </c>
      <c r="AF509" t="s">
        <v>74</v>
      </c>
      <c r="AG509">
        <v>140</v>
      </c>
      <c r="AH509">
        <v>3</v>
      </c>
      <c r="AI509">
        <v>3</v>
      </c>
      <c r="AJ509">
        <v>0</v>
      </c>
      <c r="AK509">
        <v>3</v>
      </c>
      <c r="AL509" t="s">
        <v>305</v>
      </c>
      <c r="AM509" t="s">
        <v>306</v>
      </c>
      <c r="AN509" t="s">
        <v>307</v>
      </c>
      <c r="AO509" t="s">
        <v>10153</v>
      </c>
      <c r="AP509" t="s">
        <v>10154</v>
      </c>
      <c r="AQ509" t="s">
        <v>74</v>
      </c>
      <c r="AR509" t="s">
        <v>10155</v>
      </c>
      <c r="AS509" t="s">
        <v>10156</v>
      </c>
      <c r="AT509" t="s">
        <v>8042</v>
      </c>
      <c r="AU509">
        <v>2023</v>
      </c>
      <c r="AV509">
        <v>37</v>
      </c>
      <c r="AW509">
        <v>3</v>
      </c>
      <c r="AX509" t="s">
        <v>74</v>
      </c>
      <c r="AY509" t="s">
        <v>74</v>
      </c>
      <c r="AZ509" t="s">
        <v>74</v>
      </c>
      <c r="BA509" t="s">
        <v>74</v>
      </c>
      <c r="BB509" t="s">
        <v>74</v>
      </c>
      <c r="BC509" t="s">
        <v>74</v>
      </c>
      <c r="BD509" t="s">
        <v>10157</v>
      </c>
      <c r="BE509" t="s">
        <v>10158</v>
      </c>
      <c r="BF509" t="str">
        <f>HYPERLINK("http://dx.doi.org/10.1029/2022GB007518","http://dx.doi.org/10.1029/2022GB007518")</f>
        <v>http://dx.doi.org/10.1029/2022GB007518</v>
      </c>
      <c r="BG509" t="s">
        <v>74</v>
      </c>
      <c r="BH509" t="s">
        <v>74</v>
      </c>
      <c r="BI509">
        <v>22</v>
      </c>
      <c r="BJ509" t="s">
        <v>2474</v>
      </c>
      <c r="BK509" t="s">
        <v>103</v>
      </c>
      <c r="BL509" t="s">
        <v>2475</v>
      </c>
      <c r="BM509" t="s">
        <v>10159</v>
      </c>
      <c r="BN509" t="s">
        <v>74</v>
      </c>
      <c r="BO509" t="s">
        <v>928</v>
      </c>
      <c r="BP509" t="s">
        <v>74</v>
      </c>
      <c r="BQ509" t="s">
        <v>74</v>
      </c>
      <c r="BR509" t="s">
        <v>106</v>
      </c>
      <c r="BS509" t="s">
        <v>10160</v>
      </c>
      <c r="BT509" t="str">
        <f>HYPERLINK("https%3A%2F%2Fwww.webofscience.com%2Fwos%2Fwoscc%2Ffull-record%2FWOS:000973580800001","View Full Record in Web of Science")</f>
        <v>View Full Record in Web of Science</v>
      </c>
    </row>
    <row r="510" spans="1:72" x14ac:dyDescent="0.15">
      <c r="A510" t="s">
        <v>72</v>
      </c>
      <c r="B510" t="s">
        <v>10161</v>
      </c>
      <c r="C510" t="s">
        <v>74</v>
      </c>
      <c r="D510" t="s">
        <v>74</v>
      </c>
      <c r="E510" t="s">
        <v>74</v>
      </c>
      <c r="F510" t="s">
        <v>10162</v>
      </c>
      <c r="G510" t="s">
        <v>74</v>
      </c>
      <c r="H510" t="s">
        <v>74</v>
      </c>
      <c r="I510" t="s">
        <v>10163</v>
      </c>
      <c r="J510" t="s">
        <v>4797</v>
      </c>
      <c r="K510" t="s">
        <v>74</v>
      </c>
      <c r="L510" t="s">
        <v>74</v>
      </c>
      <c r="M510" t="s">
        <v>78</v>
      </c>
      <c r="N510" t="s">
        <v>112</v>
      </c>
      <c r="O510" t="s">
        <v>74</v>
      </c>
      <c r="P510" t="s">
        <v>74</v>
      </c>
      <c r="Q510" t="s">
        <v>74</v>
      </c>
      <c r="R510" t="s">
        <v>74</v>
      </c>
      <c r="S510" t="s">
        <v>74</v>
      </c>
      <c r="T510" t="s">
        <v>10164</v>
      </c>
      <c r="U510" t="s">
        <v>10165</v>
      </c>
      <c r="V510" t="s">
        <v>10166</v>
      </c>
      <c r="W510" t="s">
        <v>10167</v>
      </c>
      <c r="X510" t="s">
        <v>10168</v>
      </c>
      <c r="Y510" t="s">
        <v>10169</v>
      </c>
      <c r="Z510" t="s">
        <v>10170</v>
      </c>
      <c r="AA510" t="s">
        <v>74</v>
      </c>
      <c r="AB510" t="s">
        <v>10171</v>
      </c>
      <c r="AC510" t="s">
        <v>10172</v>
      </c>
      <c r="AD510" t="s">
        <v>10173</v>
      </c>
      <c r="AE510" t="s">
        <v>10174</v>
      </c>
      <c r="AF510" t="s">
        <v>74</v>
      </c>
      <c r="AG510">
        <v>65</v>
      </c>
      <c r="AH510">
        <v>0</v>
      </c>
      <c r="AI510">
        <v>0</v>
      </c>
      <c r="AJ510">
        <v>2</v>
      </c>
      <c r="AK510">
        <v>2</v>
      </c>
      <c r="AL510" t="s">
        <v>305</v>
      </c>
      <c r="AM510" t="s">
        <v>306</v>
      </c>
      <c r="AN510" t="s">
        <v>307</v>
      </c>
      <c r="AO510" t="s">
        <v>4810</v>
      </c>
      <c r="AP510" t="s">
        <v>4811</v>
      </c>
      <c r="AQ510" t="s">
        <v>74</v>
      </c>
      <c r="AR510" t="s">
        <v>4812</v>
      </c>
      <c r="AS510" t="s">
        <v>4813</v>
      </c>
      <c r="AT510" t="s">
        <v>8042</v>
      </c>
      <c r="AU510">
        <v>2023</v>
      </c>
      <c r="AV510">
        <v>128</v>
      </c>
      <c r="AW510">
        <v>3</v>
      </c>
      <c r="AX510" t="s">
        <v>74</v>
      </c>
      <c r="AY510" t="s">
        <v>74</v>
      </c>
      <c r="AZ510" t="s">
        <v>74</v>
      </c>
      <c r="BA510" t="s">
        <v>74</v>
      </c>
      <c r="BB510" t="s">
        <v>74</v>
      </c>
      <c r="BC510" t="s">
        <v>74</v>
      </c>
      <c r="BD510" t="s">
        <v>10175</v>
      </c>
      <c r="BE510" t="s">
        <v>10176</v>
      </c>
      <c r="BF510" t="str">
        <f>HYPERLINK("http://dx.doi.org/10.1029/2022JA030954","http://dx.doi.org/10.1029/2022JA030954")</f>
        <v>http://dx.doi.org/10.1029/2022JA030954</v>
      </c>
      <c r="BG510" t="s">
        <v>74</v>
      </c>
      <c r="BH510" t="s">
        <v>74</v>
      </c>
      <c r="BI510">
        <v>16</v>
      </c>
      <c r="BJ510" t="s">
        <v>159</v>
      </c>
      <c r="BK510" t="s">
        <v>103</v>
      </c>
      <c r="BL510" t="s">
        <v>159</v>
      </c>
      <c r="BM510" t="s">
        <v>10177</v>
      </c>
      <c r="BN510" t="s">
        <v>74</v>
      </c>
      <c r="BO510" t="s">
        <v>74</v>
      </c>
      <c r="BP510" t="s">
        <v>74</v>
      </c>
      <c r="BQ510" t="s">
        <v>74</v>
      </c>
      <c r="BR510" t="s">
        <v>106</v>
      </c>
      <c r="BS510" t="s">
        <v>10178</v>
      </c>
      <c r="BT510" t="str">
        <f>HYPERLINK("https%3A%2F%2Fwww.webofscience.com%2Fwos%2Fwoscc%2Ffull-record%2FWOS:000944172700001","View Full Record in Web of Science")</f>
        <v>View Full Record in Web of Science</v>
      </c>
    </row>
    <row r="511" spans="1:72" x14ac:dyDescent="0.15">
      <c r="A511" t="s">
        <v>72</v>
      </c>
      <c r="B511" t="s">
        <v>10179</v>
      </c>
      <c r="C511" t="s">
        <v>74</v>
      </c>
      <c r="D511" t="s">
        <v>74</v>
      </c>
      <c r="E511" t="s">
        <v>74</v>
      </c>
      <c r="F511" t="s">
        <v>10180</v>
      </c>
      <c r="G511" t="s">
        <v>74</v>
      </c>
      <c r="H511" t="s">
        <v>74</v>
      </c>
      <c r="I511" t="s">
        <v>10181</v>
      </c>
      <c r="J511" t="s">
        <v>4797</v>
      </c>
      <c r="K511" t="s">
        <v>74</v>
      </c>
      <c r="L511" t="s">
        <v>74</v>
      </c>
      <c r="M511" t="s">
        <v>78</v>
      </c>
      <c r="N511" t="s">
        <v>112</v>
      </c>
      <c r="O511" t="s">
        <v>74</v>
      </c>
      <c r="P511" t="s">
        <v>74</v>
      </c>
      <c r="Q511" t="s">
        <v>74</v>
      </c>
      <c r="R511" t="s">
        <v>74</v>
      </c>
      <c r="S511" t="s">
        <v>74</v>
      </c>
      <c r="T511" t="s">
        <v>74</v>
      </c>
      <c r="U511" t="s">
        <v>10182</v>
      </c>
      <c r="V511" t="s">
        <v>10183</v>
      </c>
      <c r="W511" t="s">
        <v>10184</v>
      </c>
      <c r="X511" t="s">
        <v>10185</v>
      </c>
      <c r="Y511" t="s">
        <v>10186</v>
      </c>
      <c r="Z511" t="s">
        <v>10187</v>
      </c>
      <c r="AA511" t="s">
        <v>10188</v>
      </c>
      <c r="AB511" t="s">
        <v>10189</v>
      </c>
      <c r="AC511" t="s">
        <v>10190</v>
      </c>
      <c r="AD511" t="s">
        <v>10191</v>
      </c>
      <c r="AE511" t="s">
        <v>10192</v>
      </c>
      <c r="AF511" t="s">
        <v>74</v>
      </c>
      <c r="AG511">
        <v>93</v>
      </c>
      <c r="AH511">
        <v>5</v>
      </c>
      <c r="AI511">
        <v>5</v>
      </c>
      <c r="AJ511">
        <v>2</v>
      </c>
      <c r="AK511">
        <v>5</v>
      </c>
      <c r="AL511" t="s">
        <v>305</v>
      </c>
      <c r="AM511" t="s">
        <v>306</v>
      </c>
      <c r="AN511" t="s">
        <v>307</v>
      </c>
      <c r="AO511" t="s">
        <v>4810</v>
      </c>
      <c r="AP511" t="s">
        <v>4811</v>
      </c>
      <c r="AQ511" t="s">
        <v>74</v>
      </c>
      <c r="AR511" t="s">
        <v>4812</v>
      </c>
      <c r="AS511" t="s">
        <v>4813</v>
      </c>
      <c r="AT511" t="s">
        <v>8042</v>
      </c>
      <c r="AU511">
        <v>2023</v>
      </c>
      <c r="AV511">
        <v>128</v>
      </c>
      <c r="AW511">
        <v>3</v>
      </c>
      <c r="AX511" t="s">
        <v>74</v>
      </c>
      <c r="AY511" t="s">
        <v>74</v>
      </c>
      <c r="AZ511" t="s">
        <v>74</v>
      </c>
      <c r="BA511" t="s">
        <v>74</v>
      </c>
      <c r="BB511" t="s">
        <v>74</v>
      </c>
      <c r="BC511" t="s">
        <v>74</v>
      </c>
      <c r="BD511" t="s">
        <v>10193</v>
      </c>
      <c r="BE511" t="s">
        <v>10194</v>
      </c>
      <c r="BF511" t="str">
        <f>HYPERLINK("http://dx.doi.org/10.1029/2023JA031325","http://dx.doi.org/10.1029/2023JA031325")</f>
        <v>http://dx.doi.org/10.1029/2023JA031325</v>
      </c>
      <c r="BG511" t="s">
        <v>74</v>
      </c>
      <c r="BH511" t="s">
        <v>74</v>
      </c>
      <c r="BI511">
        <v>13</v>
      </c>
      <c r="BJ511" t="s">
        <v>159</v>
      </c>
      <c r="BK511" t="s">
        <v>103</v>
      </c>
      <c r="BL511" t="s">
        <v>159</v>
      </c>
      <c r="BM511" t="s">
        <v>10195</v>
      </c>
      <c r="BN511" t="s">
        <v>74</v>
      </c>
      <c r="BO511" t="s">
        <v>74</v>
      </c>
      <c r="BP511" t="s">
        <v>74</v>
      </c>
      <c r="BQ511" t="s">
        <v>74</v>
      </c>
      <c r="BR511" t="s">
        <v>106</v>
      </c>
      <c r="BS511" t="s">
        <v>10196</v>
      </c>
      <c r="BT511" t="str">
        <f>HYPERLINK("https%3A%2F%2Fwww.webofscience.com%2Fwos%2Fwoscc%2Ffull-record%2FWOS:000947862800001","View Full Record in Web of Science")</f>
        <v>View Full Record in Web of Science</v>
      </c>
    </row>
    <row r="512" spans="1:72" x14ac:dyDescent="0.15">
      <c r="A512" t="s">
        <v>72</v>
      </c>
      <c r="B512" t="s">
        <v>10197</v>
      </c>
      <c r="C512" t="s">
        <v>74</v>
      </c>
      <c r="D512" t="s">
        <v>74</v>
      </c>
      <c r="E512" t="s">
        <v>74</v>
      </c>
      <c r="F512" t="s">
        <v>10198</v>
      </c>
      <c r="G512" t="s">
        <v>74</v>
      </c>
      <c r="H512" t="s">
        <v>74</v>
      </c>
      <c r="I512" t="s">
        <v>10199</v>
      </c>
      <c r="J512" t="s">
        <v>4797</v>
      </c>
      <c r="K512" t="s">
        <v>74</v>
      </c>
      <c r="L512" t="s">
        <v>74</v>
      </c>
      <c r="M512" t="s">
        <v>78</v>
      </c>
      <c r="N512" t="s">
        <v>112</v>
      </c>
      <c r="O512" t="s">
        <v>74</v>
      </c>
      <c r="P512" t="s">
        <v>74</v>
      </c>
      <c r="Q512" t="s">
        <v>74</v>
      </c>
      <c r="R512" t="s">
        <v>74</v>
      </c>
      <c r="S512" t="s">
        <v>74</v>
      </c>
      <c r="T512" t="s">
        <v>10200</v>
      </c>
      <c r="U512" t="s">
        <v>10201</v>
      </c>
      <c r="V512" t="s">
        <v>10202</v>
      </c>
      <c r="W512" t="s">
        <v>10203</v>
      </c>
      <c r="X512" t="s">
        <v>10204</v>
      </c>
      <c r="Y512" t="s">
        <v>10205</v>
      </c>
      <c r="Z512" t="s">
        <v>10206</v>
      </c>
      <c r="AA512" t="s">
        <v>10207</v>
      </c>
      <c r="AB512" t="s">
        <v>10208</v>
      </c>
      <c r="AC512" t="s">
        <v>10209</v>
      </c>
      <c r="AD512" t="s">
        <v>10210</v>
      </c>
      <c r="AE512" t="s">
        <v>10211</v>
      </c>
      <c r="AF512" t="s">
        <v>74</v>
      </c>
      <c r="AG512">
        <v>59</v>
      </c>
      <c r="AH512">
        <v>1</v>
      </c>
      <c r="AI512">
        <v>1</v>
      </c>
      <c r="AJ512">
        <v>0</v>
      </c>
      <c r="AK512">
        <v>4</v>
      </c>
      <c r="AL512" t="s">
        <v>305</v>
      </c>
      <c r="AM512" t="s">
        <v>306</v>
      </c>
      <c r="AN512" t="s">
        <v>307</v>
      </c>
      <c r="AO512" t="s">
        <v>4810</v>
      </c>
      <c r="AP512" t="s">
        <v>4811</v>
      </c>
      <c r="AQ512" t="s">
        <v>74</v>
      </c>
      <c r="AR512" t="s">
        <v>4812</v>
      </c>
      <c r="AS512" t="s">
        <v>4813</v>
      </c>
      <c r="AT512" t="s">
        <v>8042</v>
      </c>
      <c r="AU512">
        <v>2023</v>
      </c>
      <c r="AV512">
        <v>128</v>
      </c>
      <c r="AW512">
        <v>3</v>
      </c>
      <c r="AX512" t="s">
        <v>74</v>
      </c>
      <c r="AY512" t="s">
        <v>74</v>
      </c>
      <c r="AZ512" t="s">
        <v>74</v>
      </c>
      <c r="BA512" t="s">
        <v>74</v>
      </c>
      <c r="BB512" t="s">
        <v>74</v>
      </c>
      <c r="BC512" t="s">
        <v>74</v>
      </c>
      <c r="BD512" t="s">
        <v>10212</v>
      </c>
      <c r="BE512" t="s">
        <v>10213</v>
      </c>
      <c r="BF512" t="str">
        <f>HYPERLINK("http://dx.doi.org/10.1029/2022JA030816","http://dx.doi.org/10.1029/2022JA030816")</f>
        <v>http://dx.doi.org/10.1029/2022JA030816</v>
      </c>
      <c r="BG512" t="s">
        <v>74</v>
      </c>
      <c r="BH512" t="s">
        <v>74</v>
      </c>
      <c r="BI512">
        <v>22</v>
      </c>
      <c r="BJ512" t="s">
        <v>159</v>
      </c>
      <c r="BK512" t="s">
        <v>103</v>
      </c>
      <c r="BL512" t="s">
        <v>159</v>
      </c>
      <c r="BM512" t="s">
        <v>10214</v>
      </c>
      <c r="BN512" t="s">
        <v>74</v>
      </c>
      <c r="BO512" t="s">
        <v>74</v>
      </c>
      <c r="BP512" t="s">
        <v>74</v>
      </c>
      <c r="BQ512" t="s">
        <v>74</v>
      </c>
      <c r="BR512" t="s">
        <v>106</v>
      </c>
      <c r="BS512" t="s">
        <v>10215</v>
      </c>
      <c r="BT512" t="str">
        <f>HYPERLINK("https%3A%2F%2Fwww.webofscience.com%2Fwos%2Fwoscc%2Ffull-record%2FWOS:000944253500001","View Full Record in Web of Science")</f>
        <v>View Full Record in Web of Science</v>
      </c>
    </row>
    <row r="513" spans="1:72" x14ac:dyDescent="0.15">
      <c r="A513" t="s">
        <v>72</v>
      </c>
      <c r="B513" t="s">
        <v>10216</v>
      </c>
      <c r="C513" t="s">
        <v>74</v>
      </c>
      <c r="D513" t="s">
        <v>74</v>
      </c>
      <c r="E513" t="s">
        <v>74</v>
      </c>
      <c r="F513" t="s">
        <v>10217</v>
      </c>
      <c r="G513" t="s">
        <v>74</v>
      </c>
      <c r="H513" t="s">
        <v>74</v>
      </c>
      <c r="I513" t="s">
        <v>10218</v>
      </c>
      <c r="J513" t="s">
        <v>4797</v>
      </c>
      <c r="K513" t="s">
        <v>74</v>
      </c>
      <c r="L513" t="s">
        <v>74</v>
      </c>
      <c r="M513" t="s">
        <v>78</v>
      </c>
      <c r="N513" t="s">
        <v>112</v>
      </c>
      <c r="O513" t="s">
        <v>74</v>
      </c>
      <c r="P513" t="s">
        <v>74</v>
      </c>
      <c r="Q513" t="s">
        <v>74</v>
      </c>
      <c r="R513" t="s">
        <v>74</v>
      </c>
      <c r="S513" t="s">
        <v>74</v>
      </c>
      <c r="T513" t="s">
        <v>10219</v>
      </c>
      <c r="U513" t="s">
        <v>10220</v>
      </c>
      <c r="V513" t="s">
        <v>10221</v>
      </c>
      <c r="W513" t="s">
        <v>10222</v>
      </c>
      <c r="X513" t="s">
        <v>10223</v>
      </c>
      <c r="Y513" t="s">
        <v>10224</v>
      </c>
      <c r="Z513" t="s">
        <v>10225</v>
      </c>
      <c r="AA513" t="s">
        <v>10226</v>
      </c>
      <c r="AB513" t="s">
        <v>10227</v>
      </c>
      <c r="AC513" t="s">
        <v>10228</v>
      </c>
      <c r="AD513" t="s">
        <v>10229</v>
      </c>
      <c r="AE513" t="s">
        <v>10230</v>
      </c>
      <c r="AF513" t="s">
        <v>74</v>
      </c>
      <c r="AG513">
        <v>66</v>
      </c>
      <c r="AH513">
        <v>3</v>
      </c>
      <c r="AI513">
        <v>3</v>
      </c>
      <c r="AJ513">
        <v>2</v>
      </c>
      <c r="AK513">
        <v>7</v>
      </c>
      <c r="AL513" t="s">
        <v>305</v>
      </c>
      <c r="AM513" t="s">
        <v>306</v>
      </c>
      <c r="AN513" t="s">
        <v>307</v>
      </c>
      <c r="AO513" t="s">
        <v>4810</v>
      </c>
      <c r="AP513" t="s">
        <v>4811</v>
      </c>
      <c r="AQ513" t="s">
        <v>74</v>
      </c>
      <c r="AR513" t="s">
        <v>4812</v>
      </c>
      <c r="AS513" t="s">
        <v>4813</v>
      </c>
      <c r="AT513" t="s">
        <v>8042</v>
      </c>
      <c r="AU513">
        <v>2023</v>
      </c>
      <c r="AV513">
        <v>128</v>
      </c>
      <c r="AW513">
        <v>3</v>
      </c>
      <c r="AX513" t="s">
        <v>74</v>
      </c>
      <c r="AY513" t="s">
        <v>74</v>
      </c>
      <c r="AZ513" t="s">
        <v>74</v>
      </c>
      <c r="BA513" t="s">
        <v>74</v>
      </c>
      <c r="BB513" t="s">
        <v>74</v>
      </c>
      <c r="BC513" t="s">
        <v>74</v>
      </c>
      <c r="BD513" t="s">
        <v>10231</v>
      </c>
      <c r="BE513" t="s">
        <v>10232</v>
      </c>
      <c r="BF513" t="str">
        <f>HYPERLINK("http://dx.doi.org/10.1029/2023JA031299","http://dx.doi.org/10.1029/2023JA031299")</f>
        <v>http://dx.doi.org/10.1029/2023JA031299</v>
      </c>
      <c r="BG513" t="s">
        <v>74</v>
      </c>
      <c r="BH513" t="s">
        <v>74</v>
      </c>
      <c r="BI513">
        <v>11</v>
      </c>
      <c r="BJ513" t="s">
        <v>159</v>
      </c>
      <c r="BK513" t="s">
        <v>103</v>
      </c>
      <c r="BL513" t="s">
        <v>159</v>
      </c>
      <c r="BM513" t="s">
        <v>10233</v>
      </c>
      <c r="BN513" t="s">
        <v>74</v>
      </c>
      <c r="BO513" t="s">
        <v>74</v>
      </c>
      <c r="BP513" t="s">
        <v>74</v>
      </c>
      <c r="BQ513" t="s">
        <v>74</v>
      </c>
      <c r="BR513" t="s">
        <v>106</v>
      </c>
      <c r="BS513" t="s">
        <v>10234</v>
      </c>
      <c r="BT513" t="str">
        <f>HYPERLINK("https%3A%2F%2Fwww.webofscience.com%2Fwos%2Fwoscc%2Ffull-record%2FWOS:000958263700001","View Full Record in Web of Science")</f>
        <v>View Full Record in Web of Science</v>
      </c>
    </row>
    <row r="514" spans="1:72" x14ac:dyDescent="0.15">
      <c r="A514" t="s">
        <v>72</v>
      </c>
      <c r="B514" t="s">
        <v>10235</v>
      </c>
      <c r="C514" t="s">
        <v>74</v>
      </c>
      <c r="D514" t="s">
        <v>74</v>
      </c>
      <c r="E514" t="s">
        <v>74</v>
      </c>
      <c r="F514" t="s">
        <v>10236</v>
      </c>
      <c r="G514" t="s">
        <v>74</v>
      </c>
      <c r="H514" t="s">
        <v>74</v>
      </c>
      <c r="I514" t="s">
        <v>10237</v>
      </c>
      <c r="J514" t="s">
        <v>4797</v>
      </c>
      <c r="K514" t="s">
        <v>74</v>
      </c>
      <c r="L514" t="s">
        <v>74</v>
      </c>
      <c r="M514" t="s">
        <v>78</v>
      </c>
      <c r="N514" t="s">
        <v>112</v>
      </c>
      <c r="O514" t="s">
        <v>74</v>
      </c>
      <c r="P514" t="s">
        <v>74</v>
      </c>
      <c r="Q514" t="s">
        <v>74</v>
      </c>
      <c r="R514" t="s">
        <v>74</v>
      </c>
      <c r="S514" t="s">
        <v>74</v>
      </c>
      <c r="T514" t="s">
        <v>10238</v>
      </c>
      <c r="U514" t="s">
        <v>10239</v>
      </c>
      <c r="V514" t="s">
        <v>10240</v>
      </c>
      <c r="W514" t="s">
        <v>10241</v>
      </c>
      <c r="X514" t="s">
        <v>10242</v>
      </c>
      <c r="Y514" t="s">
        <v>10243</v>
      </c>
      <c r="Z514" t="s">
        <v>10244</v>
      </c>
      <c r="AA514" t="s">
        <v>10245</v>
      </c>
      <c r="AB514" t="s">
        <v>10246</v>
      </c>
      <c r="AC514" t="s">
        <v>10247</v>
      </c>
      <c r="AD514" t="s">
        <v>10248</v>
      </c>
      <c r="AE514" t="s">
        <v>10249</v>
      </c>
      <c r="AF514" t="s">
        <v>74</v>
      </c>
      <c r="AG514">
        <v>67</v>
      </c>
      <c r="AH514">
        <v>6</v>
      </c>
      <c r="AI514">
        <v>6</v>
      </c>
      <c r="AJ514">
        <v>2</v>
      </c>
      <c r="AK514">
        <v>3</v>
      </c>
      <c r="AL514" t="s">
        <v>305</v>
      </c>
      <c r="AM514" t="s">
        <v>306</v>
      </c>
      <c r="AN514" t="s">
        <v>307</v>
      </c>
      <c r="AO514" t="s">
        <v>4810</v>
      </c>
      <c r="AP514" t="s">
        <v>4811</v>
      </c>
      <c r="AQ514" t="s">
        <v>74</v>
      </c>
      <c r="AR514" t="s">
        <v>4812</v>
      </c>
      <c r="AS514" t="s">
        <v>4813</v>
      </c>
      <c r="AT514" t="s">
        <v>8042</v>
      </c>
      <c r="AU514">
        <v>2023</v>
      </c>
      <c r="AV514">
        <v>128</v>
      </c>
      <c r="AW514">
        <v>3</v>
      </c>
      <c r="AX514" t="s">
        <v>74</v>
      </c>
      <c r="AY514" t="s">
        <v>74</v>
      </c>
      <c r="AZ514" t="s">
        <v>74</v>
      </c>
      <c r="BA514" t="s">
        <v>74</v>
      </c>
      <c r="BB514" t="s">
        <v>74</v>
      </c>
      <c r="BC514" t="s">
        <v>74</v>
      </c>
      <c r="BD514" t="s">
        <v>10250</v>
      </c>
      <c r="BE514" t="s">
        <v>10251</v>
      </c>
      <c r="BF514" t="str">
        <f>HYPERLINK("http://dx.doi.org/10.1029/2022JA031186","http://dx.doi.org/10.1029/2022JA031186")</f>
        <v>http://dx.doi.org/10.1029/2022JA031186</v>
      </c>
      <c r="BG514" t="s">
        <v>74</v>
      </c>
      <c r="BH514" t="s">
        <v>74</v>
      </c>
      <c r="BI514">
        <v>13</v>
      </c>
      <c r="BJ514" t="s">
        <v>159</v>
      </c>
      <c r="BK514" t="s">
        <v>103</v>
      </c>
      <c r="BL514" t="s">
        <v>159</v>
      </c>
      <c r="BM514" t="s">
        <v>10252</v>
      </c>
      <c r="BN514" t="s">
        <v>74</v>
      </c>
      <c r="BO514" t="s">
        <v>1748</v>
      </c>
      <c r="BP514" t="s">
        <v>74</v>
      </c>
      <c r="BQ514" t="s">
        <v>74</v>
      </c>
      <c r="BR514" t="s">
        <v>106</v>
      </c>
      <c r="BS514" t="s">
        <v>10253</v>
      </c>
      <c r="BT514" t="str">
        <f>HYPERLINK("https%3A%2F%2Fwww.webofscience.com%2Fwos%2Fwoscc%2Ffull-record%2FWOS:000953046000001","View Full Record in Web of Science")</f>
        <v>View Full Record in Web of Science</v>
      </c>
    </row>
    <row r="515" spans="1:72" x14ac:dyDescent="0.15">
      <c r="A515" t="s">
        <v>72</v>
      </c>
      <c r="B515" t="s">
        <v>10254</v>
      </c>
      <c r="C515" t="s">
        <v>74</v>
      </c>
      <c r="D515" t="s">
        <v>74</v>
      </c>
      <c r="E515" t="s">
        <v>74</v>
      </c>
      <c r="F515" t="s">
        <v>10255</v>
      </c>
      <c r="G515" t="s">
        <v>74</v>
      </c>
      <c r="H515" t="s">
        <v>74</v>
      </c>
      <c r="I515" t="s">
        <v>10256</v>
      </c>
      <c r="J515" t="s">
        <v>10257</v>
      </c>
      <c r="K515" t="s">
        <v>74</v>
      </c>
      <c r="L515" t="s">
        <v>74</v>
      </c>
      <c r="M515" t="s">
        <v>78</v>
      </c>
      <c r="N515" t="s">
        <v>112</v>
      </c>
      <c r="O515" t="s">
        <v>74</v>
      </c>
      <c r="P515" t="s">
        <v>74</v>
      </c>
      <c r="Q515" t="s">
        <v>74</v>
      </c>
      <c r="R515" t="s">
        <v>74</v>
      </c>
      <c r="S515" t="s">
        <v>74</v>
      </c>
      <c r="T515" t="s">
        <v>74</v>
      </c>
      <c r="U515" t="s">
        <v>10258</v>
      </c>
      <c r="V515" t="s">
        <v>10259</v>
      </c>
      <c r="W515" t="s">
        <v>10260</v>
      </c>
      <c r="X515" t="s">
        <v>10261</v>
      </c>
      <c r="Y515" t="s">
        <v>10262</v>
      </c>
      <c r="Z515" t="s">
        <v>10263</v>
      </c>
      <c r="AA515" t="s">
        <v>74</v>
      </c>
      <c r="AB515" t="s">
        <v>10264</v>
      </c>
      <c r="AC515" t="s">
        <v>10265</v>
      </c>
      <c r="AD515" t="s">
        <v>4427</v>
      </c>
      <c r="AE515" t="s">
        <v>10266</v>
      </c>
      <c r="AF515" t="s">
        <v>74</v>
      </c>
      <c r="AG515">
        <v>111</v>
      </c>
      <c r="AH515">
        <v>2</v>
      </c>
      <c r="AI515">
        <v>2</v>
      </c>
      <c r="AJ515">
        <v>5</v>
      </c>
      <c r="AK515">
        <v>6</v>
      </c>
      <c r="AL515" t="s">
        <v>3160</v>
      </c>
      <c r="AM515" t="s">
        <v>3161</v>
      </c>
      <c r="AN515" t="s">
        <v>3162</v>
      </c>
      <c r="AO515" t="s">
        <v>10267</v>
      </c>
      <c r="AP515" t="s">
        <v>10268</v>
      </c>
      <c r="AQ515" t="s">
        <v>74</v>
      </c>
      <c r="AR515" t="s">
        <v>10269</v>
      </c>
      <c r="AS515" t="s">
        <v>10270</v>
      </c>
      <c r="AT515" t="s">
        <v>10271</v>
      </c>
      <c r="AU515">
        <v>2023</v>
      </c>
      <c r="AV515">
        <v>135</v>
      </c>
      <c r="AW515" t="s">
        <v>7071</v>
      </c>
      <c r="AX515" t="s">
        <v>74</v>
      </c>
      <c r="AY515" t="s">
        <v>74</v>
      </c>
      <c r="AZ515" t="s">
        <v>74</v>
      </c>
      <c r="BA515" t="s">
        <v>74</v>
      </c>
      <c r="BB515">
        <v>867</v>
      </c>
      <c r="BC515">
        <v>885</v>
      </c>
      <c r="BD515" t="s">
        <v>74</v>
      </c>
      <c r="BE515" t="s">
        <v>10272</v>
      </c>
      <c r="BF515" t="str">
        <f>HYPERLINK("http://dx.doi.org/10.1130/B36422.1","http://dx.doi.org/10.1130/B36422.1")</f>
        <v>http://dx.doi.org/10.1130/B36422.1</v>
      </c>
      <c r="BG515" t="s">
        <v>74</v>
      </c>
      <c r="BH515" t="s">
        <v>74</v>
      </c>
      <c r="BI515">
        <v>19</v>
      </c>
      <c r="BJ515" t="s">
        <v>261</v>
      </c>
      <c r="BK515" t="s">
        <v>103</v>
      </c>
      <c r="BL515" t="s">
        <v>262</v>
      </c>
      <c r="BM515" t="s">
        <v>10273</v>
      </c>
      <c r="BN515" t="s">
        <v>74</v>
      </c>
      <c r="BO515" t="s">
        <v>1389</v>
      </c>
      <c r="BP515" t="s">
        <v>74</v>
      </c>
      <c r="BQ515" t="s">
        <v>74</v>
      </c>
      <c r="BR515" t="s">
        <v>106</v>
      </c>
      <c r="BS515" t="s">
        <v>10274</v>
      </c>
      <c r="BT515" t="str">
        <f>HYPERLINK("https%3A%2F%2Fwww.webofscience.com%2Fwos%2Fwoscc%2Ffull-record%2FWOS:000996590500003","View Full Record in Web of Science")</f>
        <v>View Full Record in Web of Science</v>
      </c>
    </row>
    <row r="516" spans="1:72" x14ac:dyDescent="0.15">
      <c r="A516" t="s">
        <v>72</v>
      </c>
      <c r="B516" t="s">
        <v>10275</v>
      </c>
      <c r="C516" t="s">
        <v>74</v>
      </c>
      <c r="D516" t="s">
        <v>74</v>
      </c>
      <c r="E516" t="s">
        <v>74</v>
      </c>
      <c r="F516" t="s">
        <v>10276</v>
      </c>
      <c r="G516" t="s">
        <v>74</v>
      </c>
      <c r="H516" t="s">
        <v>74</v>
      </c>
      <c r="I516" t="s">
        <v>10277</v>
      </c>
      <c r="J516" t="s">
        <v>10278</v>
      </c>
      <c r="K516" t="s">
        <v>74</v>
      </c>
      <c r="L516" t="s">
        <v>74</v>
      </c>
      <c r="M516" t="s">
        <v>78</v>
      </c>
      <c r="N516" t="s">
        <v>112</v>
      </c>
      <c r="O516" t="s">
        <v>74</v>
      </c>
      <c r="P516" t="s">
        <v>74</v>
      </c>
      <c r="Q516" t="s">
        <v>74</v>
      </c>
      <c r="R516" t="s">
        <v>74</v>
      </c>
      <c r="S516" t="s">
        <v>74</v>
      </c>
      <c r="T516" t="s">
        <v>10279</v>
      </c>
      <c r="U516" t="s">
        <v>74</v>
      </c>
      <c r="V516" t="s">
        <v>10280</v>
      </c>
      <c r="W516" t="s">
        <v>10281</v>
      </c>
      <c r="X516" t="s">
        <v>10282</v>
      </c>
      <c r="Y516" t="s">
        <v>10283</v>
      </c>
      <c r="Z516" t="s">
        <v>10284</v>
      </c>
      <c r="AA516" t="s">
        <v>74</v>
      </c>
      <c r="AB516" t="s">
        <v>74</v>
      </c>
      <c r="AC516" t="s">
        <v>10285</v>
      </c>
      <c r="AD516" t="s">
        <v>251</v>
      </c>
      <c r="AE516" t="s">
        <v>10286</v>
      </c>
      <c r="AF516" t="s">
        <v>74</v>
      </c>
      <c r="AG516">
        <v>18</v>
      </c>
      <c r="AH516">
        <v>0</v>
      </c>
      <c r="AI516">
        <v>0</v>
      </c>
      <c r="AJ516">
        <v>3</v>
      </c>
      <c r="AK516">
        <v>3</v>
      </c>
      <c r="AL516" t="s">
        <v>5082</v>
      </c>
      <c r="AM516" t="s">
        <v>179</v>
      </c>
      <c r="AN516" t="s">
        <v>5083</v>
      </c>
      <c r="AO516" t="s">
        <v>10287</v>
      </c>
      <c r="AP516" t="s">
        <v>10288</v>
      </c>
      <c r="AQ516" t="s">
        <v>74</v>
      </c>
      <c r="AR516" t="s">
        <v>10289</v>
      </c>
      <c r="AS516" t="s">
        <v>10290</v>
      </c>
      <c r="AT516" t="s">
        <v>8042</v>
      </c>
      <c r="AU516">
        <v>2023</v>
      </c>
      <c r="AV516">
        <v>509</v>
      </c>
      <c r="AW516">
        <v>1</v>
      </c>
      <c r="AX516" t="s">
        <v>74</v>
      </c>
      <c r="AY516" t="s">
        <v>74</v>
      </c>
      <c r="AZ516" t="s">
        <v>74</v>
      </c>
      <c r="BA516" t="s">
        <v>74</v>
      </c>
      <c r="BB516">
        <v>166</v>
      </c>
      <c r="BC516">
        <v>170</v>
      </c>
      <c r="BD516" t="s">
        <v>74</v>
      </c>
      <c r="BE516" t="s">
        <v>10291</v>
      </c>
      <c r="BF516" t="str">
        <f>HYPERLINK("http://dx.doi.org/10.1134/S1028334X22601754","http://dx.doi.org/10.1134/S1028334X22601754")</f>
        <v>http://dx.doi.org/10.1134/S1028334X22601754</v>
      </c>
      <c r="BG516" t="s">
        <v>74</v>
      </c>
      <c r="BH516" t="s">
        <v>74</v>
      </c>
      <c r="BI516">
        <v>5</v>
      </c>
      <c r="BJ516" t="s">
        <v>261</v>
      </c>
      <c r="BK516" t="s">
        <v>103</v>
      </c>
      <c r="BL516" t="s">
        <v>262</v>
      </c>
      <c r="BM516" t="s">
        <v>10292</v>
      </c>
      <c r="BN516" t="s">
        <v>74</v>
      </c>
      <c r="BO516" t="s">
        <v>387</v>
      </c>
      <c r="BP516" t="s">
        <v>74</v>
      </c>
      <c r="BQ516" t="s">
        <v>74</v>
      </c>
      <c r="BR516" t="s">
        <v>106</v>
      </c>
      <c r="BS516" t="s">
        <v>10293</v>
      </c>
      <c r="BT516" t="str">
        <f>HYPERLINK("https%3A%2F%2Fwww.webofscience.com%2Fwos%2Fwoscc%2Ffull-record%2FWOS:000990302000009","View Full Record in Web of Science")</f>
        <v>View Full Record in Web of Science</v>
      </c>
    </row>
    <row r="517" spans="1:72" x14ac:dyDescent="0.15">
      <c r="A517" t="s">
        <v>72</v>
      </c>
      <c r="B517" t="s">
        <v>10294</v>
      </c>
      <c r="C517" t="s">
        <v>74</v>
      </c>
      <c r="D517" t="s">
        <v>74</v>
      </c>
      <c r="E517" t="s">
        <v>74</v>
      </c>
      <c r="F517" t="s">
        <v>10295</v>
      </c>
      <c r="G517" t="s">
        <v>74</v>
      </c>
      <c r="H517" t="s">
        <v>74</v>
      </c>
      <c r="I517" t="s">
        <v>10296</v>
      </c>
      <c r="J517" t="s">
        <v>268</v>
      </c>
      <c r="K517" t="s">
        <v>74</v>
      </c>
      <c r="L517" t="s">
        <v>74</v>
      </c>
      <c r="M517" t="s">
        <v>78</v>
      </c>
      <c r="N517" t="s">
        <v>112</v>
      </c>
      <c r="O517" t="s">
        <v>74</v>
      </c>
      <c r="P517" t="s">
        <v>74</v>
      </c>
      <c r="Q517" t="s">
        <v>74</v>
      </c>
      <c r="R517" t="s">
        <v>74</v>
      </c>
      <c r="S517" t="s">
        <v>74</v>
      </c>
      <c r="T517" t="s">
        <v>10297</v>
      </c>
      <c r="U517" t="s">
        <v>10298</v>
      </c>
      <c r="V517" t="s">
        <v>10299</v>
      </c>
      <c r="W517" t="s">
        <v>10300</v>
      </c>
      <c r="X517" t="s">
        <v>10301</v>
      </c>
      <c r="Y517" t="s">
        <v>10302</v>
      </c>
      <c r="Z517" t="s">
        <v>10303</v>
      </c>
      <c r="AA517" t="s">
        <v>10304</v>
      </c>
      <c r="AB517" t="s">
        <v>10305</v>
      </c>
      <c r="AC517" t="s">
        <v>10306</v>
      </c>
      <c r="AD517" t="s">
        <v>10306</v>
      </c>
      <c r="AE517" t="s">
        <v>10307</v>
      </c>
      <c r="AF517" t="s">
        <v>74</v>
      </c>
      <c r="AG517">
        <v>76</v>
      </c>
      <c r="AH517">
        <v>1</v>
      </c>
      <c r="AI517">
        <v>1</v>
      </c>
      <c r="AJ517">
        <v>0</v>
      </c>
      <c r="AK517">
        <v>1</v>
      </c>
      <c r="AL517" t="s">
        <v>91</v>
      </c>
      <c r="AM517" t="s">
        <v>92</v>
      </c>
      <c r="AN517" t="s">
        <v>93</v>
      </c>
      <c r="AO517" t="s">
        <v>281</v>
      </c>
      <c r="AP517" t="s">
        <v>282</v>
      </c>
      <c r="AQ517" t="s">
        <v>74</v>
      </c>
      <c r="AR517" t="s">
        <v>283</v>
      </c>
      <c r="AS517" t="s">
        <v>284</v>
      </c>
      <c r="AT517" t="s">
        <v>8042</v>
      </c>
      <c r="AU517">
        <v>2023</v>
      </c>
      <c r="AV517">
        <v>36</v>
      </c>
      <c r="AW517">
        <v>6</v>
      </c>
      <c r="AX517" t="s">
        <v>74</v>
      </c>
      <c r="AY517" t="s">
        <v>74</v>
      </c>
      <c r="AZ517" t="s">
        <v>74</v>
      </c>
      <c r="BA517" t="s">
        <v>74</v>
      </c>
      <c r="BB517">
        <v>1895</v>
      </c>
      <c r="BC517">
        <v>1922</v>
      </c>
      <c r="BD517" t="s">
        <v>74</v>
      </c>
      <c r="BE517" t="s">
        <v>10308</v>
      </c>
      <c r="BF517" t="str">
        <f>HYPERLINK("http://dx.doi.org/10.1175/JCLI-D-21-0796.1","http://dx.doi.org/10.1175/JCLI-D-21-0796.1")</f>
        <v>http://dx.doi.org/10.1175/JCLI-D-21-0796.1</v>
      </c>
      <c r="BG517" t="s">
        <v>74</v>
      </c>
      <c r="BH517" t="s">
        <v>74</v>
      </c>
      <c r="BI517">
        <v>28</v>
      </c>
      <c r="BJ517" t="s">
        <v>102</v>
      </c>
      <c r="BK517" t="s">
        <v>103</v>
      </c>
      <c r="BL517" t="s">
        <v>102</v>
      </c>
      <c r="BM517" t="s">
        <v>10309</v>
      </c>
      <c r="BN517" t="s">
        <v>74</v>
      </c>
      <c r="BO517" t="s">
        <v>1389</v>
      </c>
      <c r="BP517" t="s">
        <v>74</v>
      </c>
      <c r="BQ517" t="s">
        <v>74</v>
      </c>
      <c r="BR517" t="s">
        <v>106</v>
      </c>
      <c r="BS517" t="s">
        <v>10310</v>
      </c>
      <c r="BT517" t="str">
        <f>HYPERLINK("https%3A%2F%2Fwww.webofscience.com%2Fwos%2Fwoscc%2Ffull-record%2FWOS:000992704100001","View Full Record in Web of Science")</f>
        <v>View Full Record in Web of Science</v>
      </c>
    </row>
    <row r="518" spans="1:72" x14ac:dyDescent="0.15">
      <c r="A518" t="s">
        <v>72</v>
      </c>
      <c r="B518" t="s">
        <v>10311</v>
      </c>
      <c r="C518" t="s">
        <v>74</v>
      </c>
      <c r="D518" t="s">
        <v>74</v>
      </c>
      <c r="E518" t="s">
        <v>74</v>
      </c>
      <c r="F518" t="s">
        <v>10312</v>
      </c>
      <c r="G518" t="s">
        <v>74</v>
      </c>
      <c r="H518" t="s">
        <v>74</v>
      </c>
      <c r="I518" t="s">
        <v>10313</v>
      </c>
      <c r="J518" t="s">
        <v>10314</v>
      </c>
      <c r="K518" t="s">
        <v>74</v>
      </c>
      <c r="L518" t="s">
        <v>74</v>
      </c>
      <c r="M518" t="s">
        <v>78</v>
      </c>
      <c r="N518" t="s">
        <v>112</v>
      </c>
      <c r="O518" t="s">
        <v>74</v>
      </c>
      <c r="P518" t="s">
        <v>74</v>
      </c>
      <c r="Q518" t="s">
        <v>74</v>
      </c>
      <c r="R518" t="s">
        <v>74</v>
      </c>
      <c r="S518" t="s">
        <v>74</v>
      </c>
      <c r="T518" t="s">
        <v>74</v>
      </c>
      <c r="U518" t="s">
        <v>10315</v>
      </c>
      <c r="V518" t="s">
        <v>10316</v>
      </c>
      <c r="W518" t="s">
        <v>10317</v>
      </c>
      <c r="X518" t="s">
        <v>10318</v>
      </c>
      <c r="Y518" t="s">
        <v>10319</v>
      </c>
      <c r="Z518" t="s">
        <v>10320</v>
      </c>
      <c r="AA518" t="s">
        <v>74</v>
      </c>
      <c r="AB518" t="s">
        <v>74</v>
      </c>
      <c r="AC518" t="s">
        <v>10321</v>
      </c>
      <c r="AD518" t="s">
        <v>10322</v>
      </c>
      <c r="AE518" t="s">
        <v>10323</v>
      </c>
      <c r="AF518" t="s">
        <v>74</v>
      </c>
      <c r="AG518">
        <v>121</v>
      </c>
      <c r="AH518">
        <v>3</v>
      </c>
      <c r="AI518">
        <v>3</v>
      </c>
      <c r="AJ518">
        <v>4</v>
      </c>
      <c r="AK518">
        <v>7</v>
      </c>
      <c r="AL518" t="s">
        <v>10324</v>
      </c>
      <c r="AM518" t="s">
        <v>10325</v>
      </c>
      <c r="AN518" t="s">
        <v>10326</v>
      </c>
      <c r="AO518" t="s">
        <v>10327</v>
      </c>
      <c r="AP518" t="s">
        <v>10328</v>
      </c>
      <c r="AQ518" t="s">
        <v>74</v>
      </c>
      <c r="AR518" t="s">
        <v>10329</v>
      </c>
      <c r="AS518" t="s">
        <v>10330</v>
      </c>
      <c r="AT518" t="s">
        <v>8042</v>
      </c>
      <c r="AU518">
        <v>2023</v>
      </c>
      <c r="AV518">
        <v>118</v>
      </c>
      <c r="AW518">
        <v>2</v>
      </c>
      <c r="AX518" t="s">
        <v>74</v>
      </c>
      <c r="AY518" t="s">
        <v>74</v>
      </c>
      <c r="AZ518" t="s">
        <v>74</v>
      </c>
      <c r="BA518" t="s">
        <v>74</v>
      </c>
      <c r="BB518">
        <v>319</v>
      </c>
      <c r="BC518">
        <v>345</v>
      </c>
      <c r="BD518" t="s">
        <v>74</v>
      </c>
      <c r="BE518" t="s">
        <v>10331</v>
      </c>
      <c r="BF518" t="str">
        <f>HYPERLINK("http://dx.doi.org/10.5382/econgeo.4967;27p.","http://dx.doi.org/10.5382/econgeo.4967;27p.")</f>
        <v>http://dx.doi.org/10.5382/econgeo.4967;27p.</v>
      </c>
      <c r="BG518" t="s">
        <v>74</v>
      </c>
      <c r="BH518" t="s">
        <v>74</v>
      </c>
      <c r="BI518">
        <v>27</v>
      </c>
      <c r="BJ518" t="s">
        <v>2145</v>
      </c>
      <c r="BK518" t="s">
        <v>103</v>
      </c>
      <c r="BL518" t="s">
        <v>2145</v>
      </c>
      <c r="BM518" t="s">
        <v>10332</v>
      </c>
      <c r="BN518" t="s">
        <v>74</v>
      </c>
      <c r="BO518" t="s">
        <v>74</v>
      </c>
      <c r="BP518" t="s">
        <v>74</v>
      </c>
      <c r="BQ518" t="s">
        <v>74</v>
      </c>
      <c r="BR518" t="s">
        <v>106</v>
      </c>
      <c r="BS518" t="s">
        <v>10333</v>
      </c>
      <c r="BT518" t="str">
        <f>HYPERLINK("https%3A%2F%2Fwww.webofscience.com%2Fwos%2Fwoscc%2Ffull-record%2FWOS:000977336700002","View Full Record in Web of Science")</f>
        <v>View Full Record in Web of Science</v>
      </c>
    </row>
    <row r="519" spans="1:72" x14ac:dyDescent="0.15">
      <c r="A519" t="s">
        <v>72</v>
      </c>
      <c r="B519" t="s">
        <v>10334</v>
      </c>
      <c r="C519" t="s">
        <v>74</v>
      </c>
      <c r="D519" t="s">
        <v>74</v>
      </c>
      <c r="E519" t="s">
        <v>74</v>
      </c>
      <c r="F519" t="s">
        <v>10335</v>
      </c>
      <c r="G519" t="s">
        <v>74</v>
      </c>
      <c r="H519" t="s">
        <v>74</v>
      </c>
      <c r="I519" t="s">
        <v>10336</v>
      </c>
      <c r="J519" t="s">
        <v>1491</v>
      </c>
      <c r="K519" t="s">
        <v>74</v>
      </c>
      <c r="L519" t="s">
        <v>74</v>
      </c>
      <c r="M519" t="s">
        <v>78</v>
      </c>
      <c r="N519" t="s">
        <v>112</v>
      </c>
      <c r="O519" t="s">
        <v>74</v>
      </c>
      <c r="P519" t="s">
        <v>74</v>
      </c>
      <c r="Q519" t="s">
        <v>74</v>
      </c>
      <c r="R519" t="s">
        <v>74</v>
      </c>
      <c r="S519" t="s">
        <v>74</v>
      </c>
      <c r="T519" t="s">
        <v>74</v>
      </c>
      <c r="U519" t="s">
        <v>10337</v>
      </c>
      <c r="V519" t="s">
        <v>10338</v>
      </c>
      <c r="W519" t="s">
        <v>10339</v>
      </c>
      <c r="X519" t="s">
        <v>10340</v>
      </c>
      <c r="Y519" t="s">
        <v>10341</v>
      </c>
      <c r="Z519" t="s">
        <v>10342</v>
      </c>
      <c r="AA519" t="s">
        <v>10343</v>
      </c>
      <c r="AB519" t="s">
        <v>10344</v>
      </c>
      <c r="AC519" t="s">
        <v>10345</v>
      </c>
      <c r="AD519" t="s">
        <v>10346</v>
      </c>
      <c r="AE519" t="s">
        <v>10347</v>
      </c>
      <c r="AF519" t="s">
        <v>74</v>
      </c>
      <c r="AG519">
        <v>103</v>
      </c>
      <c r="AH519">
        <v>49</v>
      </c>
      <c r="AI519">
        <v>56</v>
      </c>
      <c r="AJ519">
        <v>46</v>
      </c>
      <c r="AK519">
        <v>91</v>
      </c>
      <c r="AL519" t="s">
        <v>203</v>
      </c>
      <c r="AM519" t="s">
        <v>204</v>
      </c>
      <c r="AN519" t="s">
        <v>205</v>
      </c>
      <c r="AO519" t="s">
        <v>1502</v>
      </c>
      <c r="AP519" t="s">
        <v>1503</v>
      </c>
      <c r="AQ519" t="s">
        <v>74</v>
      </c>
      <c r="AR519" t="s">
        <v>1491</v>
      </c>
      <c r="AS519" t="s">
        <v>1504</v>
      </c>
      <c r="AT519" t="s">
        <v>9003</v>
      </c>
      <c r="AU519">
        <v>2023</v>
      </c>
      <c r="AV519">
        <v>615</v>
      </c>
      <c r="AW519">
        <v>7951</v>
      </c>
      <c r="AX519" t="s">
        <v>74</v>
      </c>
      <c r="AY519" t="s">
        <v>74</v>
      </c>
      <c r="AZ519" t="s">
        <v>74</v>
      </c>
      <c r="BA519" t="s">
        <v>74</v>
      </c>
      <c r="BB519">
        <v>285</v>
      </c>
      <c r="BC519" t="s">
        <v>1385</v>
      </c>
      <c r="BD519" t="s">
        <v>74</v>
      </c>
      <c r="BE519" t="s">
        <v>10348</v>
      </c>
      <c r="BF519" t="str">
        <f>HYPERLINK("http://dx.doi.org/10.1038/s41586-023-05752-y","http://dx.doi.org/10.1038/s41586-023-05752-y")</f>
        <v>http://dx.doi.org/10.1038/s41586-023-05752-y</v>
      </c>
      <c r="BG519" t="s">
        <v>74</v>
      </c>
      <c r="BH519" t="s">
        <v>6218</v>
      </c>
      <c r="BI519">
        <v>22</v>
      </c>
      <c r="BJ519" t="s">
        <v>210</v>
      </c>
      <c r="BK519" t="s">
        <v>103</v>
      </c>
      <c r="BL519" t="s">
        <v>211</v>
      </c>
      <c r="BM519" t="s">
        <v>10349</v>
      </c>
      <c r="BN519">
        <v>36859541</v>
      </c>
      <c r="BO519" t="s">
        <v>3931</v>
      </c>
      <c r="BP519" t="s">
        <v>1849</v>
      </c>
      <c r="BQ519" t="s">
        <v>1850</v>
      </c>
      <c r="BR519" t="s">
        <v>106</v>
      </c>
      <c r="BS519" t="s">
        <v>10350</v>
      </c>
      <c r="BT519" t="str">
        <f>HYPERLINK("https%3A%2F%2Fwww.webofscience.com%2Fwos%2Fwoscc%2Ffull-record%2FWOS:000971761700018","View Full Record in Web of Science")</f>
        <v>View Full Record in Web of Science</v>
      </c>
    </row>
    <row r="520" spans="1:72" x14ac:dyDescent="0.15">
      <c r="A520" t="s">
        <v>72</v>
      </c>
      <c r="B520" t="s">
        <v>10351</v>
      </c>
      <c r="C520" t="s">
        <v>74</v>
      </c>
      <c r="D520" t="s">
        <v>74</v>
      </c>
      <c r="E520" t="s">
        <v>74</v>
      </c>
      <c r="F520" t="s">
        <v>10352</v>
      </c>
      <c r="G520" t="s">
        <v>74</v>
      </c>
      <c r="H520" t="s">
        <v>74</v>
      </c>
      <c r="I520" t="s">
        <v>10353</v>
      </c>
      <c r="J520" t="s">
        <v>10354</v>
      </c>
      <c r="K520" t="s">
        <v>74</v>
      </c>
      <c r="L520" t="s">
        <v>74</v>
      </c>
      <c r="M520" t="s">
        <v>78</v>
      </c>
      <c r="N520" t="s">
        <v>112</v>
      </c>
      <c r="O520" t="s">
        <v>74</v>
      </c>
      <c r="P520" t="s">
        <v>74</v>
      </c>
      <c r="Q520" t="s">
        <v>74</v>
      </c>
      <c r="R520" t="s">
        <v>74</v>
      </c>
      <c r="S520" t="s">
        <v>74</v>
      </c>
      <c r="T520" t="s">
        <v>10355</v>
      </c>
      <c r="U520" t="s">
        <v>10356</v>
      </c>
      <c r="V520" t="s">
        <v>10357</v>
      </c>
      <c r="W520" t="s">
        <v>10358</v>
      </c>
      <c r="X520" t="s">
        <v>10359</v>
      </c>
      <c r="Y520" t="s">
        <v>10360</v>
      </c>
      <c r="Z520" t="s">
        <v>74</v>
      </c>
      <c r="AA520" t="s">
        <v>74</v>
      </c>
      <c r="AB520" t="s">
        <v>74</v>
      </c>
      <c r="AC520" t="s">
        <v>10361</v>
      </c>
      <c r="AD520" t="s">
        <v>10362</v>
      </c>
      <c r="AE520" t="s">
        <v>10363</v>
      </c>
      <c r="AF520" t="s">
        <v>74</v>
      </c>
      <c r="AG520">
        <v>64</v>
      </c>
      <c r="AH520">
        <v>0</v>
      </c>
      <c r="AI520">
        <v>0</v>
      </c>
      <c r="AJ520">
        <v>0</v>
      </c>
      <c r="AK520">
        <v>0</v>
      </c>
      <c r="AL520" t="s">
        <v>10364</v>
      </c>
      <c r="AM520" t="s">
        <v>10365</v>
      </c>
      <c r="AN520" t="s">
        <v>10366</v>
      </c>
      <c r="AO520" t="s">
        <v>10367</v>
      </c>
      <c r="AP520" t="s">
        <v>74</v>
      </c>
      <c r="AQ520" t="s">
        <v>74</v>
      </c>
      <c r="AR520" t="s">
        <v>10368</v>
      </c>
      <c r="AS520" t="s">
        <v>10369</v>
      </c>
      <c r="AT520" t="s">
        <v>8042</v>
      </c>
      <c r="AU520">
        <v>2023</v>
      </c>
      <c r="AV520">
        <v>15</v>
      </c>
      <c r="AW520">
        <v>1</v>
      </c>
      <c r="AX520" t="s">
        <v>74</v>
      </c>
      <c r="AY520" t="s">
        <v>74</v>
      </c>
      <c r="AZ520" t="s">
        <v>74</v>
      </c>
      <c r="BA520" t="s">
        <v>74</v>
      </c>
      <c r="BB520">
        <v>109</v>
      </c>
      <c r="BC520">
        <v>127</v>
      </c>
      <c r="BD520" t="s">
        <v>74</v>
      </c>
      <c r="BE520" t="s">
        <v>10370</v>
      </c>
      <c r="BF520" t="str">
        <f>HYPERLINK("http://dx.doi.org/10.1215/22011919-10216184","http://dx.doi.org/10.1215/22011919-10216184")</f>
        <v>http://dx.doi.org/10.1215/22011919-10216184</v>
      </c>
      <c r="BG520" t="s">
        <v>74</v>
      </c>
      <c r="BH520" t="s">
        <v>74</v>
      </c>
      <c r="BI520">
        <v>19</v>
      </c>
      <c r="BJ520" t="s">
        <v>10371</v>
      </c>
      <c r="BK520" t="s">
        <v>160</v>
      </c>
      <c r="BL520" t="s">
        <v>10372</v>
      </c>
      <c r="BM520" t="s">
        <v>10373</v>
      </c>
      <c r="BN520" t="s">
        <v>74</v>
      </c>
      <c r="BO520" t="s">
        <v>359</v>
      </c>
      <c r="BP520" t="s">
        <v>74</v>
      </c>
      <c r="BQ520" t="s">
        <v>74</v>
      </c>
      <c r="BR520" t="s">
        <v>106</v>
      </c>
      <c r="BS520" t="s">
        <v>10374</v>
      </c>
      <c r="BT520" t="str">
        <f>HYPERLINK("https%3A%2F%2Fwww.webofscience.com%2Fwos%2Fwoscc%2Ffull-record%2FWOS:000976429600007","View Full Record in Web of Science")</f>
        <v>View Full Record in Web of Science</v>
      </c>
    </row>
    <row r="521" spans="1:72" x14ac:dyDescent="0.15">
      <c r="A521" t="s">
        <v>72</v>
      </c>
      <c r="B521" t="s">
        <v>10375</v>
      </c>
      <c r="C521" t="s">
        <v>74</v>
      </c>
      <c r="D521" t="s">
        <v>74</v>
      </c>
      <c r="E521" t="s">
        <v>74</v>
      </c>
      <c r="F521" t="s">
        <v>10376</v>
      </c>
      <c r="G521" t="s">
        <v>74</v>
      </c>
      <c r="H521" t="s">
        <v>74</v>
      </c>
      <c r="I521" t="s">
        <v>10377</v>
      </c>
      <c r="J521" t="s">
        <v>9081</v>
      </c>
      <c r="K521" t="s">
        <v>74</v>
      </c>
      <c r="L521" t="s">
        <v>74</v>
      </c>
      <c r="M521" t="s">
        <v>78</v>
      </c>
      <c r="N521" t="s">
        <v>112</v>
      </c>
      <c r="O521" t="s">
        <v>74</v>
      </c>
      <c r="P521" t="s">
        <v>74</v>
      </c>
      <c r="Q521" t="s">
        <v>74</v>
      </c>
      <c r="R521" t="s">
        <v>74</v>
      </c>
      <c r="S521" t="s">
        <v>74</v>
      </c>
      <c r="T521" t="s">
        <v>10378</v>
      </c>
      <c r="U521" t="s">
        <v>10379</v>
      </c>
      <c r="V521" t="s">
        <v>10380</v>
      </c>
      <c r="W521" t="s">
        <v>10381</v>
      </c>
      <c r="X521" t="s">
        <v>10382</v>
      </c>
      <c r="Y521" t="s">
        <v>10383</v>
      </c>
      <c r="Z521" t="s">
        <v>10384</v>
      </c>
      <c r="AA521" t="s">
        <v>10385</v>
      </c>
      <c r="AB521" t="s">
        <v>10386</v>
      </c>
      <c r="AC521" t="s">
        <v>10387</v>
      </c>
      <c r="AD521" t="s">
        <v>10388</v>
      </c>
      <c r="AE521" t="s">
        <v>10389</v>
      </c>
      <c r="AF521" t="s">
        <v>74</v>
      </c>
      <c r="AG521">
        <v>113</v>
      </c>
      <c r="AH521">
        <v>1</v>
      </c>
      <c r="AI521">
        <v>1</v>
      </c>
      <c r="AJ521">
        <v>2</v>
      </c>
      <c r="AK521">
        <v>8</v>
      </c>
      <c r="AL521" t="s">
        <v>225</v>
      </c>
      <c r="AM521" t="s">
        <v>226</v>
      </c>
      <c r="AN521" t="s">
        <v>227</v>
      </c>
      <c r="AO521" t="s">
        <v>9094</v>
      </c>
      <c r="AP521" t="s">
        <v>9095</v>
      </c>
      <c r="AQ521" t="s">
        <v>74</v>
      </c>
      <c r="AR521" t="s">
        <v>9096</v>
      </c>
      <c r="AS521" t="s">
        <v>9097</v>
      </c>
      <c r="AT521" t="s">
        <v>4546</v>
      </c>
      <c r="AU521">
        <v>2023</v>
      </c>
      <c r="AV521">
        <v>305</v>
      </c>
      <c r="AW521" t="s">
        <v>74</v>
      </c>
      <c r="AX521" t="s">
        <v>74</v>
      </c>
      <c r="AY521" t="s">
        <v>74</v>
      </c>
      <c r="AZ521" t="s">
        <v>74</v>
      </c>
      <c r="BA521" t="s">
        <v>74</v>
      </c>
      <c r="BB521" t="s">
        <v>74</v>
      </c>
      <c r="BC521" t="s">
        <v>74</v>
      </c>
      <c r="BD521">
        <v>108007</v>
      </c>
      <c r="BE521" t="s">
        <v>10390</v>
      </c>
      <c r="BF521" t="str">
        <f>HYPERLINK("http://dx.doi.org/10.1016/j.quascirev.2023.108007","http://dx.doi.org/10.1016/j.quascirev.2023.108007")</f>
        <v>http://dx.doi.org/10.1016/j.quascirev.2023.108007</v>
      </c>
      <c r="BG521" t="s">
        <v>74</v>
      </c>
      <c r="BH521" t="s">
        <v>6218</v>
      </c>
      <c r="BI521">
        <v>14</v>
      </c>
      <c r="BJ521" t="s">
        <v>801</v>
      </c>
      <c r="BK521" t="s">
        <v>103</v>
      </c>
      <c r="BL521" t="s">
        <v>802</v>
      </c>
      <c r="BM521" t="s">
        <v>10391</v>
      </c>
      <c r="BN521" t="s">
        <v>74</v>
      </c>
      <c r="BO521" t="s">
        <v>315</v>
      </c>
      <c r="BP521" t="s">
        <v>74</v>
      </c>
      <c r="BQ521" t="s">
        <v>74</v>
      </c>
      <c r="BR521" t="s">
        <v>106</v>
      </c>
      <c r="BS521" t="s">
        <v>10392</v>
      </c>
      <c r="BT521" t="str">
        <f>HYPERLINK("https%3A%2F%2Fwww.webofscience.com%2Fwos%2Fwoscc%2Ffull-record%2FWOS:000965858700001","View Full Record in Web of Science")</f>
        <v>View Full Record in Web of Science</v>
      </c>
    </row>
    <row r="522" spans="1:72" x14ac:dyDescent="0.15">
      <c r="A522" t="s">
        <v>72</v>
      </c>
      <c r="B522" t="s">
        <v>10393</v>
      </c>
      <c r="C522" t="s">
        <v>74</v>
      </c>
      <c r="D522" t="s">
        <v>74</v>
      </c>
      <c r="E522" t="s">
        <v>74</v>
      </c>
      <c r="F522" t="s">
        <v>10394</v>
      </c>
      <c r="G522" t="s">
        <v>74</v>
      </c>
      <c r="H522" t="s">
        <v>74</v>
      </c>
      <c r="I522" t="s">
        <v>10395</v>
      </c>
      <c r="J522" t="s">
        <v>10396</v>
      </c>
      <c r="K522" t="s">
        <v>74</v>
      </c>
      <c r="L522" t="s">
        <v>74</v>
      </c>
      <c r="M522" t="s">
        <v>78</v>
      </c>
      <c r="N522" t="s">
        <v>112</v>
      </c>
      <c r="O522" t="s">
        <v>74</v>
      </c>
      <c r="P522" t="s">
        <v>74</v>
      </c>
      <c r="Q522" t="s">
        <v>74</v>
      </c>
      <c r="R522" t="s">
        <v>74</v>
      </c>
      <c r="S522" t="s">
        <v>74</v>
      </c>
      <c r="T522" t="s">
        <v>10397</v>
      </c>
      <c r="U522" t="s">
        <v>10398</v>
      </c>
      <c r="V522" t="s">
        <v>10399</v>
      </c>
      <c r="W522" t="s">
        <v>10400</v>
      </c>
      <c r="X522" t="s">
        <v>10401</v>
      </c>
      <c r="Y522" t="s">
        <v>10402</v>
      </c>
      <c r="Z522" t="s">
        <v>10403</v>
      </c>
      <c r="AA522" t="s">
        <v>10404</v>
      </c>
      <c r="AB522" t="s">
        <v>10405</v>
      </c>
      <c r="AC522" t="s">
        <v>10406</v>
      </c>
      <c r="AD522" t="s">
        <v>10407</v>
      </c>
      <c r="AE522" t="s">
        <v>10408</v>
      </c>
      <c r="AF522" t="s">
        <v>74</v>
      </c>
      <c r="AG522">
        <v>81</v>
      </c>
      <c r="AH522">
        <v>1</v>
      </c>
      <c r="AI522">
        <v>1</v>
      </c>
      <c r="AJ522">
        <v>2</v>
      </c>
      <c r="AK522">
        <v>7</v>
      </c>
      <c r="AL522" t="s">
        <v>10409</v>
      </c>
      <c r="AM522" t="s">
        <v>8671</v>
      </c>
      <c r="AN522" t="s">
        <v>10410</v>
      </c>
      <c r="AO522" t="s">
        <v>10411</v>
      </c>
      <c r="AP522" t="s">
        <v>10412</v>
      </c>
      <c r="AQ522" t="s">
        <v>74</v>
      </c>
      <c r="AR522" t="s">
        <v>10413</v>
      </c>
      <c r="AS522" t="s">
        <v>10414</v>
      </c>
      <c r="AT522" t="s">
        <v>8042</v>
      </c>
      <c r="AU522">
        <v>2023</v>
      </c>
      <c r="AV522">
        <v>73</v>
      </c>
      <c r="AW522">
        <v>1</v>
      </c>
      <c r="AX522" t="s">
        <v>74</v>
      </c>
      <c r="AY522" t="s">
        <v>74</v>
      </c>
      <c r="AZ522" t="s">
        <v>74</v>
      </c>
      <c r="BA522" t="s">
        <v>74</v>
      </c>
      <c r="BB522">
        <v>17</v>
      </c>
      <c r="BC522">
        <v>28</v>
      </c>
      <c r="BD522" t="s">
        <v>74</v>
      </c>
      <c r="BE522" t="s">
        <v>10415</v>
      </c>
      <c r="BF522" t="str">
        <f>HYPERLINK("http://dx.doi.org/10.3161/00034541ANZ2023.73.1.002","http://dx.doi.org/10.3161/00034541ANZ2023.73.1.002")</f>
        <v>http://dx.doi.org/10.3161/00034541ANZ2023.73.1.002</v>
      </c>
      <c r="BG522" t="s">
        <v>74</v>
      </c>
      <c r="BH522" t="s">
        <v>74</v>
      </c>
      <c r="BI522">
        <v>12</v>
      </c>
      <c r="BJ522" t="s">
        <v>10416</v>
      </c>
      <c r="BK522" t="s">
        <v>103</v>
      </c>
      <c r="BL522" t="s">
        <v>10416</v>
      </c>
      <c r="BM522" t="s">
        <v>10417</v>
      </c>
      <c r="BN522" t="s">
        <v>74</v>
      </c>
      <c r="BO522" t="s">
        <v>74</v>
      </c>
      <c r="BP522" t="s">
        <v>74</v>
      </c>
      <c r="BQ522" t="s">
        <v>74</v>
      </c>
      <c r="BR522" t="s">
        <v>106</v>
      </c>
      <c r="BS522" t="s">
        <v>10418</v>
      </c>
      <c r="BT522" t="str">
        <f>HYPERLINK("https%3A%2F%2Fwww.webofscience.com%2Fwos%2Fwoscc%2Ffull-record%2FWOS:000970515000002","View Full Record in Web of Science")</f>
        <v>View Full Record in Web of Science</v>
      </c>
    </row>
    <row r="523" spans="1:72" x14ac:dyDescent="0.15">
      <c r="A523" t="s">
        <v>72</v>
      </c>
      <c r="B523" t="s">
        <v>10419</v>
      </c>
      <c r="C523" t="s">
        <v>74</v>
      </c>
      <c r="D523" t="s">
        <v>74</v>
      </c>
      <c r="E523" t="s">
        <v>74</v>
      </c>
      <c r="F523" t="s">
        <v>10420</v>
      </c>
      <c r="G523" t="s">
        <v>74</v>
      </c>
      <c r="H523" t="s">
        <v>74</v>
      </c>
      <c r="I523" t="s">
        <v>10421</v>
      </c>
      <c r="J523" t="s">
        <v>4797</v>
      </c>
      <c r="K523" t="s">
        <v>74</v>
      </c>
      <c r="L523" t="s">
        <v>74</v>
      </c>
      <c r="M523" t="s">
        <v>78</v>
      </c>
      <c r="N523" t="s">
        <v>112</v>
      </c>
      <c r="O523" t="s">
        <v>74</v>
      </c>
      <c r="P523" t="s">
        <v>74</v>
      </c>
      <c r="Q523" t="s">
        <v>74</v>
      </c>
      <c r="R523" t="s">
        <v>74</v>
      </c>
      <c r="S523" t="s">
        <v>74</v>
      </c>
      <c r="T523" t="s">
        <v>10422</v>
      </c>
      <c r="U523" t="s">
        <v>10423</v>
      </c>
      <c r="V523" t="s">
        <v>10424</v>
      </c>
      <c r="W523" t="s">
        <v>10425</v>
      </c>
      <c r="X523" t="s">
        <v>10426</v>
      </c>
      <c r="Y523" t="s">
        <v>10427</v>
      </c>
      <c r="Z523" t="s">
        <v>10428</v>
      </c>
      <c r="AA523" t="s">
        <v>10429</v>
      </c>
      <c r="AB523" t="s">
        <v>10430</v>
      </c>
      <c r="AC523" t="s">
        <v>10431</v>
      </c>
      <c r="AD523" t="s">
        <v>10432</v>
      </c>
      <c r="AE523" t="s">
        <v>10433</v>
      </c>
      <c r="AF523" t="s">
        <v>74</v>
      </c>
      <c r="AG523">
        <v>49</v>
      </c>
      <c r="AH523">
        <v>2</v>
      </c>
      <c r="AI523">
        <v>2</v>
      </c>
      <c r="AJ523">
        <v>0</v>
      </c>
      <c r="AK523">
        <v>1</v>
      </c>
      <c r="AL523" t="s">
        <v>305</v>
      </c>
      <c r="AM523" t="s">
        <v>306</v>
      </c>
      <c r="AN523" t="s">
        <v>307</v>
      </c>
      <c r="AO523" t="s">
        <v>4810</v>
      </c>
      <c r="AP523" t="s">
        <v>4811</v>
      </c>
      <c r="AQ523" t="s">
        <v>74</v>
      </c>
      <c r="AR523" t="s">
        <v>4812</v>
      </c>
      <c r="AS523" t="s">
        <v>4813</v>
      </c>
      <c r="AT523" t="s">
        <v>8042</v>
      </c>
      <c r="AU523">
        <v>2023</v>
      </c>
      <c r="AV523">
        <v>128</v>
      </c>
      <c r="AW523">
        <v>3</v>
      </c>
      <c r="AX523" t="s">
        <v>74</v>
      </c>
      <c r="AY523" t="s">
        <v>74</v>
      </c>
      <c r="AZ523" t="s">
        <v>74</v>
      </c>
      <c r="BA523" t="s">
        <v>74</v>
      </c>
      <c r="BB523" t="s">
        <v>74</v>
      </c>
      <c r="BC523" t="s">
        <v>74</v>
      </c>
      <c r="BD523" t="s">
        <v>10434</v>
      </c>
      <c r="BE523" t="s">
        <v>10435</v>
      </c>
      <c r="BF523" t="str">
        <f>HYPERLINK("http://dx.doi.org/10.1029/2022JA030565","http://dx.doi.org/10.1029/2022JA030565")</f>
        <v>http://dx.doi.org/10.1029/2022JA030565</v>
      </c>
      <c r="BG523" t="s">
        <v>74</v>
      </c>
      <c r="BH523" t="s">
        <v>74</v>
      </c>
      <c r="BI523">
        <v>14</v>
      </c>
      <c r="BJ523" t="s">
        <v>159</v>
      </c>
      <c r="BK523" t="s">
        <v>103</v>
      </c>
      <c r="BL523" t="s">
        <v>159</v>
      </c>
      <c r="BM523" t="s">
        <v>10436</v>
      </c>
      <c r="BN523" t="s">
        <v>74</v>
      </c>
      <c r="BO523" t="s">
        <v>387</v>
      </c>
      <c r="BP523" t="s">
        <v>74</v>
      </c>
      <c r="BQ523" t="s">
        <v>74</v>
      </c>
      <c r="BR523" t="s">
        <v>106</v>
      </c>
      <c r="BS523" t="s">
        <v>10437</v>
      </c>
      <c r="BT523" t="str">
        <f>HYPERLINK("https%3A%2F%2Fwww.webofscience.com%2Fwos%2Fwoscc%2Ffull-record%2FWOS:000973609600001","View Full Record in Web of Science")</f>
        <v>View Full Record in Web of Science</v>
      </c>
    </row>
    <row r="524" spans="1:72" x14ac:dyDescent="0.15">
      <c r="A524" t="s">
        <v>72</v>
      </c>
      <c r="B524" t="s">
        <v>10438</v>
      </c>
      <c r="C524" t="s">
        <v>74</v>
      </c>
      <c r="D524" t="s">
        <v>74</v>
      </c>
      <c r="E524" t="s">
        <v>74</v>
      </c>
      <c r="F524" t="s">
        <v>10439</v>
      </c>
      <c r="G524" t="s">
        <v>74</v>
      </c>
      <c r="H524" t="s">
        <v>74</v>
      </c>
      <c r="I524" t="s">
        <v>10440</v>
      </c>
      <c r="J524" t="s">
        <v>10441</v>
      </c>
      <c r="K524" t="s">
        <v>74</v>
      </c>
      <c r="L524" t="s">
        <v>74</v>
      </c>
      <c r="M524" t="s">
        <v>78</v>
      </c>
      <c r="N524" t="s">
        <v>112</v>
      </c>
      <c r="O524" t="s">
        <v>74</v>
      </c>
      <c r="P524" t="s">
        <v>74</v>
      </c>
      <c r="Q524" t="s">
        <v>74</v>
      </c>
      <c r="R524" t="s">
        <v>74</v>
      </c>
      <c r="S524" t="s">
        <v>74</v>
      </c>
      <c r="T524" t="s">
        <v>10442</v>
      </c>
      <c r="U524" t="s">
        <v>10443</v>
      </c>
      <c r="V524" t="s">
        <v>10444</v>
      </c>
      <c r="W524" t="s">
        <v>10445</v>
      </c>
      <c r="X524" t="s">
        <v>10446</v>
      </c>
      <c r="Y524" t="s">
        <v>10447</v>
      </c>
      <c r="Z524" t="s">
        <v>10448</v>
      </c>
      <c r="AA524" t="s">
        <v>74</v>
      </c>
      <c r="AB524" t="s">
        <v>10449</v>
      </c>
      <c r="AC524" t="s">
        <v>10450</v>
      </c>
      <c r="AD524" t="s">
        <v>10451</v>
      </c>
      <c r="AE524" t="s">
        <v>10452</v>
      </c>
      <c r="AF524" t="s">
        <v>74</v>
      </c>
      <c r="AG524">
        <v>46</v>
      </c>
      <c r="AH524">
        <v>0</v>
      </c>
      <c r="AI524">
        <v>0</v>
      </c>
      <c r="AJ524">
        <v>0</v>
      </c>
      <c r="AK524">
        <v>3</v>
      </c>
      <c r="AL524" t="s">
        <v>10453</v>
      </c>
      <c r="AM524" t="s">
        <v>10454</v>
      </c>
      <c r="AN524" t="s">
        <v>10455</v>
      </c>
      <c r="AO524" t="s">
        <v>10456</v>
      </c>
      <c r="AP524" t="s">
        <v>10457</v>
      </c>
      <c r="AQ524" t="s">
        <v>74</v>
      </c>
      <c r="AR524" t="s">
        <v>10441</v>
      </c>
      <c r="AS524" t="s">
        <v>10458</v>
      </c>
      <c r="AT524" t="s">
        <v>8042</v>
      </c>
      <c r="AU524">
        <v>2023</v>
      </c>
      <c r="AV524">
        <v>76</v>
      </c>
      <c r="AW524">
        <v>1</v>
      </c>
      <c r="AX524" t="s">
        <v>74</v>
      </c>
      <c r="AY524" t="s">
        <v>74</v>
      </c>
      <c r="AZ524" t="s">
        <v>74</v>
      </c>
      <c r="BA524" t="s">
        <v>74</v>
      </c>
      <c r="BB524">
        <v>2</v>
      </c>
      <c r="BC524">
        <v>13</v>
      </c>
      <c r="BD524" t="s">
        <v>74</v>
      </c>
      <c r="BE524" t="s">
        <v>10459</v>
      </c>
      <c r="BF524" t="str">
        <f>HYPERLINK("http://dx.doi.org/10.14430/arctic76227","http://dx.doi.org/10.14430/arctic76227")</f>
        <v>http://dx.doi.org/10.14430/arctic76227</v>
      </c>
      <c r="BG524" t="s">
        <v>74</v>
      </c>
      <c r="BH524" t="s">
        <v>74</v>
      </c>
      <c r="BI524">
        <v>12</v>
      </c>
      <c r="BJ524" t="s">
        <v>10460</v>
      </c>
      <c r="BK524" t="s">
        <v>103</v>
      </c>
      <c r="BL524" t="s">
        <v>2256</v>
      </c>
      <c r="BM524" t="s">
        <v>10461</v>
      </c>
      <c r="BN524" t="s">
        <v>74</v>
      </c>
      <c r="BO524" t="s">
        <v>136</v>
      </c>
      <c r="BP524" t="s">
        <v>74</v>
      </c>
      <c r="BQ524" t="s">
        <v>74</v>
      </c>
      <c r="BR524" t="s">
        <v>106</v>
      </c>
      <c r="BS524" t="s">
        <v>10462</v>
      </c>
      <c r="BT524" t="str">
        <f>HYPERLINK("https%3A%2F%2Fwww.webofscience.com%2Fwos%2Fwoscc%2Ffull-record%2FWOS:000960441800002","View Full Record in Web of Science")</f>
        <v>View Full Record in Web of Science</v>
      </c>
    </row>
    <row r="525" spans="1:72" x14ac:dyDescent="0.15">
      <c r="A525" t="s">
        <v>72</v>
      </c>
      <c r="B525" t="s">
        <v>10463</v>
      </c>
      <c r="C525" t="s">
        <v>74</v>
      </c>
      <c r="D525" t="s">
        <v>74</v>
      </c>
      <c r="E525" t="s">
        <v>74</v>
      </c>
      <c r="F525" t="s">
        <v>10464</v>
      </c>
      <c r="G525" t="s">
        <v>74</v>
      </c>
      <c r="H525" t="s">
        <v>74</v>
      </c>
      <c r="I525" t="s">
        <v>10465</v>
      </c>
      <c r="J525" t="s">
        <v>10466</v>
      </c>
      <c r="K525" t="s">
        <v>74</v>
      </c>
      <c r="L525" t="s">
        <v>74</v>
      </c>
      <c r="M525" t="s">
        <v>78</v>
      </c>
      <c r="N525" t="s">
        <v>112</v>
      </c>
      <c r="O525" t="s">
        <v>74</v>
      </c>
      <c r="P525" t="s">
        <v>74</v>
      </c>
      <c r="Q525" t="s">
        <v>74</v>
      </c>
      <c r="R525" t="s">
        <v>74</v>
      </c>
      <c r="S525" t="s">
        <v>74</v>
      </c>
      <c r="T525" t="s">
        <v>10467</v>
      </c>
      <c r="U525" t="s">
        <v>10468</v>
      </c>
      <c r="V525" t="s">
        <v>10469</v>
      </c>
      <c r="W525" t="s">
        <v>10470</v>
      </c>
      <c r="X525" t="s">
        <v>10471</v>
      </c>
      <c r="Y525" t="s">
        <v>10472</v>
      </c>
      <c r="Z525" t="s">
        <v>10473</v>
      </c>
      <c r="AA525" t="s">
        <v>10474</v>
      </c>
      <c r="AB525" t="s">
        <v>10475</v>
      </c>
      <c r="AC525" t="s">
        <v>10476</v>
      </c>
      <c r="AD525" t="s">
        <v>10477</v>
      </c>
      <c r="AE525" t="s">
        <v>10478</v>
      </c>
      <c r="AF525" t="s">
        <v>74</v>
      </c>
      <c r="AG525">
        <v>25</v>
      </c>
      <c r="AH525">
        <v>0</v>
      </c>
      <c r="AI525">
        <v>0</v>
      </c>
      <c r="AJ525">
        <v>0</v>
      </c>
      <c r="AK525">
        <v>3</v>
      </c>
      <c r="AL525" t="s">
        <v>10479</v>
      </c>
      <c r="AM525" t="s">
        <v>10480</v>
      </c>
      <c r="AN525" t="s">
        <v>10481</v>
      </c>
      <c r="AO525" t="s">
        <v>10482</v>
      </c>
      <c r="AP525" t="s">
        <v>74</v>
      </c>
      <c r="AQ525" t="s">
        <v>74</v>
      </c>
      <c r="AR525" t="s">
        <v>10483</v>
      </c>
      <c r="AS525" t="s">
        <v>10484</v>
      </c>
      <c r="AT525" t="s">
        <v>8042</v>
      </c>
      <c r="AU525">
        <v>2023</v>
      </c>
      <c r="AV525">
        <v>18</v>
      </c>
      <c r="AW525">
        <v>3</v>
      </c>
      <c r="AX525" t="s">
        <v>74</v>
      </c>
      <c r="AY525" t="s">
        <v>74</v>
      </c>
      <c r="AZ525" t="s">
        <v>74</v>
      </c>
      <c r="BA525" t="s">
        <v>74</v>
      </c>
      <c r="BB525">
        <v>49</v>
      </c>
      <c r="BC525">
        <v>56</v>
      </c>
      <c r="BD525" t="s">
        <v>74</v>
      </c>
      <c r="BE525" t="s">
        <v>74</v>
      </c>
      <c r="BF525" t="s">
        <v>74</v>
      </c>
      <c r="BG525" t="s">
        <v>74</v>
      </c>
      <c r="BH525" t="s">
        <v>74</v>
      </c>
      <c r="BI525">
        <v>8</v>
      </c>
      <c r="BJ525" t="s">
        <v>531</v>
      </c>
      <c r="BK525" t="s">
        <v>160</v>
      </c>
      <c r="BL525" t="s">
        <v>531</v>
      </c>
      <c r="BM525" t="s">
        <v>10485</v>
      </c>
      <c r="BN525" t="s">
        <v>74</v>
      </c>
      <c r="BO525" t="s">
        <v>74</v>
      </c>
      <c r="BP525" t="s">
        <v>74</v>
      </c>
      <c r="BQ525" t="s">
        <v>74</v>
      </c>
      <c r="BR525" t="s">
        <v>106</v>
      </c>
      <c r="BS525" t="s">
        <v>10486</v>
      </c>
      <c r="BT525" t="str">
        <f>HYPERLINK("https%3A%2F%2Fwww.webofscience.com%2Fwos%2Fwoscc%2Ffull-record%2FWOS:000955814600006","View Full Record in Web of Science")</f>
        <v>View Full Record in Web of Science</v>
      </c>
    </row>
    <row r="526" spans="1:72" x14ac:dyDescent="0.15">
      <c r="A526" t="s">
        <v>72</v>
      </c>
      <c r="B526" t="s">
        <v>10487</v>
      </c>
      <c r="C526" t="s">
        <v>74</v>
      </c>
      <c r="D526" t="s">
        <v>74</v>
      </c>
      <c r="E526" t="s">
        <v>74</v>
      </c>
      <c r="F526" t="s">
        <v>10488</v>
      </c>
      <c r="G526" t="s">
        <v>74</v>
      </c>
      <c r="H526" t="s">
        <v>74</v>
      </c>
      <c r="I526" t="s">
        <v>10489</v>
      </c>
      <c r="J526" t="s">
        <v>5406</v>
      </c>
      <c r="K526" t="s">
        <v>74</v>
      </c>
      <c r="L526" t="s">
        <v>74</v>
      </c>
      <c r="M526" t="s">
        <v>78</v>
      </c>
      <c r="N526" t="s">
        <v>112</v>
      </c>
      <c r="O526" t="s">
        <v>74</v>
      </c>
      <c r="P526" t="s">
        <v>74</v>
      </c>
      <c r="Q526" t="s">
        <v>74</v>
      </c>
      <c r="R526" t="s">
        <v>74</v>
      </c>
      <c r="S526" t="s">
        <v>74</v>
      </c>
      <c r="T526" t="s">
        <v>10490</v>
      </c>
      <c r="U526" t="s">
        <v>10491</v>
      </c>
      <c r="V526" t="s">
        <v>10492</v>
      </c>
      <c r="W526" t="s">
        <v>10493</v>
      </c>
      <c r="X526" t="s">
        <v>10494</v>
      </c>
      <c r="Y526" t="s">
        <v>10495</v>
      </c>
      <c r="Z526" t="s">
        <v>10496</v>
      </c>
      <c r="AA526" t="s">
        <v>10497</v>
      </c>
      <c r="AB526" t="s">
        <v>10498</v>
      </c>
      <c r="AC526" t="s">
        <v>10499</v>
      </c>
      <c r="AD526" t="s">
        <v>10500</v>
      </c>
      <c r="AE526" t="s">
        <v>10501</v>
      </c>
      <c r="AF526" t="s">
        <v>74</v>
      </c>
      <c r="AG526">
        <v>85</v>
      </c>
      <c r="AH526">
        <v>12</v>
      </c>
      <c r="AI526">
        <v>12</v>
      </c>
      <c r="AJ526">
        <v>1</v>
      </c>
      <c r="AK526">
        <v>1</v>
      </c>
      <c r="AL526" t="s">
        <v>125</v>
      </c>
      <c r="AM526" t="s">
        <v>126</v>
      </c>
      <c r="AN526" t="s">
        <v>127</v>
      </c>
      <c r="AO526" t="s">
        <v>74</v>
      </c>
      <c r="AP526" t="s">
        <v>5416</v>
      </c>
      <c r="AQ526" t="s">
        <v>74</v>
      </c>
      <c r="AR526" t="s">
        <v>5406</v>
      </c>
      <c r="AS526" t="s">
        <v>5417</v>
      </c>
      <c r="AT526" t="s">
        <v>8042</v>
      </c>
      <c r="AU526">
        <v>2023</v>
      </c>
      <c r="AV526">
        <v>15</v>
      </c>
      <c r="AW526">
        <v>3</v>
      </c>
      <c r="AX526" t="s">
        <v>74</v>
      </c>
      <c r="AY526" t="s">
        <v>74</v>
      </c>
      <c r="AZ526" t="s">
        <v>74</v>
      </c>
      <c r="BA526" t="s">
        <v>74</v>
      </c>
      <c r="BB526" t="s">
        <v>74</v>
      </c>
      <c r="BC526" t="s">
        <v>74</v>
      </c>
      <c r="BD526">
        <v>398</v>
      </c>
      <c r="BE526" t="s">
        <v>10502</v>
      </c>
      <c r="BF526" t="str">
        <f>HYPERLINK("http://dx.doi.org/10.3390/d15030398","http://dx.doi.org/10.3390/d15030398")</f>
        <v>http://dx.doi.org/10.3390/d15030398</v>
      </c>
      <c r="BG526" t="s">
        <v>74</v>
      </c>
      <c r="BH526" t="s">
        <v>74</v>
      </c>
      <c r="BI526">
        <v>24</v>
      </c>
      <c r="BJ526" t="s">
        <v>775</v>
      </c>
      <c r="BK526" t="s">
        <v>103</v>
      </c>
      <c r="BL526" t="s">
        <v>776</v>
      </c>
      <c r="BM526" t="s">
        <v>10503</v>
      </c>
      <c r="BN526" t="s">
        <v>74</v>
      </c>
      <c r="BO526" t="s">
        <v>614</v>
      </c>
      <c r="BP526" t="s">
        <v>74</v>
      </c>
      <c r="BQ526" t="s">
        <v>74</v>
      </c>
      <c r="BR526" t="s">
        <v>106</v>
      </c>
      <c r="BS526" t="s">
        <v>10504</v>
      </c>
      <c r="BT526" t="str">
        <f>HYPERLINK("https%3A%2F%2Fwww.webofscience.com%2Fwos%2Fwoscc%2Ffull-record%2FWOS:000968410200001","View Full Record in Web of Science")</f>
        <v>View Full Record in Web of Science</v>
      </c>
    </row>
    <row r="527" spans="1:72" x14ac:dyDescent="0.15">
      <c r="A527" t="s">
        <v>72</v>
      </c>
      <c r="B527" t="s">
        <v>10505</v>
      </c>
      <c r="C527" t="s">
        <v>74</v>
      </c>
      <c r="D527" t="s">
        <v>74</v>
      </c>
      <c r="E527" t="s">
        <v>74</v>
      </c>
      <c r="F527" t="s">
        <v>10506</v>
      </c>
      <c r="G527" t="s">
        <v>74</v>
      </c>
      <c r="H527" t="s">
        <v>74</v>
      </c>
      <c r="I527" t="s">
        <v>10507</v>
      </c>
      <c r="J527" t="s">
        <v>111</v>
      </c>
      <c r="K527" t="s">
        <v>74</v>
      </c>
      <c r="L527" t="s">
        <v>74</v>
      </c>
      <c r="M527" t="s">
        <v>78</v>
      </c>
      <c r="N527" t="s">
        <v>112</v>
      </c>
      <c r="O527" t="s">
        <v>74</v>
      </c>
      <c r="P527" t="s">
        <v>74</v>
      </c>
      <c r="Q527" t="s">
        <v>74</v>
      </c>
      <c r="R527" t="s">
        <v>74</v>
      </c>
      <c r="S527" t="s">
        <v>74</v>
      </c>
      <c r="T527" t="s">
        <v>10508</v>
      </c>
      <c r="U527" t="s">
        <v>10509</v>
      </c>
      <c r="V527" t="s">
        <v>10510</v>
      </c>
      <c r="W527" t="s">
        <v>10511</v>
      </c>
      <c r="X527" t="s">
        <v>10512</v>
      </c>
      <c r="Y527" t="s">
        <v>10513</v>
      </c>
      <c r="Z527" t="s">
        <v>10514</v>
      </c>
      <c r="AA527" t="s">
        <v>74</v>
      </c>
      <c r="AB527" t="s">
        <v>10515</v>
      </c>
      <c r="AC527" t="s">
        <v>10516</v>
      </c>
      <c r="AD527" t="s">
        <v>10517</v>
      </c>
      <c r="AE527" t="s">
        <v>10518</v>
      </c>
      <c r="AF527" t="s">
        <v>74</v>
      </c>
      <c r="AG527">
        <v>80</v>
      </c>
      <c r="AH527">
        <v>4</v>
      </c>
      <c r="AI527">
        <v>4</v>
      </c>
      <c r="AJ527">
        <v>2</v>
      </c>
      <c r="AK527">
        <v>11</v>
      </c>
      <c r="AL527" t="s">
        <v>125</v>
      </c>
      <c r="AM527" t="s">
        <v>126</v>
      </c>
      <c r="AN527" t="s">
        <v>127</v>
      </c>
      <c r="AO527" t="s">
        <v>74</v>
      </c>
      <c r="AP527" t="s">
        <v>128</v>
      </c>
      <c r="AQ527" t="s">
        <v>74</v>
      </c>
      <c r="AR527" t="s">
        <v>129</v>
      </c>
      <c r="AS527" t="s">
        <v>130</v>
      </c>
      <c r="AT527" t="s">
        <v>8042</v>
      </c>
      <c r="AU527">
        <v>2023</v>
      </c>
      <c r="AV527">
        <v>11</v>
      </c>
      <c r="AW527">
        <v>3</v>
      </c>
      <c r="AX527" t="s">
        <v>74</v>
      </c>
      <c r="AY527" t="s">
        <v>74</v>
      </c>
      <c r="AZ527" t="s">
        <v>74</v>
      </c>
      <c r="BA527" t="s">
        <v>74</v>
      </c>
      <c r="BB527" t="s">
        <v>74</v>
      </c>
      <c r="BC527" t="s">
        <v>74</v>
      </c>
      <c r="BD527">
        <v>595</v>
      </c>
      <c r="BE527" t="s">
        <v>10519</v>
      </c>
      <c r="BF527" t="str">
        <f>HYPERLINK("http://dx.doi.org/10.3390/jmse11030595","http://dx.doi.org/10.3390/jmse11030595")</f>
        <v>http://dx.doi.org/10.3390/jmse11030595</v>
      </c>
      <c r="BG527" t="s">
        <v>74</v>
      </c>
      <c r="BH527" t="s">
        <v>74</v>
      </c>
      <c r="BI527">
        <v>30</v>
      </c>
      <c r="BJ527" t="s">
        <v>133</v>
      </c>
      <c r="BK527" t="s">
        <v>103</v>
      </c>
      <c r="BL527" t="s">
        <v>134</v>
      </c>
      <c r="BM527" t="s">
        <v>10520</v>
      </c>
      <c r="BN527" t="s">
        <v>74</v>
      </c>
      <c r="BO527" t="s">
        <v>10521</v>
      </c>
      <c r="BP527" t="s">
        <v>74</v>
      </c>
      <c r="BQ527" t="s">
        <v>74</v>
      </c>
      <c r="BR527" t="s">
        <v>106</v>
      </c>
      <c r="BS527" t="s">
        <v>10522</v>
      </c>
      <c r="BT527" t="str">
        <f>HYPERLINK("https%3A%2F%2Fwww.webofscience.com%2Fwos%2Fwoscc%2Ffull-record%2FWOS:000968408700001","View Full Record in Web of Science")</f>
        <v>View Full Record in Web of Science</v>
      </c>
    </row>
    <row r="528" spans="1:72" x14ac:dyDescent="0.15">
      <c r="A528" t="s">
        <v>72</v>
      </c>
      <c r="B528" t="s">
        <v>10523</v>
      </c>
      <c r="C528" t="s">
        <v>74</v>
      </c>
      <c r="D528" t="s">
        <v>74</v>
      </c>
      <c r="E528" t="s">
        <v>74</v>
      </c>
      <c r="F528" t="s">
        <v>10524</v>
      </c>
      <c r="G528" t="s">
        <v>74</v>
      </c>
      <c r="H528" t="s">
        <v>74</v>
      </c>
      <c r="I528" t="s">
        <v>10525</v>
      </c>
      <c r="J528" t="s">
        <v>10526</v>
      </c>
      <c r="K528" t="s">
        <v>74</v>
      </c>
      <c r="L528" t="s">
        <v>74</v>
      </c>
      <c r="M528" t="s">
        <v>78</v>
      </c>
      <c r="N528" t="s">
        <v>112</v>
      </c>
      <c r="O528" t="s">
        <v>74</v>
      </c>
      <c r="P528" t="s">
        <v>74</v>
      </c>
      <c r="Q528" t="s">
        <v>74</v>
      </c>
      <c r="R528" t="s">
        <v>74</v>
      </c>
      <c r="S528" t="s">
        <v>74</v>
      </c>
      <c r="T528" t="s">
        <v>10527</v>
      </c>
      <c r="U528" t="s">
        <v>10528</v>
      </c>
      <c r="V528" t="s">
        <v>10529</v>
      </c>
      <c r="W528" t="s">
        <v>10530</v>
      </c>
      <c r="X528" t="s">
        <v>10531</v>
      </c>
      <c r="Y528" t="s">
        <v>10532</v>
      </c>
      <c r="Z528" t="s">
        <v>10533</v>
      </c>
      <c r="AA528" t="s">
        <v>10534</v>
      </c>
      <c r="AB528" t="s">
        <v>10535</v>
      </c>
      <c r="AC528" t="s">
        <v>10536</v>
      </c>
      <c r="AD528" t="s">
        <v>10537</v>
      </c>
      <c r="AE528" t="s">
        <v>10538</v>
      </c>
      <c r="AF528" t="s">
        <v>74</v>
      </c>
      <c r="AG528">
        <v>94</v>
      </c>
      <c r="AH528">
        <v>0</v>
      </c>
      <c r="AI528">
        <v>0</v>
      </c>
      <c r="AJ528">
        <v>1</v>
      </c>
      <c r="AK528">
        <v>5</v>
      </c>
      <c r="AL528" t="s">
        <v>10539</v>
      </c>
      <c r="AM528" t="s">
        <v>1102</v>
      </c>
      <c r="AN528" t="s">
        <v>10540</v>
      </c>
      <c r="AO528" t="s">
        <v>10541</v>
      </c>
      <c r="AP528" t="s">
        <v>10542</v>
      </c>
      <c r="AQ528" t="s">
        <v>74</v>
      </c>
      <c r="AR528" t="s">
        <v>10543</v>
      </c>
      <c r="AS528" t="s">
        <v>10544</v>
      </c>
      <c r="AT528" t="s">
        <v>8042</v>
      </c>
      <c r="AU528">
        <v>2023</v>
      </c>
      <c r="AV528">
        <v>226</v>
      </c>
      <c r="AW528">
        <v>5</v>
      </c>
      <c r="AX528" t="s">
        <v>74</v>
      </c>
      <c r="AY528" t="s">
        <v>74</v>
      </c>
      <c r="AZ528" t="s">
        <v>74</v>
      </c>
      <c r="BA528" t="s">
        <v>74</v>
      </c>
      <c r="BB528" t="s">
        <v>74</v>
      </c>
      <c r="BC528" t="s">
        <v>74</v>
      </c>
      <c r="BD528" t="s">
        <v>10545</v>
      </c>
      <c r="BE528" t="s">
        <v>10546</v>
      </c>
      <c r="BF528" t="str">
        <f>HYPERLINK("http://dx.doi.org/10.1242/jeb.244129","http://dx.doi.org/10.1242/jeb.244129")</f>
        <v>http://dx.doi.org/10.1242/jeb.244129</v>
      </c>
      <c r="BG528" t="s">
        <v>74</v>
      </c>
      <c r="BH528" t="s">
        <v>74</v>
      </c>
      <c r="BI528">
        <v>16</v>
      </c>
      <c r="BJ528" t="s">
        <v>1018</v>
      </c>
      <c r="BK528" t="s">
        <v>103</v>
      </c>
      <c r="BL528" t="s">
        <v>1019</v>
      </c>
      <c r="BM528" t="s">
        <v>10547</v>
      </c>
      <c r="BN528">
        <v>36789831</v>
      </c>
      <c r="BO528" t="s">
        <v>334</v>
      </c>
      <c r="BP528" t="s">
        <v>74</v>
      </c>
      <c r="BQ528" t="s">
        <v>74</v>
      </c>
      <c r="BR528" t="s">
        <v>106</v>
      </c>
      <c r="BS528" t="s">
        <v>10548</v>
      </c>
      <c r="BT528" t="str">
        <f>HYPERLINK("https%3A%2F%2Fwww.webofscience.com%2Fwos%2Fwoscc%2Ffull-record%2FWOS:000961975500009","View Full Record in Web of Science")</f>
        <v>View Full Record in Web of Science</v>
      </c>
    </row>
    <row r="529" spans="1:72" x14ac:dyDescent="0.15">
      <c r="A529" t="s">
        <v>72</v>
      </c>
      <c r="B529" t="s">
        <v>10549</v>
      </c>
      <c r="C529" t="s">
        <v>74</v>
      </c>
      <c r="D529" t="s">
        <v>74</v>
      </c>
      <c r="E529" t="s">
        <v>74</v>
      </c>
      <c r="F529" t="s">
        <v>10550</v>
      </c>
      <c r="G529" t="s">
        <v>74</v>
      </c>
      <c r="H529" t="s">
        <v>74</v>
      </c>
      <c r="I529" t="s">
        <v>10551</v>
      </c>
      <c r="J529" t="s">
        <v>10552</v>
      </c>
      <c r="K529" t="s">
        <v>74</v>
      </c>
      <c r="L529" t="s">
        <v>74</v>
      </c>
      <c r="M529" t="s">
        <v>78</v>
      </c>
      <c r="N529" t="s">
        <v>365</v>
      </c>
      <c r="O529" t="s">
        <v>74</v>
      </c>
      <c r="P529" t="s">
        <v>74</v>
      </c>
      <c r="Q529" t="s">
        <v>74</v>
      </c>
      <c r="R529" t="s">
        <v>74</v>
      </c>
      <c r="S529" t="s">
        <v>74</v>
      </c>
      <c r="T529" t="s">
        <v>10553</v>
      </c>
      <c r="U529" t="s">
        <v>10554</v>
      </c>
      <c r="V529" t="s">
        <v>10555</v>
      </c>
      <c r="W529" t="s">
        <v>10556</v>
      </c>
      <c r="X529" t="s">
        <v>10557</v>
      </c>
      <c r="Y529" t="s">
        <v>10558</v>
      </c>
      <c r="Z529" t="s">
        <v>10559</v>
      </c>
      <c r="AA529" t="s">
        <v>74</v>
      </c>
      <c r="AB529" t="s">
        <v>10560</v>
      </c>
      <c r="AC529" t="s">
        <v>10561</v>
      </c>
      <c r="AD529" t="s">
        <v>10561</v>
      </c>
      <c r="AE529" t="s">
        <v>10562</v>
      </c>
      <c r="AF529" t="s">
        <v>74</v>
      </c>
      <c r="AG529">
        <v>115</v>
      </c>
      <c r="AH529">
        <v>4</v>
      </c>
      <c r="AI529">
        <v>4</v>
      </c>
      <c r="AJ529">
        <v>6</v>
      </c>
      <c r="AK529">
        <v>8</v>
      </c>
      <c r="AL529" t="s">
        <v>152</v>
      </c>
      <c r="AM529" t="s">
        <v>153</v>
      </c>
      <c r="AN529" t="s">
        <v>154</v>
      </c>
      <c r="AO529" t="s">
        <v>10563</v>
      </c>
      <c r="AP529" t="s">
        <v>74</v>
      </c>
      <c r="AQ529" t="s">
        <v>74</v>
      </c>
      <c r="AR529" t="s">
        <v>10564</v>
      </c>
      <c r="AS529" t="s">
        <v>10565</v>
      </c>
      <c r="AT529" t="s">
        <v>10271</v>
      </c>
      <c r="AU529">
        <v>2023</v>
      </c>
      <c r="AV529">
        <v>5</v>
      </c>
      <c r="AW529">
        <v>3</v>
      </c>
      <c r="AX529" t="s">
        <v>74</v>
      </c>
      <c r="AY529" t="s">
        <v>74</v>
      </c>
      <c r="AZ529" t="s">
        <v>74</v>
      </c>
      <c r="BA529" t="s">
        <v>74</v>
      </c>
      <c r="BB529" t="s">
        <v>74</v>
      </c>
      <c r="BC529" t="s">
        <v>74</v>
      </c>
      <c r="BD529">
        <v>32001</v>
      </c>
      <c r="BE529" t="s">
        <v>10566</v>
      </c>
      <c r="BF529" t="str">
        <f>HYPERLINK("http://dx.doi.org/10.1088/2515-7620/acc020","http://dx.doi.org/10.1088/2515-7620/acc020")</f>
        <v>http://dx.doi.org/10.1088/2515-7620/acc020</v>
      </c>
      <c r="BG529" t="s">
        <v>74</v>
      </c>
      <c r="BH529" t="s">
        <v>74</v>
      </c>
      <c r="BI529">
        <v>21</v>
      </c>
      <c r="BJ529" t="s">
        <v>1163</v>
      </c>
      <c r="BK529" t="s">
        <v>103</v>
      </c>
      <c r="BL529" t="s">
        <v>1164</v>
      </c>
      <c r="BM529" t="s">
        <v>10567</v>
      </c>
      <c r="BN529" t="s">
        <v>74</v>
      </c>
      <c r="BO529" t="s">
        <v>359</v>
      </c>
      <c r="BP529" t="s">
        <v>74</v>
      </c>
      <c r="BQ529" t="s">
        <v>74</v>
      </c>
      <c r="BR529" t="s">
        <v>106</v>
      </c>
      <c r="BS529" t="s">
        <v>10568</v>
      </c>
      <c r="BT529" t="str">
        <f>HYPERLINK("https%3A%2F%2Fwww.webofscience.com%2Fwos%2Fwoscc%2Ffull-record%2FWOS:000964239700001","View Full Record in Web of Science")</f>
        <v>View Full Record in Web of Science</v>
      </c>
    </row>
    <row r="530" spans="1:72" x14ac:dyDescent="0.15">
      <c r="A530" t="s">
        <v>72</v>
      </c>
      <c r="B530" t="s">
        <v>10569</v>
      </c>
      <c r="C530" t="s">
        <v>74</v>
      </c>
      <c r="D530" t="s">
        <v>74</v>
      </c>
      <c r="E530" t="s">
        <v>74</v>
      </c>
      <c r="F530" t="s">
        <v>10570</v>
      </c>
      <c r="G530" t="s">
        <v>74</v>
      </c>
      <c r="H530" t="s">
        <v>74</v>
      </c>
      <c r="I530" t="s">
        <v>10571</v>
      </c>
      <c r="J530" t="s">
        <v>77</v>
      </c>
      <c r="K530" t="s">
        <v>74</v>
      </c>
      <c r="L530" t="s">
        <v>74</v>
      </c>
      <c r="M530" t="s">
        <v>78</v>
      </c>
      <c r="N530" t="s">
        <v>79</v>
      </c>
      <c r="O530" t="s">
        <v>74</v>
      </c>
      <c r="P530" t="s">
        <v>74</v>
      </c>
      <c r="Q530" t="s">
        <v>74</v>
      </c>
      <c r="R530" t="s">
        <v>74</v>
      </c>
      <c r="S530" t="s">
        <v>74</v>
      </c>
      <c r="T530" t="s">
        <v>10572</v>
      </c>
      <c r="U530" t="s">
        <v>74</v>
      </c>
      <c r="V530" t="s">
        <v>74</v>
      </c>
      <c r="W530" t="s">
        <v>10573</v>
      </c>
      <c r="X530" t="s">
        <v>10574</v>
      </c>
      <c r="Y530" t="s">
        <v>10575</v>
      </c>
      <c r="Z530" t="s">
        <v>10576</v>
      </c>
      <c r="AA530" t="s">
        <v>10577</v>
      </c>
      <c r="AB530" t="s">
        <v>10578</v>
      </c>
      <c r="AC530" t="s">
        <v>10579</v>
      </c>
      <c r="AD530" t="s">
        <v>10579</v>
      </c>
      <c r="AE530" t="s">
        <v>10580</v>
      </c>
      <c r="AF530" t="s">
        <v>74</v>
      </c>
      <c r="AG530">
        <v>11</v>
      </c>
      <c r="AH530">
        <v>2</v>
      </c>
      <c r="AI530">
        <v>2</v>
      </c>
      <c r="AJ530">
        <v>2</v>
      </c>
      <c r="AK530">
        <v>3</v>
      </c>
      <c r="AL530" t="s">
        <v>91</v>
      </c>
      <c r="AM530" t="s">
        <v>92</v>
      </c>
      <c r="AN530" t="s">
        <v>93</v>
      </c>
      <c r="AO530" t="s">
        <v>94</v>
      </c>
      <c r="AP530" t="s">
        <v>95</v>
      </c>
      <c r="AQ530" t="s">
        <v>74</v>
      </c>
      <c r="AR530" t="s">
        <v>96</v>
      </c>
      <c r="AS530" t="s">
        <v>97</v>
      </c>
      <c r="AT530" t="s">
        <v>8042</v>
      </c>
      <c r="AU530">
        <v>2023</v>
      </c>
      <c r="AV530">
        <v>104</v>
      </c>
      <c r="AW530">
        <v>3</v>
      </c>
      <c r="AX530" t="s">
        <v>74</v>
      </c>
      <c r="AY530" t="s">
        <v>74</v>
      </c>
      <c r="AZ530" t="s">
        <v>74</v>
      </c>
      <c r="BA530" t="s">
        <v>74</v>
      </c>
      <c r="BB530" t="s">
        <v>10581</v>
      </c>
      <c r="BC530" t="s">
        <v>10582</v>
      </c>
      <c r="BD530" t="s">
        <v>74</v>
      </c>
      <c r="BE530" t="s">
        <v>10583</v>
      </c>
      <c r="BF530" t="str">
        <f>HYPERLINK("http://dx.doi.org/10.1175/BAMS-D-22-0282.1","http://dx.doi.org/10.1175/BAMS-D-22-0282.1")</f>
        <v>http://dx.doi.org/10.1175/BAMS-D-22-0282.1</v>
      </c>
      <c r="BG530" t="s">
        <v>74</v>
      </c>
      <c r="BH530" t="s">
        <v>74</v>
      </c>
      <c r="BI530">
        <v>6</v>
      </c>
      <c r="BJ530" t="s">
        <v>102</v>
      </c>
      <c r="BK530" t="s">
        <v>103</v>
      </c>
      <c r="BL530" t="s">
        <v>102</v>
      </c>
      <c r="BM530" t="s">
        <v>10584</v>
      </c>
      <c r="BN530" t="s">
        <v>74</v>
      </c>
      <c r="BO530" t="s">
        <v>10585</v>
      </c>
      <c r="BP530" t="s">
        <v>74</v>
      </c>
      <c r="BQ530" t="s">
        <v>74</v>
      </c>
      <c r="BR530" t="s">
        <v>106</v>
      </c>
      <c r="BS530" t="s">
        <v>10586</v>
      </c>
      <c r="BT530" t="str">
        <f>HYPERLINK("https%3A%2F%2Fwww.webofscience.com%2Fwos%2Fwoscc%2Ffull-record%2FWOS:000960479200002","View Full Record in Web of Science")</f>
        <v>View Full Record in Web of Science</v>
      </c>
    </row>
    <row r="531" spans="1:72" x14ac:dyDescent="0.15">
      <c r="A531" t="s">
        <v>72</v>
      </c>
      <c r="B531" t="s">
        <v>10587</v>
      </c>
      <c r="C531" t="s">
        <v>74</v>
      </c>
      <c r="D531" t="s">
        <v>74</v>
      </c>
      <c r="E531" t="s">
        <v>74</v>
      </c>
      <c r="F531" t="s">
        <v>10588</v>
      </c>
      <c r="G531" t="s">
        <v>74</v>
      </c>
      <c r="H531" t="s">
        <v>74</v>
      </c>
      <c r="I531" t="s">
        <v>10589</v>
      </c>
      <c r="J531" t="s">
        <v>111</v>
      </c>
      <c r="K531" t="s">
        <v>74</v>
      </c>
      <c r="L531" t="s">
        <v>74</v>
      </c>
      <c r="M531" t="s">
        <v>78</v>
      </c>
      <c r="N531" t="s">
        <v>112</v>
      </c>
      <c r="O531" t="s">
        <v>74</v>
      </c>
      <c r="P531" t="s">
        <v>74</v>
      </c>
      <c r="Q531" t="s">
        <v>74</v>
      </c>
      <c r="R531" t="s">
        <v>74</v>
      </c>
      <c r="S531" t="s">
        <v>74</v>
      </c>
      <c r="T531" t="s">
        <v>10590</v>
      </c>
      <c r="U531" t="s">
        <v>10591</v>
      </c>
      <c r="V531" t="s">
        <v>10592</v>
      </c>
      <c r="W531" t="s">
        <v>10593</v>
      </c>
      <c r="X531" t="s">
        <v>10594</v>
      </c>
      <c r="Y531" t="s">
        <v>10595</v>
      </c>
      <c r="Z531" t="s">
        <v>10596</v>
      </c>
      <c r="AA531" t="s">
        <v>10597</v>
      </c>
      <c r="AB531" t="s">
        <v>10598</v>
      </c>
      <c r="AC531" t="s">
        <v>10599</v>
      </c>
      <c r="AD531" t="s">
        <v>10600</v>
      </c>
      <c r="AE531" t="s">
        <v>10601</v>
      </c>
      <c r="AF531" t="s">
        <v>74</v>
      </c>
      <c r="AG531">
        <v>48</v>
      </c>
      <c r="AH531">
        <v>0</v>
      </c>
      <c r="AI531">
        <v>0</v>
      </c>
      <c r="AJ531">
        <v>3</v>
      </c>
      <c r="AK531">
        <v>4</v>
      </c>
      <c r="AL531" t="s">
        <v>125</v>
      </c>
      <c r="AM531" t="s">
        <v>126</v>
      </c>
      <c r="AN531" t="s">
        <v>127</v>
      </c>
      <c r="AO531" t="s">
        <v>74</v>
      </c>
      <c r="AP531" t="s">
        <v>128</v>
      </c>
      <c r="AQ531" t="s">
        <v>74</v>
      </c>
      <c r="AR531" t="s">
        <v>129</v>
      </c>
      <c r="AS531" t="s">
        <v>130</v>
      </c>
      <c r="AT531" t="s">
        <v>8042</v>
      </c>
      <c r="AU531">
        <v>2023</v>
      </c>
      <c r="AV531">
        <v>11</v>
      </c>
      <c r="AW531">
        <v>3</v>
      </c>
      <c r="AX531" t="s">
        <v>74</v>
      </c>
      <c r="AY531" t="s">
        <v>74</v>
      </c>
      <c r="AZ531" t="s">
        <v>74</v>
      </c>
      <c r="BA531" t="s">
        <v>74</v>
      </c>
      <c r="BB531" t="s">
        <v>74</v>
      </c>
      <c r="BC531" t="s">
        <v>74</v>
      </c>
      <c r="BD531">
        <v>576</v>
      </c>
      <c r="BE531" t="s">
        <v>10602</v>
      </c>
      <c r="BF531" t="str">
        <f>HYPERLINK("http://dx.doi.org/10.3390/jmse11030576","http://dx.doi.org/10.3390/jmse11030576")</f>
        <v>http://dx.doi.org/10.3390/jmse11030576</v>
      </c>
      <c r="BG531" t="s">
        <v>74</v>
      </c>
      <c r="BH531" t="s">
        <v>74</v>
      </c>
      <c r="BI531">
        <v>15</v>
      </c>
      <c r="BJ531" t="s">
        <v>133</v>
      </c>
      <c r="BK531" t="s">
        <v>103</v>
      </c>
      <c r="BL531" t="s">
        <v>134</v>
      </c>
      <c r="BM531" t="s">
        <v>10603</v>
      </c>
      <c r="BN531" t="s">
        <v>74</v>
      </c>
      <c r="BO531" t="s">
        <v>359</v>
      </c>
      <c r="BP531" t="s">
        <v>74</v>
      </c>
      <c r="BQ531" t="s">
        <v>74</v>
      </c>
      <c r="BR531" t="s">
        <v>106</v>
      </c>
      <c r="BS531" t="s">
        <v>10604</v>
      </c>
      <c r="BT531" t="str">
        <f>HYPERLINK("https%3A%2F%2Fwww.webofscience.com%2Fwos%2Fwoscc%2Ffull-record%2FWOS:000958755800001","View Full Record in Web of Science")</f>
        <v>View Full Record in Web of Science</v>
      </c>
    </row>
    <row r="532" spans="1:72" x14ac:dyDescent="0.15">
      <c r="A532" t="s">
        <v>72</v>
      </c>
      <c r="B532" t="s">
        <v>10605</v>
      </c>
      <c r="C532" t="s">
        <v>74</v>
      </c>
      <c r="D532" t="s">
        <v>74</v>
      </c>
      <c r="E532" t="s">
        <v>74</v>
      </c>
      <c r="F532" t="s">
        <v>10606</v>
      </c>
      <c r="G532" t="s">
        <v>74</v>
      </c>
      <c r="H532" t="s">
        <v>74</v>
      </c>
      <c r="I532" t="s">
        <v>10607</v>
      </c>
      <c r="J532" t="s">
        <v>10608</v>
      </c>
      <c r="K532" t="s">
        <v>74</v>
      </c>
      <c r="L532" t="s">
        <v>74</v>
      </c>
      <c r="M532" t="s">
        <v>78</v>
      </c>
      <c r="N532" t="s">
        <v>112</v>
      </c>
      <c r="O532" t="s">
        <v>74</v>
      </c>
      <c r="P532" t="s">
        <v>74</v>
      </c>
      <c r="Q532" t="s">
        <v>74</v>
      </c>
      <c r="R532" t="s">
        <v>74</v>
      </c>
      <c r="S532" t="s">
        <v>74</v>
      </c>
      <c r="T532" t="s">
        <v>10609</v>
      </c>
      <c r="U532" t="s">
        <v>10610</v>
      </c>
      <c r="V532" t="s">
        <v>10611</v>
      </c>
      <c r="W532" t="s">
        <v>10612</v>
      </c>
      <c r="X532" t="s">
        <v>10613</v>
      </c>
      <c r="Y532" t="s">
        <v>10614</v>
      </c>
      <c r="Z532" t="s">
        <v>10615</v>
      </c>
      <c r="AA532" t="s">
        <v>10616</v>
      </c>
      <c r="AB532" t="s">
        <v>10617</v>
      </c>
      <c r="AC532" t="s">
        <v>74</v>
      </c>
      <c r="AD532" t="s">
        <v>74</v>
      </c>
      <c r="AE532" t="s">
        <v>74</v>
      </c>
      <c r="AF532" t="s">
        <v>74</v>
      </c>
      <c r="AG532">
        <v>38</v>
      </c>
      <c r="AH532">
        <v>1</v>
      </c>
      <c r="AI532">
        <v>1</v>
      </c>
      <c r="AJ532">
        <v>1</v>
      </c>
      <c r="AK532">
        <v>1</v>
      </c>
      <c r="AL532" t="s">
        <v>125</v>
      </c>
      <c r="AM532" t="s">
        <v>126</v>
      </c>
      <c r="AN532" t="s">
        <v>127</v>
      </c>
      <c r="AO532" t="s">
        <v>74</v>
      </c>
      <c r="AP532" t="s">
        <v>10618</v>
      </c>
      <c r="AQ532" t="s">
        <v>74</v>
      </c>
      <c r="AR532" t="s">
        <v>10608</v>
      </c>
      <c r="AS532" t="s">
        <v>10619</v>
      </c>
      <c r="AT532" t="s">
        <v>8042</v>
      </c>
      <c r="AU532">
        <v>2023</v>
      </c>
      <c r="AV532">
        <v>13</v>
      </c>
      <c r="AW532">
        <v>3</v>
      </c>
      <c r="AX532" t="s">
        <v>74</v>
      </c>
      <c r="AY532" t="s">
        <v>74</v>
      </c>
      <c r="AZ532" t="s">
        <v>74</v>
      </c>
      <c r="BA532" t="s">
        <v>74</v>
      </c>
      <c r="BB532" t="s">
        <v>74</v>
      </c>
      <c r="BC532" t="s">
        <v>74</v>
      </c>
      <c r="BD532">
        <v>338</v>
      </c>
      <c r="BE532" t="s">
        <v>10620</v>
      </c>
      <c r="BF532" t="str">
        <f>HYPERLINK("http://dx.doi.org/10.3390/metabo13030338","http://dx.doi.org/10.3390/metabo13030338")</f>
        <v>http://dx.doi.org/10.3390/metabo13030338</v>
      </c>
      <c r="BG532" t="s">
        <v>74</v>
      </c>
      <c r="BH532" t="s">
        <v>74</v>
      </c>
      <c r="BI532">
        <v>9</v>
      </c>
      <c r="BJ532" t="s">
        <v>9823</v>
      </c>
      <c r="BK532" t="s">
        <v>103</v>
      </c>
      <c r="BL532" t="s">
        <v>9823</v>
      </c>
      <c r="BM532" t="s">
        <v>10621</v>
      </c>
      <c r="BN532">
        <v>36984778</v>
      </c>
      <c r="BO532" t="s">
        <v>136</v>
      </c>
      <c r="BP532" t="s">
        <v>74</v>
      </c>
      <c r="BQ532" t="s">
        <v>74</v>
      </c>
      <c r="BR532" t="s">
        <v>106</v>
      </c>
      <c r="BS532" t="s">
        <v>10622</v>
      </c>
      <c r="BT532" t="str">
        <f>HYPERLINK("https%3A%2F%2Fwww.webofscience.com%2Fwos%2Fwoscc%2Ffull-record%2FWOS:000959061400001","View Full Record in Web of Science")</f>
        <v>View Full Record in Web of Science</v>
      </c>
    </row>
    <row r="533" spans="1:72" x14ac:dyDescent="0.15">
      <c r="A533" t="s">
        <v>72</v>
      </c>
      <c r="B533" t="s">
        <v>10623</v>
      </c>
      <c r="C533" t="s">
        <v>74</v>
      </c>
      <c r="D533" t="s">
        <v>74</v>
      </c>
      <c r="E533" t="s">
        <v>74</v>
      </c>
      <c r="F533" t="s">
        <v>10624</v>
      </c>
      <c r="G533" t="s">
        <v>74</v>
      </c>
      <c r="H533" t="s">
        <v>74</v>
      </c>
      <c r="I533" t="s">
        <v>10625</v>
      </c>
      <c r="J533" t="s">
        <v>5406</v>
      </c>
      <c r="K533" t="s">
        <v>74</v>
      </c>
      <c r="L533" t="s">
        <v>74</v>
      </c>
      <c r="M533" t="s">
        <v>78</v>
      </c>
      <c r="N533" t="s">
        <v>112</v>
      </c>
      <c r="O533" t="s">
        <v>74</v>
      </c>
      <c r="P533" t="s">
        <v>74</v>
      </c>
      <c r="Q533" t="s">
        <v>74</v>
      </c>
      <c r="R533" t="s">
        <v>74</v>
      </c>
      <c r="S533" t="s">
        <v>74</v>
      </c>
      <c r="T533" t="s">
        <v>10626</v>
      </c>
      <c r="U533" t="s">
        <v>10627</v>
      </c>
      <c r="V533" t="s">
        <v>10628</v>
      </c>
      <c r="W533" t="s">
        <v>10629</v>
      </c>
      <c r="X533" t="s">
        <v>74</v>
      </c>
      <c r="Y533" t="s">
        <v>10630</v>
      </c>
      <c r="Z533" t="s">
        <v>10631</v>
      </c>
      <c r="AA533" t="s">
        <v>10632</v>
      </c>
      <c r="AB533" t="s">
        <v>10633</v>
      </c>
      <c r="AC533" t="s">
        <v>10634</v>
      </c>
      <c r="AD533" t="s">
        <v>10635</v>
      </c>
      <c r="AE533" t="s">
        <v>10636</v>
      </c>
      <c r="AF533" t="s">
        <v>74</v>
      </c>
      <c r="AG533">
        <v>50</v>
      </c>
      <c r="AH533">
        <v>1</v>
      </c>
      <c r="AI533">
        <v>1</v>
      </c>
      <c r="AJ533">
        <v>3</v>
      </c>
      <c r="AK533">
        <v>5</v>
      </c>
      <c r="AL533" t="s">
        <v>125</v>
      </c>
      <c r="AM533" t="s">
        <v>126</v>
      </c>
      <c r="AN533" t="s">
        <v>127</v>
      </c>
      <c r="AO533" t="s">
        <v>74</v>
      </c>
      <c r="AP533" t="s">
        <v>5416</v>
      </c>
      <c r="AQ533" t="s">
        <v>74</v>
      </c>
      <c r="AR533" t="s">
        <v>5406</v>
      </c>
      <c r="AS533" t="s">
        <v>5417</v>
      </c>
      <c r="AT533" t="s">
        <v>8042</v>
      </c>
      <c r="AU533">
        <v>2023</v>
      </c>
      <c r="AV533">
        <v>15</v>
      </c>
      <c r="AW533">
        <v>3</v>
      </c>
      <c r="AX533" t="s">
        <v>74</v>
      </c>
      <c r="AY533" t="s">
        <v>74</v>
      </c>
      <c r="AZ533" t="s">
        <v>74</v>
      </c>
      <c r="BA533" t="s">
        <v>74</v>
      </c>
      <c r="BB533" t="s">
        <v>74</v>
      </c>
      <c r="BC533" t="s">
        <v>74</v>
      </c>
      <c r="BD533">
        <v>327</v>
      </c>
      <c r="BE533" t="s">
        <v>10637</v>
      </c>
      <c r="BF533" t="str">
        <f>HYPERLINK("http://dx.doi.org/10.3390/d15030327","http://dx.doi.org/10.3390/d15030327")</f>
        <v>http://dx.doi.org/10.3390/d15030327</v>
      </c>
      <c r="BG533" t="s">
        <v>74</v>
      </c>
      <c r="BH533" t="s">
        <v>74</v>
      </c>
      <c r="BI533">
        <v>8</v>
      </c>
      <c r="BJ533" t="s">
        <v>775</v>
      </c>
      <c r="BK533" t="s">
        <v>103</v>
      </c>
      <c r="BL533" t="s">
        <v>776</v>
      </c>
      <c r="BM533" t="s">
        <v>10638</v>
      </c>
      <c r="BN533" t="s">
        <v>74</v>
      </c>
      <c r="BO533" t="s">
        <v>359</v>
      </c>
      <c r="BP533" t="s">
        <v>74</v>
      </c>
      <c r="BQ533" t="s">
        <v>74</v>
      </c>
      <c r="BR533" t="s">
        <v>106</v>
      </c>
      <c r="BS533" t="s">
        <v>10639</v>
      </c>
      <c r="BT533" t="str">
        <f>HYPERLINK("https%3A%2F%2Fwww.webofscience.com%2Fwos%2Fwoscc%2Ffull-record%2FWOS:000958133900001","View Full Record in Web of Science")</f>
        <v>View Full Record in Web of Science</v>
      </c>
    </row>
    <row r="534" spans="1:72" x14ac:dyDescent="0.15">
      <c r="A534" t="s">
        <v>72</v>
      </c>
      <c r="B534" t="s">
        <v>10640</v>
      </c>
      <c r="C534" t="s">
        <v>74</v>
      </c>
      <c r="D534" t="s">
        <v>74</v>
      </c>
      <c r="E534" t="s">
        <v>74</v>
      </c>
      <c r="F534" t="s">
        <v>10641</v>
      </c>
      <c r="G534" t="s">
        <v>74</v>
      </c>
      <c r="H534" t="s">
        <v>74</v>
      </c>
      <c r="I534" t="s">
        <v>10642</v>
      </c>
      <c r="J534" t="s">
        <v>5406</v>
      </c>
      <c r="K534" t="s">
        <v>74</v>
      </c>
      <c r="L534" t="s">
        <v>74</v>
      </c>
      <c r="M534" t="s">
        <v>78</v>
      </c>
      <c r="N534" t="s">
        <v>112</v>
      </c>
      <c r="O534" t="s">
        <v>74</v>
      </c>
      <c r="P534" t="s">
        <v>74</v>
      </c>
      <c r="Q534" t="s">
        <v>74</v>
      </c>
      <c r="R534" t="s">
        <v>74</v>
      </c>
      <c r="S534" t="s">
        <v>74</v>
      </c>
      <c r="T534" t="s">
        <v>10643</v>
      </c>
      <c r="U534" t="s">
        <v>10644</v>
      </c>
      <c r="V534" t="s">
        <v>10645</v>
      </c>
      <c r="W534" t="s">
        <v>10646</v>
      </c>
      <c r="X534" t="s">
        <v>10647</v>
      </c>
      <c r="Y534" t="s">
        <v>10648</v>
      </c>
      <c r="Z534" t="s">
        <v>10649</v>
      </c>
      <c r="AA534" t="s">
        <v>74</v>
      </c>
      <c r="AB534" t="s">
        <v>10650</v>
      </c>
      <c r="AC534" t="s">
        <v>10651</v>
      </c>
      <c r="AD534" t="s">
        <v>10652</v>
      </c>
      <c r="AE534" t="s">
        <v>10653</v>
      </c>
      <c r="AF534" t="s">
        <v>74</v>
      </c>
      <c r="AG534">
        <v>64</v>
      </c>
      <c r="AH534">
        <v>2</v>
      </c>
      <c r="AI534">
        <v>2</v>
      </c>
      <c r="AJ534">
        <v>1</v>
      </c>
      <c r="AK534">
        <v>1</v>
      </c>
      <c r="AL534" t="s">
        <v>125</v>
      </c>
      <c r="AM534" t="s">
        <v>126</v>
      </c>
      <c r="AN534" t="s">
        <v>127</v>
      </c>
      <c r="AO534" t="s">
        <v>74</v>
      </c>
      <c r="AP534" t="s">
        <v>5416</v>
      </c>
      <c r="AQ534" t="s">
        <v>74</v>
      </c>
      <c r="AR534" t="s">
        <v>5406</v>
      </c>
      <c r="AS534" t="s">
        <v>5417</v>
      </c>
      <c r="AT534" t="s">
        <v>8042</v>
      </c>
      <c r="AU534">
        <v>2023</v>
      </c>
      <c r="AV534">
        <v>15</v>
      </c>
      <c r="AW534">
        <v>3</v>
      </c>
      <c r="AX534" t="s">
        <v>74</v>
      </c>
      <c r="AY534" t="s">
        <v>74</v>
      </c>
      <c r="AZ534" t="s">
        <v>74</v>
      </c>
      <c r="BA534" t="s">
        <v>74</v>
      </c>
      <c r="BB534" t="s">
        <v>74</v>
      </c>
      <c r="BC534" t="s">
        <v>74</v>
      </c>
      <c r="BD534">
        <v>354</v>
      </c>
      <c r="BE534" t="s">
        <v>10654</v>
      </c>
      <c r="BF534" t="str">
        <f>HYPERLINK("http://dx.doi.org/10.3390/d15030354","http://dx.doi.org/10.3390/d15030354")</f>
        <v>http://dx.doi.org/10.3390/d15030354</v>
      </c>
      <c r="BG534" t="s">
        <v>74</v>
      </c>
      <c r="BH534" t="s">
        <v>74</v>
      </c>
      <c r="BI534">
        <v>18</v>
      </c>
      <c r="BJ534" t="s">
        <v>775</v>
      </c>
      <c r="BK534" t="s">
        <v>103</v>
      </c>
      <c r="BL534" t="s">
        <v>776</v>
      </c>
      <c r="BM534" t="s">
        <v>10655</v>
      </c>
      <c r="BN534" t="s">
        <v>74</v>
      </c>
      <c r="BO534" t="s">
        <v>359</v>
      </c>
      <c r="BP534" t="s">
        <v>74</v>
      </c>
      <c r="BQ534" t="s">
        <v>74</v>
      </c>
      <c r="BR534" t="s">
        <v>106</v>
      </c>
      <c r="BS534" t="s">
        <v>10656</v>
      </c>
      <c r="BT534" t="str">
        <f>HYPERLINK("https%3A%2F%2Fwww.webofscience.com%2Fwos%2Fwoscc%2Ffull-record%2FWOS:000956589900001","View Full Record in Web of Science")</f>
        <v>View Full Record in Web of Science</v>
      </c>
    </row>
    <row r="535" spans="1:72" x14ac:dyDescent="0.15">
      <c r="A535" t="s">
        <v>72</v>
      </c>
      <c r="B535" t="s">
        <v>10657</v>
      </c>
      <c r="C535" t="s">
        <v>74</v>
      </c>
      <c r="D535" t="s">
        <v>74</v>
      </c>
      <c r="E535" t="s">
        <v>74</v>
      </c>
      <c r="F535" t="s">
        <v>10658</v>
      </c>
      <c r="G535" t="s">
        <v>74</v>
      </c>
      <c r="H535" t="s">
        <v>74</v>
      </c>
      <c r="I535" t="s">
        <v>10659</v>
      </c>
      <c r="J535" t="s">
        <v>339</v>
      </c>
      <c r="K535" t="s">
        <v>74</v>
      </c>
      <c r="L535" t="s">
        <v>74</v>
      </c>
      <c r="M535" t="s">
        <v>78</v>
      </c>
      <c r="N535" t="s">
        <v>112</v>
      </c>
      <c r="O535" t="s">
        <v>74</v>
      </c>
      <c r="P535" t="s">
        <v>74</v>
      </c>
      <c r="Q535" t="s">
        <v>74</v>
      </c>
      <c r="R535" t="s">
        <v>74</v>
      </c>
      <c r="S535" t="s">
        <v>74</v>
      </c>
      <c r="T535" t="s">
        <v>10660</v>
      </c>
      <c r="U535" t="s">
        <v>10661</v>
      </c>
      <c r="V535" t="s">
        <v>10662</v>
      </c>
      <c r="W535" t="s">
        <v>10663</v>
      </c>
      <c r="X535" t="s">
        <v>10664</v>
      </c>
      <c r="Y535" t="s">
        <v>10665</v>
      </c>
      <c r="Z535" t="s">
        <v>10666</v>
      </c>
      <c r="AA535" t="s">
        <v>10667</v>
      </c>
      <c r="AB535" t="s">
        <v>10668</v>
      </c>
      <c r="AC535" t="s">
        <v>10669</v>
      </c>
      <c r="AD535" t="s">
        <v>10670</v>
      </c>
      <c r="AE535" t="s">
        <v>10671</v>
      </c>
      <c r="AF535" t="s">
        <v>74</v>
      </c>
      <c r="AG535">
        <v>54</v>
      </c>
      <c r="AH535">
        <v>2</v>
      </c>
      <c r="AI535">
        <v>3</v>
      </c>
      <c r="AJ535">
        <v>7</v>
      </c>
      <c r="AK535">
        <v>16</v>
      </c>
      <c r="AL535" t="s">
        <v>152</v>
      </c>
      <c r="AM535" t="s">
        <v>153</v>
      </c>
      <c r="AN535" t="s">
        <v>154</v>
      </c>
      <c r="AO535" t="s">
        <v>352</v>
      </c>
      <c r="AP535" t="s">
        <v>74</v>
      </c>
      <c r="AQ535" t="s">
        <v>74</v>
      </c>
      <c r="AR535" t="s">
        <v>353</v>
      </c>
      <c r="AS535" t="s">
        <v>354</v>
      </c>
      <c r="AT535" t="s">
        <v>10271</v>
      </c>
      <c r="AU535">
        <v>2023</v>
      </c>
      <c r="AV535">
        <v>18</v>
      </c>
      <c r="AW535">
        <v>3</v>
      </c>
      <c r="AX535" t="s">
        <v>74</v>
      </c>
      <c r="AY535" t="s">
        <v>74</v>
      </c>
      <c r="AZ535" t="s">
        <v>74</v>
      </c>
      <c r="BA535" t="s">
        <v>74</v>
      </c>
      <c r="BB535" t="s">
        <v>74</v>
      </c>
      <c r="BC535" t="s">
        <v>74</v>
      </c>
      <c r="BD535">
        <v>34042</v>
      </c>
      <c r="BE535" t="s">
        <v>10672</v>
      </c>
      <c r="BF535" t="str">
        <f>HYPERLINK("http://dx.doi.org/10.1088/1748-9326/acbf6b","http://dx.doi.org/10.1088/1748-9326/acbf6b")</f>
        <v>http://dx.doi.org/10.1088/1748-9326/acbf6b</v>
      </c>
      <c r="BG535" t="s">
        <v>74</v>
      </c>
      <c r="BH535" t="s">
        <v>74</v>
      </c>
      <c r="BI535">
        <v>9</v>
      </c>
      <c r="BJ535" t="s">
        <v>356</v>
      </c>
      <c r="BK535" t="s">
        <v>103</v>
      </c>
      <c r="BL535" t="s">
        <v>357</v>
      </c>
      <c r="BM535" t="s">
        <v>10673</v>
      </c>
      <c r="BN535" t="s">
        <v>74</v>
      </c>
      <c r="BO535" t="s">
        <v>3241</v>
      </c>
      <c r="BP535" t="s">
        <v>74</v>
      </c>
      <c r="BQ535" t="s">
        <v>74</v>
      </c>
      <c r="BR535" t="s">
        <v>106</v>
      </c>
      <c r="BS535" t="s">
        <v>10674</v>
      </c>
      <c r="BT535" t="str">
        <f>HYPERLINK("https%3A%2F%2Fwww.webofscience.com%2Fwos%2Fwoscc%2Ffull-record%2FWOS:000946102800001","View Full Record in Web of Science")</f>
        <v>View Full Record in Web of Science</v>
      </c>
    </row>
    <row r="536" spans="1:72" x14ac:dyDescent="0.15">
      <c r="A536" t="s">
        <v>72</v>
      </c>
      <c r="B536" t="s">
        <v>10675</v>
      </c>
      <c r="C536" t="s">
        <v>74</v>
      </c>
      <c r="D536" t="s">
        <v>74</v>
      </c>
      <c r="E536" t="s">
        <v>74</v>
      </c>
      <c r="F536" t="s">
        <v>10676</v>
      </c>
      <c r="G536" t="s">
        <v>74</v>
      </c>
      <c r="H536" t="s">
        <v>74</v>
      </c>
      <c r="I536" t="s">
        <v>10677</v>
      </c>
      <c r="J536" t="s">
        <v>10678</v>
      </c>
      <c r="K536" t="s">
        <v>74</v>
      </c>
      <c r="L536" t="s">
        <v>74</v>
      </c>
      <c r="M536" t="s">
        <v>78</v>
      </c>
      <c r="N536" t="s">
        <v>112</v>
      </c>
      <c r="O536" t="s">
        <v>74</v>
      </c>
      <c r="P536" t="s">
        <v>74</v>
      </c>
      <c r="Q536" t="s">
        <v>74</v>
      </c>
      <c r="R536" t="s">
        <v>74</v>
      </c>
      <c r="S536" t="s">
        <v>74</v>
      </c>
      <c r="T536" t="s">
        <v>10679</v>
      </c>
      <c r="U536" t="s">
        <v>10680</v>
      </c>
      <c r="V536" t="s">
        <v>10681</v>
      </c>
      <c r="W536" t="s">
        <v>10682</v>
      </c>
      <c r="X536" t="s">
        <v>10683</v>
      </c>
      <c r="Y536" t="s">
        <v>10684</v>
      </c>
      <c r="Z536" t="s">
        <v>10685</v>
      </c>
      <c r="AA536" t="s">
        <v>10686</v>
      </c>
      <c r="AB536" t="s">
        <v>10687</v>
      </c>
      <c r="AC536" t="s">
        <v>74</v>
      </c>
      <c r="AD536" t="s">
        <v>74</v>
      </c>
      <c r="AE536" t="s">
        <v>74</v>
      </c>
      <c r="AF536" t="s">
        <v>74</v>
      </c>
      <c r="AG536">
        <v>69</v>
      </c>
      <c r="AH536">
        <v>2</v>
      </c>
      <c r="AI536">
        <v>2</v>
      </c>
      <c r="AJ536">
        <v>3</v>
      </c>
      <c r="AK536">
        <v>13</v>
      </c>
      <c r="AL536" t="s">
        <v>125</v>
      </c>
      <c r="AM536" t="s">
        <v>126</v>
      </c>
      <c r="AN536" t="s">
        <v>127</v>
      </c>
      <c r="AO536" t="s">
        <v>74</v>
      </c>
      <c r="AP536" t="s">
        <v>10688</v>
      </c>
      <c r="AQ536" t="s">
        <v>74</v>
      </c>
      <c r="AR536" t="s">
        <v>10678</v>
      </c>
      <c r="AS536" t="s">
        <v>10689</v>
      </c>
      <c r="AT536" t="s">
        <v>8042</v>
      </c>
      <c r="AU536">
        <v>2023</v>
      </c>
      <c r="AV536">
        <v>11</v>
      </c>
      <c r="AW536">
        <v>3</v>
      </c>
      <c r="AX536" t="s">
        <v>74</v>
      </c>
      <c r="AY536" t="s">
        <v>74</v>
      </c>
      <c r="AZ536" t="s">
        <v>74</v>
      </c>
      <c r="BA536" t="s">
        <v>74</v>
      </c>
      <c r="BB536" t="s">
        <v>74</v>
      </c>
      <c r="BC536" t="s">
        <v>74</v>
      </c>
      <c r="BD536">
        <v>702</v>
      </c>
      <c r="BE536" t="s">
        <v>10690</v>
      </c>
      <c r="BF536" t="str">
        <f>HYPERLINK("http://dx.doi.org/10.3390/microorganisms11030702","http://dx.doi.org/10.3390/microorganisms11030702")</f>
        <v>http://dx.doi.org/10.3390/microorganisms11030702</v>
      </c>
      <c r="BG536" t="s">
        <v>74</v>
      </c>
      <c r="BH536" t="s">
        <v>74</v>
      </c>
      <c r="BI536">
        <v>16</v>
      </c>
      <c r="BJ536" t="s">
        <v>1387</v>
      </c>
      <c r="BK536" t="s">
        <v>103</v>
      </c>
      <c r="BL536" t="s">
        <v>1387</v>
      </c>
      <c r="BM536" t="s">
        <v>10691</v>
      </c>
      <c r="BN536">
        <v>36985275</v>
      </c>
      <c r="BO536" t="s">
        <v>533</v>
      </c>
      <c r="BP536" t="s">
        <v>74</v>
      </c>
      <c r="BQ536" t="s">
        <v>74</v>
      </c>
      <c r="BR536" t="s">
        <v>106</v>
      </c>
      <c r="BS536" t="s">
        <v>10692</v>
      </c>
      <c r="BT536" t="str">
        <f>HYPERLINK("https%3A%2F%2Fwww.webofscience.com%2Fwos%2Fwoscc%2Ffull-record%2FWOS:000958790100001","View Full Record in Web of Science")</f>
        <v>View Full Record in Web of Science</v>
      </c>
    </row>
    <row r="537" spans="1:72" x14ac:dyDescent="0.15">
      <c r="A537" t="s">
        <v>72</v>
      </c>
      <c r="B537" t="s">
        <v>10693</v>
      </c>
      <c r="C537" t="s">
        <v>74</v>
      </c>
      <c r="D537" t="s">
        <v>74</v>
      </c>
      <c r="E537" t="s">
        <v>74</v>
      </c>
      <c r="F537" t="s">
        <v>10694</v>
      </c>
      <c r="G537" t="s">
        <v>74</v>
      </c>
      <c r="H537" t="s">
        <v>74</v>
      </c>
      <c r="I537" t="s">
        <v>10695</v>
      </c>
      <c r="J537" t="s">
        <v>10696</v>
      </c>
      <c r="K537" t="s">
        <v>74</v>
      </c>
      <c r="L537" t="s">
        <v>74</v>
      </c>
      <c r="M537" t="s">
        <v>78</v>
      </c>
      <c r="N537" t="s">
        <v>112</v>
      </c>
      <c r="O537" t="s">
        <v>74</v>
      </c>
      <c r="P537" t="s">
        <v>74</v>
      </c>
      <c r="Q537" t="s">
        <v>74</v>
      </c>
      <c r="R537" t="s">
        <v>74</v>
      </c>
      <c r="S537" t="s">
        <v>74</v>
      </c>
      <c r="T537" t="s">
        <v>10697</v>
      </c>
      <c r="U537" t="s">
        <v>10698</v>
      </c>
      <c r="V537" t="s">
        <v>10699</v>
      </c>
      <c r="W537" t="s">
        <v>10700</v>
      </c>
      <c r="X537" t="s">
        <v>222</v>
      </c>
      <c r="Y537" t="s">
        <v>10701</v>
      </c>
      <c r="Z537" t="s">
        <v>74</v>
      </c>
      <c r="AA537" t="s">
        <v>10702</v>
      </c>
      <c r="AB537" t="s">
        <v>10703</v>
      </c>
      <c r="AC537" t="s">
        <v>10704</v>
      </c>
      <c r="AD537" t="s">
        <v>251</v>
      </c>
      <c r="AE537" t="s">
        <v>10705</v>
      </c>
      <c r="AF537" t="s">
        <v>74</v>
      </c>
      <c r="AG537">
        <v>32</v>
      </c>
      <c r="AH537">
        <v>0</v>
      </c>
      <c r="AI537">
        <v>0</v>
      </c>
      <c r="AJ537">
        <v>0</v>
      </c>
      <c r="AK537">
        <v>0</v>
      </c>
      <c r="AL537" t="s">
        <v>10706</v>
      </c>
      <c r="AM537" t="s">
        <v>10707</v>
      </c>
      <c r="AN537" t="s">
        <v>10708</v>
      </c>
      <c r="AO537" t="s">
        <v>10709</v>
      </c>
      <c r="AP537" t="s">
        <v>74</v>
      </c>
      <c r="AQ537" t="s">
        <v>74</v>
      </c>
      <c r="AR537" t="s">
        <v>10710</v>
      </c>
      <c r="AS537" t="s">
        <v>10711</v>
      </c>
      <c r="AT537" t="s">
        <v>8042</v>
      </c>
      <c r="AU537">
        <v>2023</v>
      </c>
      <c r="AV537">
        <v>33</v>
      </c>
      <c r="AW537">
        <v>1</v>
      </c>
      <c r="AX537" t="s">
        <v>74</v>
      </c>
      <c r="AY537" t="s">
        <v>74</v>
      </c>
      <c r="AZ537" t="s">
        <v>74</v>
      </c>
      <c r="BA537" t="s">
        <v>74</v>
      </c>
      <c r="BB537">
        <v>18</v>
      </c>
      <c r="BC537">
        <v>26</v>
      </c>
      <c r="BD537" t="s">
        <v>74</v>
      </c>
      <c r="BE537" t="s">
        <v>10712</v>
      </c>
      <c r="BF537" t="str">
        <f>HYPERLINK("http://dx.doi.org/10.17736/ijope.2023.ik11","http://dx.doi.org/10.17736/ijope.2023.ik11")</f>
        <v>http://dx.doi.org/10.17736/ijope.2023.ik11</v>
      </c>
      <c r="BG537" t="s">
        <v>74</v>
      </c>
      <c r="BH537" t="s">
        <v>74</v>
      </c>
      <c r="BI537">
        <v>9</v>
      </c>
      <c r="BJ537" t="s">
        <v>10713</v>
      </c>
      <c r="BK537" t="s">
        <v>103</v>
      </c>
      <c r="BL537" t="s">
        <v>1348</v>
      </c>
      <c r="BM537" t="s">
        <v>10714</v>
      </c>
      <c r="BN537" t="s">
        <v>74</v>
      </c>
      <c r="BO537" t="s">
        <v>74</v>
      </c>
      <c r="BP537" t="s">
        <v>74</v>
      </c>
      <c r="BQ537" t="s">
        <v>74</v>
      </c>
      <c r="BR537" t="s">
        <v>106</v>
      </c>
      <c r="BS537" t="s">
        <v>10715</v>
      </c>
      <c r="BT537" t="str">
        <f>HYPERLINK("https%3A%2F%2Fwww.webofscience.com%2Fwos%2Fwoscc%2Ffull-record%2FWOS:000958150700001","View Full Record in Web of Science")</f>
        <v>View Full Record in Web of Science</v>
      </c>
    </row>
    <row r="538" spans="1:72" x14ac:dyDescent="0.15">
      <c r="A538" t="s">
        <v>72</v>
      </c>
      <c r="B538" t="s">
        <v>10716</v>
      </c>
      <c r="C538" t="s">
        <v>74</v>
      </c>
      <c r="D538" t="s">
        <v>74</v>
      </c>
      <c r="E538" t="s">
        <v>74</v>
      </c>
      <c r="F538" t="s">
        <v>10717</v>
      </c>
      <c r="G538" t="s">
        <v>74</v>
      </c>
      <c r="H538" t="s">
        <v>74</v>
      </c>
      <c r="I538" t="s">
        <v>10718</v>
      </c>
      <c r="J538" t="s">
        <v>981</v>
      </c>
      <c r="K538" t="s">
        <v>74</v>
      </c>
      <c r="L538" t="s">
        <v>74</v>
      </c>
      <c r="M538" t="s">
        <v>78</v>
      </c>
      <c r="N538" t="s">
        <v>112</v>
      </c>
      <c r="O538" t="s">
        <v>74</v>
      </c>
      <c r="P538" t="s">
        <v>74</v>
      </c>
      <c r="Q538" t="s">
        <v>74</v>
      </c>
      <c r="R538" t="s">
        <v>74</v>
      </c>
      <c r="S538" t="s">
        <v>74</v>
      </c>
      <c r="T538" t="s">
        <v>10719</v>
      </c>
      <c r="U538" t="s">
        <v>10720</v>
      </c>
      <c r="V538" t="s">
        <v>10721</v>
      </c>
      <c r="W538" t="s">
        <v>10722</v>
      </c>
      <c r="X538" t="s">
        <v>10723</v>
      </c>
      <c r="Y538" t="s">
        <v>10724</v>
      </c>
      <c r="Z538" t="s">
        <v>10725</v>
      </c>
      <c r="AA538" t="s">
        <v>10726</v>
      </c>
      <c r="AB538" t="s">
        <v>10727</v>
      </c>
      <c r="AC538" t="s">
        <v>10728</v>
      </c>
      <c r="AD538" t="s">
        <v>10729</v>
      </c>
      <c r="AE538" t="s">
        <v>10730</v>
      </c>
      <c r="AF538" t="s">
        <v>74</v>
      </c>
      <c r="AG538">
        <v>52</v>
      </c>
      <c r="AH538">
        <v>0</v>
      </c>
      <c r="AI538">
        <v>0</v>
      </c>
      <c r="AJ538">
        <v>4</v>
      </c>
      <c r="AK538">
        <v>6</v>
      </c>
      <c r="AL538" t="s">
        <v>125</v>
      </c>
      <c r="AM538" t="s">
        <v>126</v>
      </c>
      <c r="AN538" t="s">
        <v>127</v>
      </c>
      <c r="AO538" t="s">
        <v>74</v>
      </c>
      <c r="AP538" t="s">
        <v>992</v>
      </c>
      <c r="AQ538" t="s">
        <v>74</v>
      </c>
      <c r="AR538" t="s">
        <v>993</v>
      </c>
      <c r="AS538" t="s">
        <v>994</v>
      </c>
      <c r="AT538" t="s">
        <v>8042</v>
      </c>
      <c r="AU538">
        <v>2023</v>
      </c>
      <c r="AV538">
        <v>15</v>
      </c>
      <c r="AW538">
        <v>6</v>
      </c>
      <c r="AX538" t="s">
        <v>74</v>
      </c>
      <c r="AY538" t="s">
        <v>74</v>
      </c>
      <c r="AZ538" t="s">
        <v>74</v>
      </c>
      <c r="BA538" t="s">
        <v>74</v>
      </c>
      <c r="BB538" t="s">
        <v>74</v>
      </c>
      <c r="BC538" t="s">
        <v>74</v>
      </c>
      <c r="BD538">
        <v>1665</v>
      </c>
      <c r="BE538" t="s">
        <v>10731</v>
      </c>
      <c r="BF538" t="str">
        <f>HYPERLINK("http://dx.doi.org/10.3390/rs15061665","http://dx.doi.org/10.3390/rs15061665")</f>
        <v>http://dx.doi.org/10.3390/rs15061665</v>
      </c>
      <c r="BG538" t="s">
        <v>74</v>
      </c>
      <c r="BH538" t="s">
        <v>74</v>
      </c>
      <c r="BI538">
        <v>13</v>
      </c>
      <c r="BJ538" t="s">
        <v>996</v>
      </c>
      <c r="BK538" t="s">
        <v>103</v>
      </c>
      <c r="BL538" t="s">
        <v>997</v>
      </c>
      <c r="BM538" t="s">
        <v>10732</v>
      </c>
      <c r="BN538" t="s">
        <v>74</v>
      </c>
      <c r="BO538" t="s">
        <v>359</v>
      </c>
      <c r="BP538" t="s">
        <v>74</v>
      </c>
      <c r="BQ538" t="s">
        <v>74</v>
      </c>
      <c r="BR538" t="s">
        <v>106</v>
      </c>
      <c r="BS538" t="s">
        <v>10733</v>
      </c>
      <c r="BT538" t="str">
        <f>HYPERLINK("https%3A%2F%2Fwww.webofscience.com%2Fwos%2Fwoscc%2Ffull-record%2FWOS:000959756500001","View Full Record in Web of Science")</f>
        <v>View Full Record in Web of Science</v>
      </c>
    </row>
    <row r="539" spans="1:72" x14ac:dyDescent="0.15">
      <c r="A539" t="s">
        <v>72</v>
      </c>
      <c r="B539" t="s">
        <v>10734</v>
      </c>
      <c r="C539" t="s">
        <v>74</v>
      </c>
      <c r="D539" t="s">
        <v>74</v>
      </c>
      <c r="E539" t="s">
        <v>74</v>
      </c>
      <c r="F539" t="s">
        <v>10735</v>
      </c>
      <c r="G539" t="s">
        <v>74</v>
      </c>
      <c r="H539" t="s">
        <v>74</v>
      </c>
      <c r="I539" t="s">
        <v>10736</v>
      </c>
      <c r="J539" t="s">
        <v>981</v>
      </c>
      <c r="K539" t="s">
        <v>74</v>
      </c>
      <c r="L539" t="s">
        <v>74</v>
      </c>
      <c r="M539" t="s">
        <v>78</v>
      </c>
      <c r="N539" t="s">
        <v>112</v>
      </c>
      <c r="O539" t="s">
        <v>74</v>
      </c>
      <c r="P539" t="s">
        <v>74</v>
      </c>
      <c r="Q539" t="s">
        <v>74</v>
      </c>
      <c r="R539" t="s">
        <v>74</v>
      </c>
      <c r="S539" t="s">
        <v>74</v>
      </c>
      <c r="T539" t="s">
        <v>10737</v>
      </c>
      <c r="U539" t="s">
        <v>10738</v>
      </c>
      <c r="V539" t="s">
        <v>10739</v>
      </c>
      <c r="W539" t="s">
        <v>10740</v>
      </c>
      <c r="X539" t="s">
        <v>10741</v>
      </c>
      <c r="Y539" t="s">
        <v>10742</v>
      </c>
      <c r="Z539" t="s">
        <v>6267</v>
      </c>
      <c r="AA539" t="s">
        <v>10743</v>
      </c>
      <c r="AB539" t="s">
        <v>10744</v>
      </c>
      <c r="AC539" t="s">
        <v>10745</v>
      </c>
      <c r="AD539" t="s">
        <v>10746</v>
      </c>
      <c r="AE539" t="s">
        <v>10747</v>
      </c>
      <c r="AF539" t="s">
        <v>74</v>
      </c>
      <c r="AG539">
        <v>51</v>
      </c>
      <c r="AH539">
        <v>1</v>
      </c>
      <c r="AI539">
        <v>1</v>
      </c>
      <c r="AJ539">
        <v>1</v>
      </c>
      <c r="AK539">
        <v>9</v>
      </c>
      <c r="AL539" t="s">
        <v>125</v>
      </c>
      <c r="AM539" t="s">
        <v>126</v>
      </c>
      <c r="AN539" t="s">
        <v>127</v>
      </c>
      <c r="AO539" t="s">
        <v>74</v>
      </c>
      <c r="AP539" t="s">
        <v>992</v>
      </c>
      <c r="AQ539" t="s">
        <v>74</v>
      </c>
      <c r="AR539" t="s">
        <v>993</v>
      </c>
      <c r="AS539" t="s">
        <v>994</v>
      </c>
      <c r="AT539" t="s">
        <v>8042</v>
      </c>
      <c r="AU539">
        <v>2023</v>
      </c>
      <c r="AV539">
        <v>15</v>
      </c>
      <c r="AW539">
        <v>6</v>
      </c>
      <c r="AX539" t="s">
        <v>74</v>
      </c>
      <c r="AY539" t="s">
        <v>74</v>
      </c>
      <c r="AZ539" t="s">
        <v>74</v>
      </c>
      <c r="BA539" t="s">
        <v>74</v>
      </c>
      <c r="BB539" t="s">
        <v>74</v>
      </c>
      <c r="BC539" t="s">
        <v>74</v>
      </c>
      <c r="BD539">
        <v>1692</v>
      </c>
      <c r="BE539" t="s">
        <v>10748</v>
      </c>
      <c r="BF539" t="str">
        <f>HYPERLINK("http://dx.doi.org/10.3390/rs15061692","http://dx.doi.org/10.3390/rs15061692")</f>
        <v>http://dx.doi.org/10.3390/rs15061692</v>
      </c>
      <c r="BG539" t="s">
        <v>74</v>
      </c>
      <c r="BH539" t="s">
        <v>74</v>
      </c>
      <c r="BI539">
        <v>29</v>
      </c>
      <c r="BJ539" t="s">
        <v>996</v>
      </c>
      <c r="BK539" t="s">
        <v>103</v>
      </c>
      <c r="BL539" t="s">
        <v>997</v>
      </c>
      <c r="BM539" t="s">
        <v>10749</v>
      </c>
      <c r="BN539" t="s">
        <v>74</v>
      </c>
      <c r="BO539" t="s">
        <v>359</v>
      </c>
      <c r="BP539" t="s">
        <v>74</v>
      </c>
      <c r="BQ539" t="s">
        <v>74</v>
      </c>
      <c r="BR539" t="s">
        <v>106</v>
      </c>
      <c r="BS539" t="s">
        <v>10750</v>
      </c>
      <c r="BT539" t="str">
        <f>HYPERLINK("https%3A%2F%2Fwww.webofscience.com%2Fwos%2Fwoscc%2Ffull-record%2FWOS:000958600500001","View Full Record in Web of Science")</f>
        <v>View Full Record in Web of Science</v>
      </c>
    </row>
    <row r="540" spans="1:72" x14ac:dyDescent="0.15">
      <c r="A540" t="s">
        <v>72</v>
      </c>
      <c r="B540" t="s">
        <v>10751</v>
      </c>
      <c r="C540" t="s">
        <v>74</v>
      </c>
      <c r="D540" t="s">
        <v>74</v>
      </c>
      <c r="E540" t="s">
        <v>74</v>
      </c>
      <c r="F540" t="s">
        <v>10752</v>
      </c>
      <c r="G540" t="s">
        <v>74</v>
      </c>
      <c r="H540" t="s">
        <v>74</v>
      </c>
      <c r="I540" t="s">
        <v>10753</v>
      </c>
      <c r="J540" t="s">
        <v>981</v>
      </c>
      <c r="K540" t="s">
        <v>74</v>
      </c>
      <c r="L540" t="s">
        <v>74</v>
      </c>
      <c r="M540" t="s">
        <v>78</v>
      </c>
      <c r="N540" t="s">
        <v>112</v>
      </c>
      <c r="O540" t="s">
        <v>74</v>
      </c>
      <c r="P540" t="s">
        <v>74</v>
      </c>
      <c r="Q540" t="s">
        <v>74</v>
      </c>
      <c r="R540" t="s">
        <v>74</v>
      </c>
      <c r="S540" t="s">
        <v>74</v>
      </c>
      <c r="T540" t="s">
        <v>10754</v>
      </c>
      <c r="U540" t="s">
        <v>10755</v>
      </c>
      <c r="V540" t="s">
        <v>10756</v>
      </c>
      <c r="W540" t="s">
        <v>10757</v>
      </c>
      <c r="X540" t="s">
        <v>10758</v>
      </c>
      <c r="Y540" t="s">
        <v>10759</v>
      </c>
      <c r="Z540" t="s">
        <v>10760</v>
      </c>
      <c r="AA540" t="s">
        <v>74</v>
      </c>
      <c r="AB540" t="s">
        <v>10761</v>
      </c>
      <c r="AC540" t="s">
        <v>74</v>
      </c>
      <c r="AD540" t="s">
        <v>74</v>
      </c>
      <c r="AE540" t="s">
        <v>74</v>
      </c>
      <c r="AF540" t="s">
        <v>74</v>
      </c>
      <c r="AG540">
        <v>35</v>
      </c>
      <c r="AH540">
        <v>1</v>
      </c>
      <c r="AI540">
        <v>1</v>
      </c>
      <c r="AJ540">
        <v>3</v>
      </c>
      <c r="AK540">
        <v>7</v>
      </c>
      <c r="AL540" t="s">
        <v>125</v>
      </c>
      <c r="AM540" t="s">
        <v>126</v>
      </c>
      <c r="AN540" t="s">
        <v>127</v>
      </c>
      <c r="AO540" t="s">
        <v>74</v>
      </c>
      <c r="AP540" t="s">
        <v>992</v>
      </c>
      <c r="AQ540" t="s">
        <v>74</v>
      </c>
      <c r="AR540" t="s">
        <v>993</v>
      </c>
      <c r="AS540" t="s">
        <v>994</v>
      </c>
      <c r="AT540" t="s">
        <v>8042</v>
      </c>
      <c r="AU540">
        <v>2023</v>
      </c>
      <c r="AV540">
        <v>15</v>
      </c>
      <c r="AW540">
        <v>6</v>
      </c>
      <c r="AX540" t="s">
        <v>74</v>
      </c>
      <c r="AY540" t="s">
        <v>74</v>
      </c>
      <c r="AZ540" t="s">
        <v>74</v>
      </c>
      <c r="BA540" t="s">
        <v>74</v>
      </c>
      <c r="BB540" t="s">
        <v>74</v>
      </c>
      <c r="BC540" t="s">
        <v>74</v>
      </c>
      <c r="BD540">
        <v>1630</v>
      </c>
      <c r="BE540" t="s">
        <v>10762</v>
      </c>
      <c r="BF540" t="str">
        <f>HYPERLINK("http://dx.doi.org/10.3390/rs15061630","http://dx.doi.org/10.3390/rs15061630")</f>
        <v>http://dx.doi.org/10.3390/rs15061630</v>
      </c>
      <c r="BG540" t="s">
        <v>74</v>
      </c>
      <c r="BH540" t="s">
        <v>74</v>
      </c>
      <c r="BI540">
        <v>21</v>
      </c>
      <c r="BJ540" t="s">
        <v>996</v>
      </c>
      <c r="BK540" t="s">
        <v>103</v>
      </c>
      <c r="BL540" t="s">
        <v>997</v>
      </c>
      <c r="BM540" t="s">
        <v>10763</v>
      </c>
      <c r="BN540" t="s">
        <v>74</v>
      </c>
      <c r="BO540" t="s">
        <v>359</v>
      </c>
      <c r="BP540" t="s">
        <v>74</v>
      </c>
      <c r="BQ540" t="s">
        <v>74</v>
      </c>
      <c r="BR540" t="s">
        <v>106</v>
      </c>
      <c r="BS540" t="s">
        <v>10764</v>
      </c>
      <c r="BT540" t="str">
        <f>HYPERLINK("https%3A%2F%2Fwww.webofscience.com%2Fwos%2Fwoscc%2Ffull-record%2FWOS:000958785600001","View Full Record in Web of Science")</f>
        <v>View Full Record in Web of Science</v>
      </c>
    </row>
    <row r="541" spans="1:72" x14ac:dyDescent="0.15">
      <c r="A541" t="s">
        <v>72</v>
      </c>
      <c r="B541" t="s">
        <v>10765</v>
      </c>
      <c r="C541" t="s">
        <v>74</v>
      </c>
      <c r="D541" t="s">
        <v>74</v>
      </c>
      <c r="E541" t="s">
        <v>74</v>
      </c>
      <c r="F541" t="s">
        <v>10766</v>
      </c>
      <c r="G541" t="s">
        <v>74</v>
      </c>
      <c r="H541" t="s">
        <v>74</v>
      </c>
      <c r="I541" t="s">
        <v>10767</v>
      </c>
      <c r="J541" t="s">
        <v>5048</v>
      </c>
      <c r="K541" t="s">
        <v>74</v>
      </c>
      <c r="L541" t="s">
        <v>74</v>
      </c>
      <c r="M541" t="s">
        <v>78</v>
      </c>
      <c r="N541" t="s">
        <v>112</v>
      </c>
      <c r="O541" t="s">
        <v>74</v>
      </c>
      <c r="P541" t="s">
        <v>74</v>
      </c>
      <c r="Q541" t="s">
        <v>74</v>
      </c>
      <c r="R541" t="s">
        <v>74</v>
      </c>
      <c r="S541" t="s">
        <v>74</v>
      </c>
      <c r="T541" t="s">
        <v>10768</v>
      </c>
      <c r="U541" t="s">
        <v>10769</v>
      </c>
      <c r="V541" t="s">
        <v>10770</v>
      </c>
      <c r="W541" t="s">
        <v>10771</v>
      </c>
      <c r="X541" t="s">
        <v>10772</v>
      </c>
      <c r="Y541" t="s">
        <v>10773</v>
      </c>
      <c r="Z541" t="s">
        <v>10774</v>
      </c>
      <c r="AA541" t="s">
        <v>10775</v>
      </c>
      <c r="AB541" t="s">
        <v>10776</v>
      </c>
      <c r="AC541" t="s">
        <v>10777</v>
      </c>
      <c r="AD541" t="s">
        <v>10778</v>
      </c>
      <c r="AE541" t="s">
        <v>10779</v>
      </c>
      <c r="AF541" t="s">
        <v>74</v>
      </c>
      <c r="AG541">
        <v>78</v>
      </c>
      <c r="AH541">
        <v>1</v>
      </c>
      <c r="AI541">
        <v>1</v>
      </c>
      <c r="AJ541">
        <v>5</v>
      </c>
      <c r="AK541">
        <v>11</v>
      </c>
      <c r="AL541" t="s">
        <v>2092</v>
      </c>
      <c r="AM541" t="s">
        <v>2093</v>
      </c>
      <c r="AN541" t="s">
        <v>2094</v>
      </c>
      <c r="AO541" t="s">
        <v>5060</v>
      </c>
      <c r="AP541" t="s">
        <v>74</v>
      </c>
      <c r="AQ541" t="s">
        <v>74</v>
      </c>
      <c r="AR541" t="s">
        <v>5061</v>
      </c>
      <c r="AS541" t="s">
        <v>5062</v>
      </c>
      <c r="AT541" t="s">
        <v>8042</v>
      </c>
      <c r="AU541">
        <v>2023</v>
      </c>
      <c r="AV541">
        <v>13</v>
      </c>
      <c r="AW541">
        <v>3</v>
      </c>
      <c r="AX541" t="s">
        <v>74</v>
      </c>
      <c r="AY541" t="s">
        <v>74</v>
      </c>
      <c r="AZ541" t="s">
        <v>74</v>
      </c>
      <c r="BA541" t="s">
        <v>74</v>
      </c>
      <c r="BB541" t="s">
        <v>74</v>
      </c>
      <c r="BC541" t="s">
        <v>74</v>
      </c>
      <c r="BD541" t="s">
        <v>10780</v>
      </c>
      <c r="BE541" t="s">
        <v>10781</v>
      </c>
      <c r="BF541" t="str">
        <f>HYPERLINK("http://dx.doi.org/10.1002/ece3.9851","http://dx.doi.org/10.1002/ece3.9851")</f>
        <v>http://dx.doi.org/10.1002/ece3.9851</v>
      </c>
      <c r="BG541" t="s">
        <v>74</v>
      </c>
      <c r="BH541" t="s">
        <v>74</v>
      </c>
      <c r="BI541">
        <v>13</v>
      </c>
      <c r="BJ541" t="s">
        <v>5065</v>
      </c>
      <c r="BK541" t="s">
        <v>103</v>
      </c>
      <c r="BL541" t="s">
        <v>5066</v>
      </c>
      <c r="BM541" t="s">
        <v>10782</v>
      </c>
      <c r="BN541">
        <v>36950368</v>
      </c>
      <c r="BO541" t="s">
        <v>614</v>
      </c>
      <c r="BP541" t="s">
        <v>74</v>
      </c>
      <c r="BQ541" t="s">
        <v>74</v>
      </c>
      <c r="BR541" t="s">
        <v>106</v>
      </c>
      <c r="BS541" t="s">
        <v>10783</v>
      </c>
      <c r="BT541" t="str">
        <f>HYPERLINK("https%3A%2F%2Fwww.webofscience.com%2Fwos%2Fwoscc%2Ffull-record%2FWOS:000954435600001","View Full Record in Web of Science")</f>
        <v>View Full Record in Web of Science</v>
      </c>
    </row>
    <row r="542" spans="1:72" x14ac:dyDescent="0.15">
      <c r="A542" t="s">
        <v>72</v>
      </c>
      <c r="B542" t="s">
        <v>10784</v>
      </c>
      <c r="C542" t="s">
        <v>74</v>
      </c>
      <c r="D542" t="s">
        <v>74</v>
      </c>
      <c r="E542" t="s">
        <v>74</v>
      </c>
      <c r="F542" t="s">
        <v>10785</v>
      </c>
      <c r="G542" t="s">
        <v>74</v>
      </c>
      <c r="H542" t="s">
        <v>74</v>
      </c>
      <c r="I542" t="s">
        <v>10786</v>
      </c>
      <c r="J542" t="s">
        <v>111</v>
      </c>
      <c r="K542" t="s">
        <v>74</v>
      </c>
      <c r="L542" t="s">
        <v>74</v>
      </c>
      <c r="M542" t="s">
        <v>78</v>
      </c>
      <c r="N542" t="s">
        <v>112</v>
      </c>
      <c r="O542" t="s">
        <v>74</v>
      </c>
      <c r="P542" t="s">
        <v>74</v>
      </c>
      <c r="Q542" t="s">
        <v>74</v>
      </c>
      <c r="R542" t="s">
        <v>74</v>
      </c>
      <c r="S542" t="s">
        <v>74</v>
      </c>
      <c r="T542" t="s">
        <v>10787</v>
      </c>
      <c r="U542" t="s">
        <v>10788</v>
      </c>
      <c r="V542" t="s">
        <v>10789</v>
      </c>
      <c r="W542" t="s">
        <v>10790</v>
      </c>
      <c r="X542" t="s">
        <v>10791</v>
      </c>
      <c r="Y542" t="s">
        <v>10792</v>
      </c>
      <c r="Z542" t="s">
        <v>10793</v>
      </c>
      <c r="AA542" t="s">
        <v>74</v>
      </c>
      <c r="AB542" t="s">
        <v>74</v>
      </c>
      <c r="AC542" t="s">
        <v>10794</v>
      </c>
      <c r="AD542" t="s">
        <v>10795</v>
      </c>
      <c r="AE542" t="s">
        <v>10796</v>
      </c>
      <c r="AF542" t="s">
        <v>74</v>
      </c>
      <c r="AG542">
        <v>29</v>
      </c>
      <c r="AH542">
        <v>3</v>
      </c>
      <c r="AI542">
        <v>3</v>
      </c>
      <c r="AJ542">
        <v>1</v>
      </c>
      <c r="AK542">
        <v>3</v>
      </c>
      <c r="AL542" t="s">
        <v>125</v>
      </c>
      <c r="AM542" t="s">
        <v>126</v>
      </c>
      <c r="AN542" t="s">
        <v>127</v>
      </c>
      <c r="AO542" t="s">
        <v>74</v>
      </c>
      <c r="AP542" t="s">
        <v>128</v>
      </c>
      <c r="AQ542" t="s">
        <v>74</v>
      </c>
      <c r="AR542" t="s">
        <v>129</v>
      </c>
      <c r="AS542" t="s">
        <v>130</v>
      </c>
      <c r="AT542" t="s">
        <v>8042</v>
      </c>
      <c r="AU542">
        <v>2023</v>
      </c>
      <c r="AV542">
        <v>11</v>
      </c>
      <c r="AW542">
        <v>3</v>
      </c>
      <c r="AX542" t="s">
        <v>74</v>
      </c>
      <c r="AY542" t="s">
        <v>74</v>
      </c>
      <c r="AZ542" t="s">
        <v>74</v>
      </c>
      <c r="BA542" t="s">
        <v>74</v>
      </c>
      <c r="BB542" t="s">
        <v>74</v>
      </c>
      <c r="BC542" t="s">
        <v>74</v>
      </c>
      <c r="BD542">
        <v>558</v>
      </c>
      <c r="BE542" t="s">
        <v>10797</v>
      </c>
      <c r="BF542" t="str">
        <f>HYPERLINK("http://dx.doi.org/10.3390/jmse11030558","http://dx.doi.org/10.3390/jmse11030558")</f>
        <v>http://dx.doi.org/10.3390/jmse11030558</v>
      </c>
      <c r="BG542" t="s">
        <v>74</v>
      </c>
      <c r="BH542" t="s">
        <v>74</v>
      </c>
      <c r="BI542">
        <v>15</v>
      </c>
      <c r="BJ542" t="s">
        <v>133</v>
      </c>
      <c r="BK542" t="s">
        <v>103</v>
      </c>
      <c r="BL542" t="s">
        <v>134</v>
      </c>
      <c r="BM542" t="s">
        <v>10798</v>
      </c>
      <c r="BN542" t="s">
        <v>74</v>
      </c>
      <c r="BO542" t="s">
        <v>359</v>
      </c>
      <c r="BP542" t="s">
        <v>74</v>
      </c>
      <c r="BQ542" t="s">
        <v>74</v>
      </c>
      <c r="BR542" t="s">
        <v>106</v>
      </c>
      <c r="BS542" t="s">
        <v>10799</v>
      </c>
      <c r="BT542" t="str">
        <f>HYPERLINK("https%3A%2F%2Fwww.webofscience.com%2Fwos%2Fwoscc%2Ffull-record%2FWOS:000958397900001","View Full Record in Web of Science")</f>
        <v>View Full Record in Web of Science</v>
      </c>
    </row>
    <row r="543" spans="1:72" x14ac:dyDescent="0.15">
      <c r="A543" t="s">
        <v>72</v>
      </c>
      <c r="B543" t="s">
        <v>10800</v>
      </c>
      <c r="C543" t="s">
        <v>74</v>
      </c>
      <c r="D543" t="s">
        <v>74</v>
      </c>
      <c r="E543" t="s">
        <v>74</v>
      </c>
      <c r="F543" t="s">
        <v>10801</v>
      </c>
      <c r="G543" t="s">
        <v>74</v>
      </c>
      <c r="H543" t="s">
        <v>74</v>
      </c>
      <c r="I543" t="s">
        <v>10802</v>
      </c>
      <c r="J543" t="s">
        <v>463</v>
      </c>
      <c r="K543" t="s">
        <v>74</v>
      </c>
      <c r="L543" t="s">
        <v>74</v>
      </c>
      <c r="M543" t="s">
        <v>78</v>
      </c>
      <c r="N543" t="s">
        <v>112</v>
      </c>
      <c r="O543" t="s">
        <v>74</v>
      </c>
      <c r="P543" t="s">
        <v>74</v>
      </c>
      <c r="Q543" t="s">
        <v>74</v>
      </c>
      <c r="R543" t="s">
        <v>74</v>
      </c>
      <c r="S543" t="s">
        <v>74</v>
      </c>
      <c r="T543" t="s">
        <v>10803</v>
      </c>
      <c r="U543" t="s">
        <v>10804</v>
      </c>
      <c r="V543" t="s">
        <v>10805</v>
      </c>
      <c r="W543" t="s">
        <v>10806</v>
      </c>
      <c r="X543" t="s">
        <v>10807</v>
      </c>
      <c r="Y543" t="s">
        <v>10808</v>
      </c>
      <c r="Z543" t="s">
        <v>10809</v>
      </c>
      <c r="AA543" t="s">
        <v>10810</v>
      </c>
      <c r="AB543" t="s">
        <v>10811</v>
      </c>
      <c r="AC543" t="s">
        <v>74</v>
      </c>
      <c r="AD543" t="s">
        <v>74</v>
      </c>
      <c r="AE543" t="s">
        <v>74</v>
      </c>
      <c r="AF543" t="s">
        <v>74</v>
      </c>
      <c r="AG543">
        <v>76</v>
      </c>
      <c r="AH543">
        <v>2</v>
      </c>
      <c r="AI543">
        <v>2</v>
      </c>
      <c r="AJ543">
        <v>2</v>
      </c>
      <c r="AK543">
        <v>8</v>
      </c>
      <c r="AL543" t="s">
        <v>125</v>
      </c>
      <c r="AM543" t="s">
        <v>126</v>
      </c>
      <c r="AN543" t="s">
        <v>127</v>
      </c>
      <c r="AO543" t="s">
        <v>74</v>
      </c>
      <c r="AP543" t="s">
        <v>476</v>
      </c>
      <c r="AQ543" t="s">
        <v>74</v>
      </c>
      <c r="AR543" t="s">
        <v>477</v>
      </c>
      <c r="AS543" t="s">
        <v>478</v>
      </c>
      <c r="AT543" t="s">
        <v>8042</v>
      </c>
      <c r="AU543">
        <v>2023</v>
      </c>
      <c r="AV543">
        <v>14</v>
      </c>
      <c r="AW543">
        <v>3</v>
      </c>
      <c r="AX543" t="s">
        <v>74</v>
      </c>
      <c r="AY543" t="s">
        <v>74</v>
      </c>
      <c r="AZ543" t="s">
        <v>74</v>
      </c>
      <c r="BA543" t="s">
        <v>74</v>
      </c>
      <c r="BB543" t="s">
        <v>74</v>
      </c>
      <c r="BC543" t="s">
        <v>74</v>
      </c>
      <c r="BD543">
        <v>606</v>
      </c>
      <c r="BE543" t="s">
        <v>10812</v>
      </c>
      <c r="BF543" t="str">
        <f>HYPERLINK("http://dx.doi.org/10.3390/genes14030606","http://dx.doi.org/10.3390/genes14030606")</f>
        <v>http://dx.doi.org/10.3390/genes14030606</v>
      </c>
      <c r="BG543" t="s">
        <v>74</v>
      </c>
      <c r="BH543" t="s">
        <v>74</v>
      </c>
      <c r="BI543">
        <v>15</v>
      </c>
      <c r="BJ543" t="s">
        <v>481</v>
      </c>
      <c r="BK543" t="s">
        <v>103</v>
      </c>
      <c r="BL543" t="s">
        <v>481</v>
      </c>
      <c r="BM543" t="s">
        <v>10813</v>
      </c>
      <c r="BN543">
        <v>36980877</v>
      </c>
      <c r="BO543" t="s">
        <v>804</v>
      </c>
      <c r="BP543" t="s">
        <v>74</v>
      </c>
      <c r="BQ543" t="s">
        <v>74</v>
      </c>
      <c r="BR543" t="s">
        <v>106</v>
      </c>
      <c r="BS543" t="s">
        <v>10814</v>
      </c>
      <c r="BT543" t="str">
        <f>HYPERLINK("https%3A%2F%2Fwww.webofscience.com%2Fwos%2Fwoscc%2Ffull-record%2FWOS:000955471700001","View Full Record in Web of Science")</f>
        <v>View Full Record in Web of Science</v>
      </c>
    </row>
    <row r="544" spans="1:72" x14ac:dyDescent="0.15">
      <c r="A544" t="s">
        <v>72</v>
      </c>
      <c r="B544" t="s">
        <v>10815</v>
      </c>
      <c r="C544" t="s">
        <v>74</v>
      </c>
      <c r="D544" t="s">
        <v>74</v>
      </c>
      <c r="E544" t="s">
        <v>74</v>
      </c>
      <c r="F544" t="s">
        <v>10816</v>
      </c>
      <c r="G544" t="s">
        <v>74</v>
      </c>
      <c r="H544" t="s">
        <v>74</v>
      </c>
      <c r="I544" t="s">
        <v>10817</v>
      </c>
      <c r="J544" t="s">
        <v>5424</v>
      </c>
      <c r="K544" t="s">
        <v>74</v>
      </c>
      <c r="L544" t="s">
        <v>74</v>
      </c>
      <c r="M544" t="s">
        <v>78</v>
      </c>
      <c r="N544" t="s">
        <v>112</v>
      </c>
      <c r="O544" t="s">
        <v>74</v>
      </c>
      <c r="P544" t="s">
        <v>74</v>
      </c>
      <c r="Q544" t="s">
        <v>74</v>
      </c>
      <c r="R544" t="s">
        <v>74</v>
      </c>
      <c r="S544" t="s">
        <v>74</v>
      </c>
      <c r="T544" t="s">
        <v>10818</v>
      </c>
      <c r="U544" t="s">
        <v>10819</v>
      </c>
      <c r="V544" t="s">
        <v>10820</v>
      </c>
      <c r="W544" t="s">
        <v>10821</v>
      </c>
      <c r="X544" t="s">
        <v>10822</v>
      </c>
      <c r="Y544" t="s">
        <v>10823</v>
      </c>
      <c r="Z544" t="s">
        <v>10824</v>
      </c>
      <c r="AA544" t="s">
        <v>10825</v>
      </c>
      <c r="AB544" t="s">
        <v>10826</v>
      </c>
      <c r="AC544" t="s">
        <v>74</v>
      </c>
      <c r="AD544" t="s">
        <v>74</v>
      </c>
      <c r="AE544" t="s">
        <v>74</v>
      </c>
      <c r="AF544" t="s">
        <v>74</v>
      </c>
      <c r="AG544">
        <v>77</v>
      </c>
      <c r="AH544">
        <v>1</v>
      </c>
      <c r="AI544">
        <v>1</v>
      </c>
      <c r="AJ544">
        <v>2</v>
      </c>
      <c r="AK544">
        <v>3</v>
      </c>
      <c r="AL544" t="s">
        <v>125</v>
      </c>
      <c r="AM544" t="s">
        <v>126</v>
      </c>
      <c r="AN544" t="s">
        <v>127</v>
      </c>
      <c r="AO544" t="s">
        <v>74</v>
      </c>
      <c r="AP544" t="s">
        <v>5437</v>
      </c>
      <c r="AQ544" t="s">
        <v>74</v>
      </c>
      <c r="AR544" t="s">
        <v>5438</v>
      </c>
      <c r="AS544" t="s">
        <v>5439</v>
      </c>
      <c r="AT544" t="s">
        <v>8042</v>
      </c>
      <c r="AU544">
        <v>2023</v>
      </c>
      <c r="AV544">
        <v>9</v>
      </c>
      <c r="AW544">
        <v>3</v>
      </c>
      <c r="AX544" t="s">
        <v>74</v>
      </c>
      <c r="AY544" t="s">
        <v>74</v>
      </c>
      <c r="AZ544" t="s">
        <v>74</v>
      </c>
      <c r="BA544" t="s">
        <v>74</v>
      </c>
      <c r="BB544" t="s">
        <v>74</v>
      </c>
      <c r="BC544" t="s">
        <v>74</v>
      </c>
      <c r="BD544">
        <v>372</v>
      </c>
      <c r="BE544" t="s">
        <v>10827</v>
      </c>
      <c r="BF544" t="str">
        <f>HYPERLINK("http://dx.doi.org/10.3390/jof9030372","http://dx.doi.org/10.3390/jof9030372")</f>
        <v>http://dx.doi.org/10.3390/jof9030372</v>
      </c>
      <c r="BG544" t="s">
        <v>74</v>
      </c>
      <c r="BH544" t="s">
        <v>74</v>
      </c>
      <c r="BI544">
        <v>18</v>
      </c>
      <c r="BJ544" t="s">
        <v>5441</v>
      </c>
      <c r="BK544" t="s">
        <v>103</v>
      </c>
      <c r="BL544" t="s">
        <v>5441</v>
      </c>
      <c r="BM544" t="s">
        <v>10828</v>
      </c>
      <c r="BN544">
        <v>36983540</v>
      </c>
      <c r="BO544" t="s">
        <v>614</v>
      </c>
      <c r="BP544" t="s">
        <v>74</v>
      </c>
      <c r="BQ544" t="s">
        <v>74</v>
      </c>
      <c r="BR544" t="s">
        <v>106</v>
      </c>
      <c r="BS544" t="s">
        <v>10829</v>
      </c>
      <c r="BT544" t="str">
        <f>HYPERLINK("https%3A%2F%2Fwww.webofscience.com%2Fwos%2Fwoscc%2Ffull-record%2FWOS:000955684900001","View Full Record in Web of Science")</f>
        <v>View Full Record in Web of Science</v>
      </c>
    </row>
    <row r="545" spans="1:72" x14ac:dyDescent="0.15">
      <c r="A545" t="s">
        <v>72</v>
      </c>
      <c r="B545" t="s">
        <v>10830</v>
      </c>
      <c r="C545" t="s">
        <v>74</v>
      </c>
      <c r="D545" t="s">
        <v>74</v>
      </c>
      <c r="E545" t="s">
        <v>74</v>
      </c>
      <c r="F545" t="s">
        <v>10831</v>
      </c>
      <c r="G545" t="s">
        <v>74</v>
      </c>
      <c r="H545" t="s">
        <v>74</v>
      </c>
      <c r="I545" t="s">
        <v>10832</v>
      </c>
      <c r="J545" t="s">
        <v>4757</v>
      </c>
      <c r="K545" t="s">
        <v>74</v>
      </c>
      <c r="L545" t="s">
        <v>74</v>
      </c>
      <c r="M545" t="s">
        <v>78</v>
      </c>
      <c r="N545" t="s">
        <v>112</v>
      </c>
      <c r="O545" t="s">
        <v>74</v>
      </c>
      <c r="P545" t="s">
        <v>74</v>
      </c>
      <c r="Q545" t="s">
        <v>74</v>
      </c>
      <c r="R545" t="s">
        <v>74</v>
      </c>
      <c r="S545" t="s">
        <v>74</v>
      </c>
      <c r="T545" t="s">
        <v>10833</v>
      </c>
      <c r="U545" t="s">
        <v>10834</v>
      </c>
      <c r="V545" t="s">
        <v>10835</v>
      </c>
      <c r="W545" t="s">
        <v>10836</v>
      </c>
      <c r="X545" t="s">
        <v>10837</v>
      </c>
      <c r="Y545" t="s">
        <v>10838</v>
      </c>
      <c r="Z545" t="s">
        <v>10839</v>
      </c>
      <c r="AA545" t="s">
        <v>10840</v>
      </c>
      <c r="AB545" t="s">
        <v>10841</v>
      </c>
      <c r="AC545" t="s">
        <v>10842</v>
      </c>
      <c r="AD545" t="s">
        <v>10843</v>
      </c>
      <c r="AE545" t="s">
        <v>10844</v>
      </c>
      <c r="AF545" t="s">
        <v>74</v>
      </c>
      <c r="AG545">
        <v>51</v>
      </c>
      <c r="AH545">
        <v>2</v>
      </c>
      <c r="AI545">
        <v>2</v>
      </c>
      <c r="AJ545">
        <v>1</v>
      </c>
      <c r="AK545">
        <v>2</v>
      </c>
      <c r="AL545" t="s">
        <v>305</v>
      </c>
      <c r="AM545" t="s">
        <v>306</v>
      </c>
      <c r="AN545" t="s">
        <v>307</v>
      </c>
      <c r="AO545" t="s">
        <v>4769</v>
      </c>
      <c r="AP545" t="s">
        <v>4770</v>
      </c>
      <c r="AQ545" t="s">
        <v>74</v>
      </c>
      <c r="AR545" t="s">
        <v>4771</v>
      </c>
      <c r="AS545" t="s">
        <v>4772</v>
      </c>
      <c r="AT545" t="s">
        <v>8042</v>
      </c>
      <c r="AU545">
        <v>2023</v>
      </c>
      <c r="AV545">
        <v>128</v>
      </c>
      <c r="AW545">
        <v>3</v>
      </c>
      <c r="AX545" t="s">
        <v>74</v>
      </c>
      <c r="AY545" t="s">
        <v>74</v>
      </c>
      <c r="AZ545" t="s">
        <v>74</v>
      </c>
      <c r="BA545" t="s">
        <v>74</v>
      </c>
      <c r="BB545" t="s">
        <v>74</v>
      </c>
      <c r="BC545" t="s">
        <v>74</v>
      </c>
      <c r="BD545" t="s">
        <v>10845</v>
      </c>
      <c r="BE545" t="s">
        <v>10846</v>
      </c>
      <c r="BF545" t="str">
        <f>HYPERLINK("http://dx.doi.org/10.1029/2022JC019113","http://dx.doi.org/10.1029/2022JC019113")</f>
        <v>http://dx.doi.org/10.1029/2022JC019113</v>
      </c>
      <c r="BG545" t="s">
        <v>74</v>
      </c>
      <c r="BH545" t="s">
        <v>74</v>
      </c>
      <c r="BI545">
        <v>15</v>
      </c>
      <c r="BJ545" t="s">
        <v>863</v>
      </c>
      <c r="BK545" t="s">
        <v>103</v>
      </c>
      <c r="BL545" t="s">
        <v>863</v>
      </c>
      <c r="BM545" t="s">
        <v>10847</v>
      </c>
      <c r="BN545" t="s">
        <v>74</v>
      </c>
      <c r="BO545" t="s">
        <v>8532</v>
      </c>
      <c r="BP545" t="s">
        <v>74</v>
      </c>
      <c r="BQ545" t="s">
        <v>74</v>
      </c>
      <c r="BR545" t="s">
        <v>106</v>
      </c>
      <c r="BS545" t="s">
        <v>10848</v>
      </c>
      <c r="BT545" t="str">
        <f>HYPERLINK("https%3A%2F%2Fwww.webofscience.com%2Fwos%2Fwoscc%2Ffull-record%2FWOS:000956962000001","View Full Record in Web of Science")</f>
        <v>View Full Record in Web of Science</v>
      </c>
    </row>
    <row r="546" spans="1:72" x14ac:dyDescent="0.15">
      <c r="A546" t="s">
        <v>72</v>
      </c>
      <c r="B546" t="s">
        <v>10849</v>
      </c>
      <c r="C546" t="s">
        <v>74</v>
      </c>
      <c r="D546" t="s">
        <v>74</v>
      </c>
      <c r="E546" t="s">
        <v>74</v>
      </c>
      <c r="F546" t="s">
        <v>10850</v>
      </c>
      <c r="G546" t="s">
        <v>74</v>
      </c>
      <c r="H546" t="s">
        <v>74</v>
      </c>
      <c r="I546" t="s">
        <v>10851</v>
      </c>
      <c r="J546" t="s">
        <v>5299</v>
      </c>
      <c r="K546" t="s">
        <v>74</v>
      </c>
      <c r="L546" t="s">
        <v>74</v>
      </c>
      <c r="M546" t="s">
        <v>78</v>
      </c>
      <c r="N546" t="s">
        <v>112</v>
      </c>
      <c r="O546" t="s">
        <v>74</v>
      </c>
      <c r="P546" t="s">
        <v>74</v>
      </c>
      <c r="Q546" t="s">
        <v>74</v>
      </c>
      <c r="R546" t="s">
        <v>74</v>
      </c>
      <c r="S546" t="s">
        <v>74</v>
      </c>
      <c r="T546" t="s">
        <v>10852</v>
      </c>
      <c r="U546" t="s">
        <v>10853</v>
      </c>
      <c r="V546" t="s">
        <v>10854</v>
      </c>
      <c r="W546" t="s">
        <v>10855</v>
      </c>
      <c r="X546" t="s">
        <v>10856</v>
      </c>
      <c r="Y546" t="s">
        <v>10857</v>
      </c>
      <c r="Z546" t="s">
        <v>10858</v>
      </c>
      <c r="AA546" t="s">
        <v>10859</v>
      </c>
      <c r="AB546" t="s">
        <v>10860</v>
      </c>
      <c r="AC546" t="s">
        <v>74</v>
      </c>
      <c r="AD546" t="s">
        <v>74</v>
      </c>
      <c r="AE546" t="s">
        <v>74</v>
      </c>
      <c r="AF546" t="s">
        <v>74</v>
      </c>
      <c r="AG546">
        <v>93</v>
      </c>
      <c r="AH546">
        <v>0</v>
      </c>
      <c r="AI546">
        <v>0</v>
      </c>
      <c r="AJ546">
        <v>2</v>
      </c>
      <c r="AK546">
        <v>4</v>
      </c>
      <c r="AL546" t="s">
        <v>125</v>
      </c>
      <c r="AM546" t="s">
        <v>126</v>
      </c>
      <c r="AN546" t="s">
        <v>127</v>
      </c>
      <c r="AO546" t="s">
        <v>74</v>
      </c>
      <c r="AP546" t="s">
        <v>5311</v>
      </c>
      <c r="AQ546" t="s">
        <v>74</v>
      </c>
      <c r="AR546" t="s">
        <v>5312</v>
      </c>
      <c r="AS546" t="s">
        <v>5313</v>
      </c>
      <c r="AT546" t="s">
        <v>8042</v>
      </c>
      <c r="AU546">
        <v>2023</v>
      </c>
      <c r="AV546">
        <v>8</v>
      </c>
      <c r="AW546">
        <v>3</v>
      </c>
      <c r="AX546" t="s">
        <v>74</v>
      </c>
      <c r="AY546" t="s">
        <v>74</v>
      </c>
      <c r="AZ546" t="s">
        <v>74</v>
      </c>
      <c r="BA546" t="s">
        <v>74</v>
      </c>
      <c r="BB546" t="s">
        <v>74</v>
      </c>
      <c r="BC546" t="s">
        <v>74</v>
      </c>
      <c r="BD546">
        <v>153</v>
      </c>
      <c r="BE546" t="s">
        <v>10861</v>
      </c>
      <c r="BF546" t="str">
        <f>HYPERLINK("http://dx.doi.org/10.3390/fishes8030153","http://dx.doi.org/10.3390/fishes8030153")</f>
        <v>http://dx.doi.org/10.3390/fishes8030153</v>
      </c>
      <c r="BG546" t="s">
        <v>74</v>
      </c>
      <c r="BH546" t="s">
        <v>74</v>
      </c>
      <c r="BI546">
        <v>15</v>
      </c>
      <c r="BJ546" t="s">
        <v>1065</v>
      </c>
      <c r="BK546" t="s">
        <v>103</v>
      </c>
      <c r="BL546" t="s">
        <v>1065</v>
      </c>
      <c r="BM546" t="s">
        <v>10862</v>
      </c>
      <c r="BN546" t="s">
        <v>74</v>
      </c>
      <c r="BO546" t="s">
        <v>359</v>
      </c>
      <c r="BP546" t="s">
        <v>74</v>
      </c>
      <c r="BQ546" t="s">
        <v>74</v>
      </c>
      <c r="BR546" t="s">
        <v>106</v>
      </c>
      <c r="BS546" t="s">
        <v>10863</v>
      </c>
      <c r="BT546" t="str">
        <f>HYPERLINK("https%3A%2F%2Fwww.webofscience.com%2Fwos%2Fwoscc%2Ffull-record%2FWOS:000955443400001","View Full Record in Web of Science")</f>
        <v>View Full Record in Web of Science</v>
      </c>
    </row>
    <row r="547" spans="1:72" x14ac:dyDescent="0.15">
      <c r="A547" t="s">
        <v>72</v>
      </c>
      <c r="B547" t="s">
        <v>10864</v>
      </c>
      <c r="C547" t="s">
        <v>74</v>
      </c>
      <c r="D547" t="s">
        <v>74</v>
      </c>
      <c r="E547" t="s">
        <v>74</v>
      </c>
      <c r="F547" t="s">
        <v>10865</v>
      </c>
      <c r="G547" t="s">
        <v>74</v>
      </c>
      <c r="H547" t="s">
        <v>74</v>
      </c>
      <c r="I547" t="s">
        <v>10866</v>
      </c>
      <c r="J547" t="s">
        <v>5320</v>
      </c>
      <c r="K547" t="s">
        <v>74</v>
      </c>
      <c r="L547" t="s">
        <v>74</v>
      </c>
      <c r="M547" t="s">
        <v>78</v>
      </c>
      <c r="N547" t="s">
        <v>112</v>
      </c>
      <c r="O547" t="s">
        <v>74</v>
      </c>
      <c r="P547" t="s">
        <v>74</v>
      </c>
      <c r="Q547" t="s">
        <v>74</v>
      </c>
      <c r="R547" t="s">
        <v>74</v>
      </c>
      <c r="S547" t="s">
        <v>74</v>
      </c>
      <c r="T547" t="s">
        <v>10867</v>
      </c>
      <c r="U547" t="s">
        <v>10868</v>
      </c>
      <c r="V547" t="s">
        <v>10869</v>
      </c>
      <c r="W547" t="s">
        <v>10870</v>
      </c>
      <c r="X547" t="s">
        <v>10871</v>
      </c>
      <c r="Y547" t="s">
        <v>10872</v>
      </c>
      <c r="Z547" t="s">
        <v>10873</v>
      </c>
      <c r="AA547" t="s">
        <v>10874</v>
      </c>
      <c r="AB547" t="s">
        <v>10875</v>
      </c>
      <c r="AC547" t="s">
        <v>74</v>
      </c>
      <c r="AD547" t="s">
        <v>74</v>
      </c>
      <c r="AE547" t="s">
        <v>74</v>
      </c>
      <c r="AF547" t="s">
        <v>74</v>
      </c>
      <c r="AG547">
        <v>24</v>
      </c>
      <c r="AH547">
        <v>0</v>
      </c>
      <c r="AI547">
        <v>0</v>
      </c>
      <c r="AJ547">
        <v>1</v>
      </c>
      <c r="AK547">
        <v>1</v>
      </c>
      <c r="AL547" t="s">
        <v>125</v>
      </c>
      <c r="AM547" t="s">
        <v>126</v>
      </c>
      <c r="AN547" t="s">
        <v>127</v>
      </c>
      <c r="AO547" t="s">
        <v>74</v>
      </c>
      <c r="AP547" t="s">
        <v>5332</v>
      </c>
      <c r="AQ547" t="s">
        <v>74</v>
      </c>
      <c r="AR547" t="s">
        <v>5320</v>
      </c>
      <c r="AS547" t="s">
        <v>5333</v>
      </c>
      <c r="AT547" t="s">
        <v>8042</v>
      </c>
      <c r="AU547">
        <v>2023</v>
      </c>
      <c r="AV547">
        <v>13</v>
      </c>
      <c r="AW547">
        <v>3</v>
      </c>
      <c r="AX547" t="s">
        <v>74</v>
      </c>
      <c r="AY547" t="s">
        <v>74</v>
      </c>
      <c r="AZ547" t="s">
        <v>74</v>
      </c>
      <c r="BA547" t="s">
        <v>74</v>
      </c>
      <c r="BB547" t="s">
        <v>74</v>
      </c>
      <c r="BC547" t="s">
        <v>74</v>
      </c>
      <c r="BD547">
        <v>85</v>
      </c>
      <c r="BE547" t="s">
        <v>10876</v>
      </c>
      <c r="BF547" t="str">
        <f>HYPERLINK("http://dx.doi.org/10.3390/geosciences13030085","http://dx.doi.org/10.3390/geosciences13030085")</f>
        <v>http://dx.doi.org/10.3390/geosciences13030085</v>
      </c>
      <c r="BG547" t="s">
        <v>74</v>
      </c>
      <c r="BH547" t="s">
        <v>74</v>
      </c>
      <c r="BI547">
        <v>7</v>
      </c>
      <c r="BJ547" t="s">
        <v>261</v>
      </c>
      <c r="BK547" t="s">
        <v>160</v>
      </c>
      <c r="BL547" t="s">
        <v>262</v>
      </c>
      <c r="BM547" t="s">
        <v>10877</v>
      </c>
      <c r="BN547" t="s">
        <v>74</v>
      </c>
      <c r="BO547" t="s">
        <v>7702</v>
      </c>
      <c r="BP547" t="s">
        <v>74</v>
      </c>
      <c r="BQ547" t="s">
        <v>74</v>
      </c>
      <c r="BR547" t="s">
        <v>106</v>
      </c>
      <c r="BS547" t="s">
        <v>10878</v>
      </c>
      <c r="BT547" t="str">
        <f>HYPERLINK("https%3A%2F%2Fwww.webofscience.com%2Fwos%2Fwoscc%2Ffull-record%2FWOS:000955166200001","View Full Record in Web of Science")</f>
        <v>View Full Record in Web of Science</v>
      </c>
    </row>
    <row r="548" spans="1:72" x14ac:dyDescent="0.15">
      <c r="A548" t="s">
        <v>72</v>
      </c>
      <c r="B548" t="s">
        <v>10879</v>
      </c>
      <c r="C548" t="s">
        <v>74</v>
      </c>
      <c r="D548" t="s">
        <v>74</v>
      </c>
      <c r="E548" t="s">
        <v>74</v>
      </c>
      <c r="F548" t="s">
        <v>10880</v>
      </c>
      <c r="G548" t="s">
        <v>74</v>
      </c>
      <c r="H548" t="s">
        <v>74</v>
      </c>
      <c r="I548" t="s">
        <v>10881</v>
      </c>
      <c r="J548" t="s">
        <v>10882</v>
      </c>
      <c r="K548" t="s">
        <v>74</v>
      </c>
      <c r="L548" t="s">
        <v>74</v>
      </c>
      <c r="M548" t="s">
        <v>78</v>
      </c>
      <c r="N548" t="s">
        <v>112</v>
      </c>
      <c r="O548" t="s">
        <v>74</v>
      </c>
      <c r="P548" t="s">
        <v>74</v>
      </c>
      <c r="Q548" t="s">
        <v>74</v>
      </c>
      <c r="R548" t="s">
        <v>74</v>
      </c>
      <c r="S548" t="s">
        <v>74</v>
      </c>
      <c r="T548" t="s">
        <v>10883</v>
      </c>
      <c r="U548" t="s">
        <v>10884</v>
      </c>
      <c r="V548" t="s">
        <v>10885</v>
      </c>
      <c r="W548" t="s">
        <v>10886</v>
      </c>
      <c r="X548" t="s">
        <v>10887</v>
      </c>
      <c r="Y548" t="s">
        <v>10888</v>
      </c>
      <c r="Z548" t="s">
        <v>10889</v>
      </c>
      <c r="AA548" t="s">
        <v>10890</v>
      </c>
      <c r="AB548" t="s">
        <v>10891</v>
      </c>
      <c r="AC548" t="s">
        <v>74</v>
      </c>
      <c r="AD548" t="s">
        <v>74</v>
      </c>
      <c r="AE548" t="s">
        <v>74</v>
      </c>
      <c r="AF548" t="s">
        <v>74</v>
      </c>
      <c r="AG548">
        <v>58</v>
      </c>
      <c r="AH548">
        <v>3</v>
      </c>
      <c r="AI548">
        <v>3</v>
      </c>
      <c r="AJ548">
        <v>2</v>
      </c>
      <c r="AK548">
        <v>10</v>
      </c>
      <c r="AL548" t="s">
        <v>125</v>
      </c>
      <c r="AM548" t="s">
        <v>126</v>
      </c>
      <c r="AN548" t="s">
        <v>127</v>
      </c>
      <c r="AO548" t="s">
        <v>74</v>
      </c>
      <c r="AP548" t="s">
        <v>10892</v>
      </c>
      <c r="AQ548" t="s">
        <v>74</v>
      </c>
      <c r="AR548" t="s">
        <v>10882</v>
      </c>
      <c r="AS548" t="s">
        <v>10893</v>
      </c>
      <c r="AT548" t="s">
        <v>8042</v>
      </c>
      <c r="AU548">
        <v>2023</v>
      </c>
      <c r="AV548">
        <v>13</v>
      </c>
      <c r="AW548">
        <v>3</v>
      </c>
      <c r="AX548" t="s">
        <v>74</v>
      </c>
      <c r="AY548" t="s">
        <v>74</v>
      </c>
      <c r="AZ548" t="s">
        <v>74</v>
      </c>
      <c r="BA548" t="s">
        <v>74</v>
      </c>
      <c r="BB548" t="s">
        <v>74</v>
      </c>
      <c r="BC548" t="s">
        <v>74</v>
      </c>
      <c r="BD548">
        <v>378</v>
      </c>
      <c r="BE548" t="s">
        <v>10894</v>
      </c>
      <c r="BF548" t="str">
        <f>HYPERLINK("http://dx.doi.org/10.3390/bios13030378","http://dx.doi.org/10.3390/bios13030378")</f>
        <v>http://dx.doi.org/10.3390/bios13030378</v>
      </c>
      <c r="BG548" t="s">
        <v>74</v>
      </c>
      <c r="BH548" t="s">
        <v>74</v>
      </c>
      <c r="BI548">
        <v>14</v>
      </c>
      <c r="BJ548" t="s">
        <v>10895</v>
      </c>
      <c r="BK548" t="s">
        <v>103</v>
      </c>
      <c r="BL548" t="s">
        <v>10896</v>
      </c>
      <c r="BM548" t="s">
        <v>10897</v>
      </c>
      <c r="BN548">
        <v>36979590</v>
      </c>
      <c r="BO548" t="s">
        <v>614</v>
      </c>
      <c r="BP548" t="s">
        <v>74</v>
      </c>
      <c r="BQ548" t="s">
        <v>74</v>
      </c>
      <c r="BR548" t="s">
        <v>106</v>
      </c>
      <c r="BS548" t="s">
        <v>10898</v>
      </c>
      <c r="BT548" t="str">
        <f>HYPERLINK("https%3A%2F%2Fwww.webofscience.com%2Fwos%2Fwoscc%2Ffull-record%2FWOS:000954213900001","View Full Record in Web of Science")</f>
        <v>View Full Record in Web of Science</v>
      </c>
    </row>
    <row r="549" spans="1:72" x14ac:dyDescent="0.15">
      <c r="A549" t="s">
        <v>72</v>
      </c>
      <c r="B549" t="s">
        <v>10899</v>
      </c>
      <c r="C549" t="s">
        <v>74</v>
      </c>
      <c r="D549" t="s">
        <v>74</v>
      </c>
      <c r="E549" t="s">
        <v>74</v>
      </c>
      <c r="F549" t="s">
        <v>10900</v>
      </c>
      <c r="G549" t="s">
        <v>74</v>
      </c>
      <c r="H549" t="s">
        <v>74</v>
      </c>
      <c r="I549" t="s">
        <v>10901</v>
      </c>
      <c r="J549" t="s">
        <v>10902</v>
      </c>
      <c r="K549" t="s">
        <v>74</v>
      </c>
      <c r="L549" t="s">
        <v>74</v>
      </c>
      <c r="M549" t="s">
        <v>10903</v>
      </c>
      <c r="N549" t="s">
        <v>112</v>
      </c>
      <c r="O549" t="s">
        <v>74</v>
      </c>
      <c r="P549" t="s">
        <v>74</v>
      </c>
      <c r="Q549" t="s">
        <v>74</v>
      </c>
      <c r="R549" t="s">
        <v>74</v>
      </c>
      <c r="S549" t="s">
        <v>74</v>
      </c>
      <c r="T549" t="s">
        <v>10904</v>
      </c>
      <c r="U549" t="s">
        <v>74</v>
      </c>
      <c r="V549" t="s">
        <v>10905</v>
      </c>
      <c r="W549" t="s">
        <v>10906</v>
      </c>
      <c r="X549" t="s">
        <v>10907</v>
      </c>
      <c r="Y549" t="s">
        <v>10908</v>
      </c>
      <c r="Z549" t="s">
        <v>10909</v>
      </c>
      <c r="AA549" t="s">
        <v>74</v>
      </c>
      <c r="AB549" t="s">
        <v>74</v>
      </c>
      <c r="AC549" t="s">
        <v>74</v>
      </c>
      <c r="AD549" t="s">
        <v>74</v>
      </c>
      <c r="AE549" t="s">
        <v>74</v>
      </c>
      <c r="AF549" t="s">
        <v>74</v>
      </c>
      <c r="AG549">
        <v>24</v>
      </c>
      <c r="AH549">
        <v>0</v>
      </c>
      <c r="AI549">
        <v>0</v>
      </c>
      <c r="AJ549">
        <v>8</v>
      </c>
      <c r="AK549">
        <v>11</v>
      </c>
      <c r="AL549" t="s">
        <v>500</v>
      </c>
      <c r="AM549" t="s">
        <v>501</v>
      </c>
      <c r="AN549" t="s">
        <v>502</v>
      </c>
      <c r="AO549" t="s">
        <v>10910</v>
      </c>
      <c r="AP549" t="s">
        <v>74</v>
      </c>
      <c r="AQ549" t="s">
        <v>74</v>
      </c>
      <c r="AR549" t="s">
        <v>10911</v>
      </c>
      <c r="AS549" t="s">
        <v>10912</v>
      </c>
      <c r="AT549" t="s">
        <v>8042</v>
      </c>
      <c r="AU549">
        <v>2023</v>
      </c>
      <c r="AV549">
        <v>66</v>
      </c>
      <c r="AW549">
        <v>3</v>
      </c>
      <c r="AX549" t="s">
        <v>74</v>
      </c>
      <c r="AY549" t="s">
        <v>74</v>
      </c>
      <c r="AZ549" t="s">
        <v>74</v>
      </c>
      <c r="BA549" t="s">
        <v>74</v>
      </c>
      <c r="BB549">
        <v>1015</v>
      </c>
      <c r="BC549">
        <v>1024</v>
      </c>
      <c r="BD549" t="s">
        <v>74</v>
      </c>
      <c r="BE549" t="s">
        <v>10913</v>
      </c>
      <c r="BF549" t="str">
        <f>HYPERLINK("http://dx.doi.org/10.6038/cjg2022P0723","http://dx.doi.org/10.6038/cjg2022P0723")</f>
        <v>http://dx.doi.org/10.6038/cjg2022P0723</v>
      </c>
      <c r="BG549" t="s">
        <v>74</v>
      </c>
      <c r="BH549" t="s">
        <v>74</v>
      </c>
      <c r="BI549">
        <v>10</v>
      </c>
      <c r="BJ549" t="s">
        <v>313</v>
      </c>
      <c r="BK549" t="s">
        <v>103</v>
      </c>
      <c r="BL549" t="s">
        <v>313</v>
      </c>
      <c r="BM549" t="s">
        <v>10914</v>
      </c>
      <c r="BN549" t="s">
        <v>74</v>
      </c>
      <c r="BO549" t="s">
        <v>74</v>
      </c>
      <c r="BP549" t="s">
        <v>74</v>
      </c>
      <c r="BQ549" t="s">
        <v>74</v>
      </c>
      <c r="BR549" t="s">
        <v>106</v>
      </c>
      <c r="BS549" t="s">
        <v>10915</v>
      </c>
      <c r="BT549" t="str">
        <f>HYPERLINK("https%3A%2F%2Fwww.webofscience.com%2Fwos%2Fwoscc%2Ffull-record%2FWOS:000945003800012","View Full Record in Web of Science")</f>
        <v>View Full Record in Web of Science</v>
      </c>
    </row>
    <row r="550" spans="1:72" x14ac:dyDescent="0.15">
      <c r="A550" t="s">
        <v>72</v>
      </c>
      <c r="B550" t="s">
        <v>10916</v>
      </c>
      <c r="C550" t="s">
        <v>74</v>
      </c>
      <c r="D550" t="s">
        <v>74</v>
      </c>
      <c r="E550" t="s">
        <v>74</v>
      </c>
      <c r="F550" t="s">
        <v>10917</v>
      </c>
      <c r="G550" t="s">
        <v>74</v>
      </c>
      <c r="H550" t="s">
        <v>74</v>
      </c>
      <c r="I550" t="s">
        <v>10918</v>
      </c>
      <c r="J550" t="s">
        <v>4757</v>
      </c>
      <c r="K550" t="s">
        <v>74</v>
      </c>
      <c r="L550" t="s">
        <v>74</v>
      </c>
      <c r="M550" t="s">
        <v>78</v>
      </c>
      <c r="N550" t="s">
        <v>112</v>
      </c>
      <c r="O550" t="s">
        <v>74</v>
      </c>
      <c r="P550" t="s">
        <v>74</v>
      </c>
      <c r="Q550" t="s">
        <v>74</v>
      </c>
      <c r="R550" t="s">
        <v>74</v>
      </c>
      <c r="S550" t="s">
        <v>74</v>
      </c>
      <c r="T550" t="s">
        <v>74</v>
      </c>
      <c r="U550" t="s">
        <v>10919</v>
      </c>
      <c r="V550" t="s">
        <v>10920</v>
      </c>
      <c r="W550" t="s">
        <v>10921</v>
      </c>
      <c r="X550" t="s">
        <v>10922</v>
      </c>
      <c r="Y550" t="s">
        <v>10923</v>
      </c>
      <c r="Z550" t="s">
        <v>10924</v>
      </c>
      <c r="AA550" t="s">
        <v>10925</v>
      </c>
      <c r="AB550" t="s">
        <v>10926</v>
      </c>
      <c r="AC550" t="s">
        <v>10927</v>
      </c>
      <c r="AD550" t="s">
        <v>10928</v>
      </c>
      <c r="AE550" t="s">
        <v>10929</v>
      </c>
      <c r="AF550" t="s">
        <v>74</v>
      </c>
      <c r="AG550">
        <v>93</v>
      </c>
      <c r="AH550">
        <v>2</v>
      </c>
      <c r="AI550">
        <v>2</v>
      </c>
      <c r="AJ550">
        <v>4</v>
      </c>
      <c r="AK550">
        <v>10</v>
      </c>
      <c r="AL550" t="s">
        <v>305</v>
      </c>
      <c r="AM550" t="s">
        <v>306</v>
      </c>
      <c r="AN550" t="s">
        <v>307</v>
      </c>
      <c r="AO550" t="s">
        <v>4769</v>
      </c>
      <c r="AP550" t="s">
        <v>4770</v>
      </c>
      <c r="AQ550" t="s">
        <v>74</v>
      </c>
      <c r="AR550" t="s">
        <v>4771</v>
      </c>
      <c r="AS550" t="s">
        <v>4772</v>
      </c>
      <c r="AT550" t="s">
        <v>8042</v>
      </c>
      <c r="AU550">
        <v>2023</v>
      </c>
      <c r="AV550">
        <v>128</v>
      </c>
      <c r="AW550">
        <v>3</v>
      </c>
      <c r="AX550" t="s">
        <v>74</v>
      </c>
      <c r="AY550" t="s">
        <v>74</v>
      </c>
      <c r="AZ550" t="s">
        <v>74</v>
      </c>
      <c r="BA550" t="s">
        <v>74</v>
      </c>
      <c r="BB550" t="s">
        <v>74</v>
      </c>
      <c r="BC550" t="s">
        <v>74</v>
      </c>
      <c r="BD550" t="s">
        <v>10930</v>
      </c>
      <c r="BE550" t="s">
        <v>10931</v>
      </c>
      <c r="BF550" t="str">
        <f>HYPERLINK("http://dx.doi.org/10.1029/2022JC019337","http://dx.doi.org/10.1029/2022JC019337")</f>
        <v>http://dx.doi.org/10.1029/2022JC019337</v>
      </c>
      <c r="BG550" t="s">
        <v>74</v>
      </c>
      <c r="BH550" t="s">
        <v>74</v>
      </c>
      <c r="BI550">
        <v>19</v>
      </c>
      <c r="BJ550" t="s">
        <v>863</v>
      </c>
      <c r="BK550" t="s">
        <v>103</v>
      </c>
      <c r="BL550" t="s">
        <v>863</v>
      </c>
      <c r="BM550" t="s">
        <v>10932</v>
      </c>
      <c r="BN550" t="s">
        <v>74</v>
      </c>
      <c r="BO550" t="s">
        <v>430</v>
      </c>
      <c r="BP550" t="s">
        <v>74</v>
      </c>
      <c r="BQ550" t="s">
        <v>74</v>
      </c>
      <c r="BR550" t="s">
        <v>106</v>
      </c>
      <c r="BS550" t="s">
        <v>10933</v>
      </c>
      <c r="BT550" t="str">
        <f>HYPERLINK("https%3A%2F%2Fwww.webofscience.com%2Fwos%2Fwoscc%2Ffull-record%2FWOS:000953740000001","View Full Record in Web of Science")</f>
        <v>View Full Record in Web of Science</v>
      </c>
    </row>
    <row r="551" spans="1:72" x14ac:dyDescent="0.15">
      <c r="A551" t="s">
        <v>72</v>
      </c>
      <c r="B551" t="s">
        <v>10934</v>
      </c>
      <c r="C551" t="s">
        <v>74</v>
      </c>
      <c r="D551" t="s">
        <v>74</v>
      </c>
      <c r="E551" t="s">
        <v>74</v>
      </c>
      <c r="F551" t="s">
        <v>10935</v>
      </c>
      <c r="G551" t="s">
        <v>74</v>
      </c>
      <c r="H551" t="s">
        <v>74</v>
      </c>
      <c r="I551" t="s">
        <v>10936</v>
      </c>
      <c r="J551" t="s">
        <v>10937</v>
      </c>
      <c r="K551" t="s">
        <v>74</v>
      </c>
      <c r="L551" t="s">
        <v>74</v>
      </c>
      <c r="M551" t="s">
        <v>78</v>
      </c>
      <c r="N551" t="s">
        <v>112</v>
      </c>
      <c r="O551" t="s">
        <v>74</v>
      </c>
      <c r="P551" t="s">
        <v>74</v>
      </c>
      <c r="Q551" t="s">
        <v>74</v>
      </c>
      <c r="R551" t="s">
        <v>74</v>
      </c>
      <c r="S551" t="s">
        <v>74</v>
      </c>
      <c r="T551" t="s">
        <v>10938</v>
      </c>
      <c r="U551" t="s">
        <v>10939</v>
      </c>
      <c r="V551" t="s">
        <v>10940</v>
      </c>
      <c r="W551" t="s">
        <v>10941</v>
      </c>
      <c r="X551" t="s">
        <v>10942</v>
      </c>
      <c r="Y551" t="s">
        <v>10943</v>
      </c>
      <c r="Z551" t="s">
        <v>10944</v>
      </c>
      <c r="AA551" t="s">
        <v>10945</v>
      </c>
      <c r="AB551" t="s">
        <v>10946</v>
      </c>
      <c r="AC551" t="s">
        <v>74</v>
      </c>
      <c r="AD551" t="s">
        <v>74</v>
      </c>
      <c r="AE551" t="s">
        <v>74</v>
      </c>
      <c r="AF551" t="s">
        <v>74</v>
      </c>
      <c r="AG551">
        <v>47</v>
      </c>
      <c r="AH551">
        <v>1</v>
      </c>
      <c r="AI551">
        <v>1</v>
      </c>
      <c r="AJ551">
        <v>0</v>
      </c>
      <c r="AK551">
        <v>5</v>
      </c>
      <c r="AL551" t="s">
        <v>125</v>
      </c>
      <c r="AM551" t="s">
        <v>126</v>
      </c>
      <c r="AN551" t="s">
        <v>127</v>
      </c>
      <c r="AO551" t="s">
        <v>74</v>
      </c>
      <c r="AP551" t="s">
        <v>10947</v>
      </c>
      <c r="AQ551" t="s">
        <v>74</v>
      </c>
      <c r="AR551" t="s">
        <v>10948</v>
      </c>
      <c r="AS551" t="s">
        <v>10949</v>
      </c>
      <c r="AT551" t="s">
        <v>8042</v>
      </c>
      <c r="AU551">
        <v>2023</v>
      </c>
      <c r="AV551">
        <v>14</v>
      </c>
      <c r="AW551">
        <v>1</v>
      </c>
      <c r="AX551" t="s">
        <v>74</v>
      </c>
      <c r="AY551" t="s">
        <v>74</v>
      </c>
      <c r="AZ551" t="s">
        <v>74</v>
      </c>
      <c r="BA551" t="s">
        <v>74</v>
      </c>
      <c r="BB551">
        <v>91</v>
      </c>
      <c r="BC551">
        <v>103</v>
      </c>
      <c r="BD551" t="s">
        <v>74</v>
      </c>
      <c r="BE551" t="s">
        <v>10950</v>
      </c>
      <c r="BF551" t="str">
        <f>HYPERLINK("http://dx.doi.org/10.3390/microbiolres14010009","http://dx.doi.org/10.3390/microbiolres14010009")</f>
        <v>http://dx.doi.org/10.3390/microbiolres14010009</v>
      </c>
      <c r="BG551" t="s">
        <v>74</v>
      </c>
      <c r="BH551" t="s">
        <v>74</v>
      </c>
      <c r="BI551">
        <v>13</v>
      </c>
      <c r="BJ551" t="s">
        <v>1387</v>
      </c>
      <c r="BK551" t="s">
        <v>160</v>
      </c>
      <c r="BL551" t="s">
        <v>1387</v>
      </c>
      <c r="BM551" t="s">
        <v>10951</v>
      </c>
      <c r="BN551" t="s">
        <v>74</v>
      </c>
      <c r="BO551" t="s">
        <v>359</v>
      </c>
      <c r="BP551" t="s">
        <v>74</v>
      </c>
      <c r="BQ551" t="s">
        <v>74</v>
      </c>
      <c r="BR551" t="s">
        <v>106</v>
      </c>
      <c r="BS551" t="s">
        <v>10952</v>
      </c>
      <c r="BT551" t="str">
        <f>HYPERLINK("https%3A%2F%2Fwww.webofscience.com%2Fwos%2Fwoscc%2Ffull-record%2FWOS:000957602600001","View Full Record in Web of Science")</f>
        <v>View Full Record in Web of Science</v>
      </c>
    </row>
    <row r="552" spans="1:72" x14ac:dyDescent="0.15">
      <c r="A552" t="s">
        <v>72</v>
      </c>
      <c r="B552" t="s">
        <v>10953</v>
      </c>
      <c r="C552" t="s">
        <v>74</v>
      </c>
      <c r="D552" t="s">
        <v>74</v>
      </c>
      <c r="E552" t="s">
        <v>74</v>
      </c>
      <c r="F552" t="s">
        <v>10954</v>
      </c>
      <c r="G552" t="s">
        <v>74</v>
      </c>
      <c r="H552" t="s">
        <v>74</v>
      </c>
      <c r="I552" t="s">
        <v>10955</v>
      </c>
      <c r="J552" t="s">
        <v>981</v>
      </c>
      <c r="K552" t="s">
        <v>74</v>
      </c>
      <c r="L552" t="s">
        <v>74</v>
      </c>
      <c r="M552" t="s">
        <v>78</v>
      </c>
      <c r="N552" t="s">
        <v>112</v>
      </c>
      <c r="O552" t="s">
        <v>74</v>
      </c>
      <c r="P552" t="s">
        <v>74</v>
      </c>
      <c r="Q552" t="s">
        <v>74</v>
      </c>
      <c r="R552" t="s">
        <v>74</v>
      </c>
      <c r="S552" t="s">
        <v>74</v>
      </c>
      <c r="T552" t="s">
        <v>10956</v>
      </c>
      <c r="U552" t="s">
        <v>10957</v>
      </c>
      <c r="V552" t="s">
        <v>10958</v>
      </c>
      <c r="W552" t="s">
        <v>10959</v>
      </c>
      <c r="X552" t="s">
        <v>832</v>
      </c>
      <c r="Y552" t="s">
        <v>10960</v>
      </c>
      <c r="Z552" t="s">
        <v>10961</v>
      </c>
      <c r="AA552" t="s">
        <v>10962</v>
      </c>
      <c r="AB552" t="s">
        <v>10963</v>
      </c>
      <c r="AC552" t="s">
        <v>74</v>
      </c>
      <c r="AD552" t="s">
        <v>74</v>
      </c>
      <c r="AE552" t="s">
        <v>74</v>
      </c>
      <c r="AF552" t="s">
        <v>74</v>
      </c>
      <c r="AG552">
        <v>54</v>
      </c>
      <c r="AH552">
        <v>1</v>
      </c>
      <c r="AI552">
        <v>1</v>
      </c>
      <c r="AJ552">
        <v>9</v>
      </c>
      <c r="AK552">
        <v>27</v>
      </c>
      <c r="AL552" t="s">
        <v>125</v>
      </c>
      <c r="AM552" t="s">
        <v>126</v>
      </c>
      <c r="AN552" t="s">
        <v>127</v>
      </c>
      <c r="AO552" t="s">
        <v>74</v>
      </c>
      <c r="AP552" t="s">
        <v>992</v>
      </c>
      <c r="AQ552" t="s">
        <v>74</v>
      </c>
      <c r="AR552" t="s">
        <v>993</v>
      </c>
      <c r="AS552" t="s">
        <v>994</v>
      </c>
      <c r="AT552" t="s">
        <v>8042</v>
      </c>
      <c r="AU552">
        <v>2023</v>
      </c>
      <c r="AV552">
        <v>15</v>
      </c>
      <c r="AW552">
        <v>6</v>
      </c>
      <c r="AX552" t="s">
        <v>74</v>
      </c>
      <c r="AY552" t="s">
        <v>74</v>
      </c>
      <c r="AZ552" t="s">
        <v>74</v>
      </c>
      <c r="BA552" t="s">
        <v>74</v>
      </c>
      <c r="BB552" t="s">
        <v>74</v>
      </c>
      <c r="BC552" t="s">
        <v>74</v>
      </c>
      <c r="BD552">
        <v>1677</v>
      </c>
      <c r="BE552" t="s">
        <v>10964</v>
      </c>
      <c r="BF552" t="str">
        <f>HYPERLINK("http://dx.doi.org/10.3390/rs15061677","http://dx.doi.org/10.3390/rs15061677")</f>
        <v>http://dx.doi.org/10.3390/rs15061677</v>
      </c>
      <c r="BG552" t="s">
        <v>74</v>
      </c>
      <c r="BH552" t="s">
        <v>74</v>
      </c>
      <c r="BI552">
        <v>19</v>
      </c>
      <c r="BJ552" t="s">
        <v>996</v>
      </c>
      <c r="BK552" t="s">
        <v>103</v>
      </c>
      <c r="BL552" t="s">
        <v>997</v>
      </c>
      <c r="BM552" t="s">
        <v>10965</v>
      </c>
      <c r="BN552" t="s">
        <v>74</v>
      </c>
      <c r="BO552" t="s">
        <v>359</v>
      </c>
      <c r="BP552" t="s">
        <v>74</v>
      </c>
      <c r="BQ552" t="s">
        <v>74</v>
      </c>
      <c r="BR552" t="s">
        <v>106</v>
      </c>
      <c r="BS552" t="s">
        <v>10966</v>
      </c>
      <c r="BT552" t="str">
        <f>HYPERLINK("https%3A%2F%2Fwww.webofscience.com%2Fwos%2Fwoscc%2Ffull-record%2FWOS:000958238300001","View Full Record in Web of Science")</f>
        <v>View Full Record in Web of Science</v>
      </c>
    </row>
    <row r="553" spans="1:72" x14ac:dyDescent="0.15">
      <c r="A553" t="s">
        <v>72</v>
      </c>
      <c r="B553" t="s">
        <v>10967</v>
      </c>
      <c r="C553" t="s">
        <v>74</v>
      </c>
      <c r="D553" t="s">
        <v>74</v>
      </c>
      <c r="E553" t="s">
        <v>74</v>
      </c>
      <c r="F553" t="s">
        <v>10968</v>
      </c>
      <c r="G553" t="s">
        <v>74</v>
      </c>
      <c r="H553" t="s">
        <v>74</v>
      </c>
      <c r="I553" t="s">
        <v>10969</v>
      </c>
      <c r="J553" t="s">
        <v>933</v>
      </c>
      <c r="K553" t="s">
        <v>74</v>
      </c>
      <c r="L553" t="s">
        <v>74</v>
      </c>
      <c r="M553" t="s">
        <v>78</v>
      </c>
      <c r="N553" t="s">
        <v>112</v>
      </c>
      <c r="O553" t="s">
        <v>74</v>
      </c>
      <c r="P553" t="s">
        <v>74</v>
      </c>
      <c r="Q553" t="s">
        <v>74</v>
      </c>
      <c r="R553" t="s">
        <v>74</v>
      </c>
      <c r="S553" t="s">
        <v>74</v>
      </c>
      <c r="T553" t="s">
        <v>10970</v>
      </c>
      <c r="U553" t="s">
        <v>10971</v>
      </c>
      <c r="V553" t="s">
        <v>10972</v>
      </c>
      <c r="W553" t="s">
        <v>10973</v>
      </c>
      <c r="X553" t="s">
        <v>10974</v>
      </c>
      <c r="Y553" t="s">
        <v>493</v>
      </c>
      <c r="Z553" t="s">
        <v>494</v>
      </c>
      <c r="AA553" t="s">
        <v>10975</v>
      </c>
      <c r="AB553" t="s">
        <v>74</v>
      </c>
      <c r="AC553" t="s">
        <v>10976</v>
      </c>
      <c r="AD553" t="s">
        <v>5790</v>
      </c>
      <c r="AE553" t="s">
        <v>10977</v>
      </c>
      <c r="AF553" t="s">
        <v>74</v>
      </c>
      <c r="AG553">
        <v>47</v>
      </c>
      <c r="AH553">
        <v>4</v>
      </c>
      <c r="AI553">
        <v>4</v>
      </c>
      <c r="AJ553">
        <v>1</v>
      </c>
      <c r="AK553">
        <v>2</v>
      </c>
      <c r="AL553" t="s">
        <v>125</v>
      </c>
      <c r="AM553" t="s">
        <v>126</v>
      </c>
      <c r="AN553" t="s">
        <v>127</v>
      </c>
      <c r="AO553" t="s">
        <v>74</v>
      </c>
      <c r="AP553" t="s">
        <v>946</v>
      </c>
      <c r="AQ553" t="s">
        <v>74</v>
      </c>
      <c r="AR553" t="s">
        <v>947</v>
      </c>
      <c r="AS553" t="s">
        <v>948</v>
      </c>
      <c r="AT553" t="s">
        <v>8042</v>
      </c>
      <c r="AU553">
        <v>2023</v>
      </c>
      <c r="AV553">
        <v>14</v>
      </c>
      <c r="AW553">
        <v>3</v>
      </c>
      <c r="AX553" t="s">
        <v>74</v>
      </c>
      <c r="AY553" t="s">
        <v>74</v>
      </c>
      <c r="AZ553" t="s">
        <v>74</v>
      </c>
      <c r="BA553" t="s">
        <v>74</v>
      </c>
      <c r="BB553" t="s">
        <v>74</v>
      </c>
      <c r="BC553" t="s">
        <v>74</v>
      </c>
      <c r="BD553">
        <v>464</v>
      </c>
      <c r="BE553" t="s">
        <v>10978</v>
      </c>
      <c r="BF553" t="str">
        <f>HYPERLINK("http://dx.doi.org/10.3390/atmos14030464","http://dx.doi.org/10.3390/atmos14030464")</f>
        <v>http://dx.doi.org/10.3390/atmos14030464</v>
      </c>
      <c r="BG553" t="s">
        <v>74</v>
      </c>
      <c r="BH553" t="s">
        <v>74</v>
      </c>
      <c r="BI553">
        <v>18</v>
      </c>
      <c r="BJ553" t="s">
        <v>356</v>
      </c>
      <c r="BK553" t="s">
        <v>103</v>
      </c>
      <c r="BL553" t="s">
        <v>357</v>
      </c>
      <c r="BM553" t="s">
        <v>10979</v>
      </c>
      <c r="BN553" t="s">
        <v>74</v>
      </c>
      <c r="BO553" t="s">
        <v>359</v>
      </c>
      <c r="BP553" t="s">
        <v>74</v>
      </c>
      <c r="BQ553" t="s">
        <v>74</v>
      </c>
      <c r="BR553" t="s">
        <v>106</v>
      </c>
      <c r="BS553" t="s">
        <v>10980</v>
      </c>
      <c r="BT553" t="str">
        <f>HYPERLINK("https%3A%2F%2Fwww.webofscience.com%2Fwos%2Fwoscc%2Ffull-record%2FWOS:000954193300001","View Full Record in Web of Science")</f>
        <v>View Full Record in Web of Science</v>
      </c>
    </row>
    <row r="554" spans="1:72" x14ac:dyDescent="0.15">
      <c r="A554" t="s">
        <v>72</v>
      </c>
      <c r="B554" t="s">
        <v>10981</v>
      </c>
      <c r="C554" t="s">
        <v>74</v>
      </c>
      <c r="D554" t="s">
        <v>74</v>
      </c>
      <c r="E554" t="s">
        <v>74</v>
      </c>
      <c r="F554" t="s">
        <v>10982</v>
      </c>
      <c r="G554" t="s">
        <v>74</v>
      </c>
      <c r="H554" t="s">
        <v>74</v>
      </c>
      <c r="I554" t="s">
        <v>10983</v>
      </c>
      <c r="J554" t="s">
        <v>5320</v>
      </c>
      <c r="K554" t="s">
        <v>74</v>
      </c>
      <c r="L554" t="s">
        <v>74</v>
      </c>
      <c r="M554" t="s">
        <v>78</v>
      </c>
      <c r="N554" t="s">
        <v>112</v>
      </c>
      <c r="O554" t="s">
        <v>74</v>
      </c>
      <c r="P554" t="s">
        <v>74</v>
      </c>
      <c r="Q554" t="s">
        <v>74</v>
      </c>
      <c r="R554" t="s">
        <v>74</v>
      </c>
      <c r="S554" t="s">
        <v>74</v>
      </c>
      <c r="T554" t="s">
        <v>10984</v>
      </c>
      <c r="U554" t="s">
        <v>10985</v>
      </c>
      <c r="V554" t="s">
        <v>10986</v>
      </c>
      <c r="W554" t="s">
        <v>10987</v>
      </c>
      <c r="X554" t="s">
        <v>10988</v>
      </c>
      <c r="Y554" t="s">
        <v>10989</v>
      </c>
      <c r="Z554" t="s">
        <v>10990</v>
      </c>
      <c r="AA554" t="s">
        <v>10991</v>
      </c>
      <c r="AB554" t="s">
        <v>10992</v>
      </c>
      <c r="AC554" t="s">
        <v>74</v>
      </c>
      <c r="AD554" t="s">
        <v>74</v>
      </c>
      <c r="AE554" t="s">
        <v>74</v>
      </c>
      <c r="AF554" t="s">
        <v>74</v>
      </c>
      <c r="AG554">
        <v>117</v>
      </c>
      <c r="AH554">
        <v>0</v>
      </c>
      <c r="AI554">
        <v>0</v>
      </c>
      <c r="AJ554">
        <v>0</v>
      </c>
      <c r="AK554">
        <v>2</v>
      </c>
      <c r="AL554" t="s">
        <v>125</v>
      </c>
      <c r="AM554" t="s">
        <v>126</v>
      </c>
      <c r="AN554" t="s">
        <v>127</v>
      </c>
      <c r="AO554" t="s">
        <v>74</v>
      </c>
      <c r="AP554" t="s">
        <v>5332</v>
      </c>
      <c r="AQ554" t="s">
        <v>74</v>
      </c>
      <c r="AR554" t="s">
        <v>5320</v>
      </c>
      <c r="AS554" t="s">
        <v>5333</v>
      </c>
      <c r="AT554" t="s">
        <v>8042</v>
      </c>
      <c r="AU554">
        <v>2023</v>
      </c>
      <c r="AV554">
        <v>13</v>
      </c>
      <c r="AW554">
        <v>3</v>
      </c>
      <c r="AX554" t="s">
        <v>74</v>
      </c>
      <c r="AY554" t="s">
        <v>74</v>
      </c>
      <c r="AZ554" t="s">
        <v>74</v>
      </c>
      <c r="BA554" t="s">
        <v>74</v>
      </c>
      <c r="BB554" t="s">
        <v>74</v>
      </c>
      <c r="BC554" t="s">
        <v>74</v>
      </c>
      <c r="BD554">
        <v>91</v>
      </c>
      <c r="BE554" t="s">
        <v>10993</v>
      </c>
      <c r="BF554" t="str">
        <f>HYPERLINK("http://dx.doi.org/10.3390/geosciences13030091","http://dx.doi.org/10.3390/geosciences13030091")</f>
        <v>http://dx.doi.org/10.3390/geosciences13030091</v>
      </c>
      <c r="BG554" t="s">
        <v>74</v>
      </c>
      <c r="BH554" t="s">
        <v>74</v>
      </c>
      <c r="BI554">
        <v>25</v>
      </c>
      <c r="BJ554" t="s">
        <v>261</v>
      </c>
      <c r="BK554" t="s">
        <v>160</v>
      </c>
      <c r="BL554" t="s">
        <v>262</v>
      </c>
      <c r="BM554" t="s">
        <v>10994</v>
      </c>
      <c r="BN554" t="s">
        <v>74</v>
      </c>
      <c r="BO554" t="s">
        <v>2053</v>
      </c>
      <c r="BP554" t="s">
        <v>74</v>
      </c>
      <c r="BQ554" t="s">
        <v>74</v>
      </c>
      <c r="BR554" t="s">
        <v>106</v>
      </c>
      <c r="BS554" t="s">
        <v>10995</v>
      </c>
      <c r="BT554" t="str">
        <f>HYPERLINK("https%3A%2F%2Fwww.webofscience.com%2Fwos%2Fwoscc%2Ffull-record%2FWOS:000955988800001","View Full Record in Web of Science")</f>
        <v>View Full Record in Web of Science</v>
      </c>
    </row>
    <row r="555" spans="1:72" x14ac:dyDescent="0.15">
      <c r="A555" t="s">
        <v>72</v>
      </c>
      <c r="B555" t="s">
        <v>10996</v>
      </c>
      <c r="C555" t="s">
        <v>74</v>
      </c>
      <c r="D555" t="s">
        <v>74</v>
      </c>
      <c r="E555" t="s">
        <v>74</v>
      </c>
      <c r="F555" t="s">
        <v>10997</v>
      </c>
      <c r="G555" t="s">
        <v>74</v>
      </c>
      <c r="H555" t="s">
        <v>74</v>
      </c>
      <c r="I555" t="s">
        <v>10998</v>
      </c>
      <c r="J555" t="s">
        <v>5566</v>
      </c>
      <c r="K555" t="s">
        <v>74</v>
      </c>
      <c r="L555" t="s">
        <v>74</v>
      </c>
      <c r="M555" t="s">
        <v>78</v>
      </c>
      <c r="N555" t="s">
        <v>112</v>
      </c>
      <c r="O555" t="s">
        <v>74</v>
      </c>
      <c r="P555" t="s">
        <v>74</v>
      </c>
      <c r="Q555" t="s">
        <v>74</v>
      </c>
      <c r="R555" t="s">
        <v>74</v>
      </c>
      <c r="S555" t="s">
        <v>74</v>
      </c>
      <c r="T555" t="s">
        <v>10999</v>
      </c>
      <c r="U555" t="s">
        <v>11000</v>
      </c>
      <c r="V555" t="s">
        <v>11001</v>
      </c>
      <c r="W555" t="s">
        <v>11002</v>
      </c>
      <c r="X555" t="s">
        <v>11003</v>
      </c>
      <c r="Y555" t="s">
        <v>11004</v>
      </c>
      <c r="Z555" t="s">
        <v>11005</v>
      </c>
      <c r="AA555" t="s">
        <v>11006</v>
      </c>
      <c r="AB555" t="s">
        <v>11007</v>
      </c>
      <c r="AC555" t="s">
        <v>11008</v>
      </c>
      <c r="AD555" t="s">
        <v>11009</v>
      </c>
      <c r="AE555" t="s">
        <v>11010</v>
      </c>
      <c r="AF555" t="s">
        <v>74</v>
      </c>
      <c r="AG555">
        <v>91</v>
      </c>
      <c r="AH555">
        <v>1</v>
      </c>
      <c r="AI555">
        <v>1</v>
      </c>
      <c r="AJ555">
        <v>4</v>
      </c>
      <c r="AK555">
        <v>10</v>
      </c>
      <c r="AL555" t="s">
        <v>125</v>
      </c>
      <c r="AM555" t="s">
        <v>126</v>
      </c>
      <c r="AN555" t="s">
        <v>127</v>
      </c>
      <c r="AO555" t="s">
        <v>74</v>
      </c>
      <c r="AP555" t="s">
        <v>5578</v>
      </c>
      <c r="AQ555" t="s">
        <v>74</v>
      </c>
      <c r="AR555" t="s">
        <v>5579</v>
      </c>
      <c r="AS555" t="s">
        <v>5580</v>
      </c>
      <c r="AT555" t="s">
        <v>8042</v>
      </c>
      <c r="AU555">
        <v>2023</v>
      </c>
      <c r="AV555">
        <v>24</v>
      </c>
      <c r="AW555">
        <v>6</v>
      </c>
      <c r="AX555" t="s">
        <v>74</v>
      </c>
      <c r="AY555" t="s">
        <v>74</v>
      </c>
      <c r="AZ555" t="s">
        <v>74</v>
      </c>
      <c r="BA555" t="s">
        <v>74</v>
      </c>
      <c r="BB555" t="s">
        <v>74</v>
      </c>
      <c r="BC555" t="s">
        <v>74</v>
      </c>
      <c r="BD555">
        <v>5757</v>
      </c>
      <c r="BE555" t="s">
        <v>11011</v>
      </c>
      <c r="BF555" t="str">
        <f>HYPERLINK("http://dx.doi.org/10.3390/ijms24065757","http://dx.doi.org/10.3390/ijms24065757")</f>
        <v>http://dx.doi.org/10.3390/ijms24065757</v>
      </c>
      <c r="BG555" t="s">
        <v>74</v>
      </c>
      <c r="BH555" t="s">
        <v>74</v>
      </c>
      <c r="BI555">
        <v>20</v>
      </c>
      <c r="BJ555" t="s">
        <v>5582</v>
      </c>
      <c r="BK555" t="s">
        <v>103</v>
      </c>
      <c r="BL555" t="s">
        <v>1875</v>
      </c>
      <c r="BM555" t="s">
        <v>11012</v>
      </c>
      <c r="BN555">
        <v>36982830</v>
      </c>
      <c r="BO555" t="s">
        <v>614</v>
      </c>
      <c r="BP555" t="s">
        <v>74</v>
      </c>
      <c r="BQ555" t="s">
        <v>74</v>
      </c>
      <c r="BR555" t="s">
        <v>106</v>
      </c>
      <c r="BS555" t="s">
        <v>11013</v>
      </c>
      <c r="BT555" t="str">
        <f>HYPERLINK("https%3A%2F%2Fwww.webofscience.com%2Fwos%2Fwoscc%2Ffull-record%2FWOS:000955589300001","View Full Record in Web of Science")</f>
        <v>View Full Record in Web of Science</v>
      </c>
    </row>
    <row r="556" spans="1:72" x14ac:dyDescent="0.15">
      <c r="A556" t="s">
        <v>72</v>
      </c>
      <c r="B556" t="s">
        <v>11014</v>
      </c>
      <c r="C556" t="s">
        <v>74</v>
      </c>
      <c r="D556" t="s">
        <v>74</v>
      </c>
      <c r="E556" t="s">
        <v>74</v>
      </c>
      <c r="F556" t="s">
        <v>11015</v>
      </c>
      <c r="G556" t="s">
        <v>74</v>
      </c>
      <c r="H556" t="s">
        <v>74</v>
      </c>
      <c r="I556" t="s">
        <v>11016</v>
      </c>
      <c r="J556" t="s">
        <v>1966</v>
      </c>
      <c r="K556" t="s">
        <v>74</v>
      </c>
      <c r="L556" t="s">
        <v>74</v>
      </c>
      <c r="M556" t="s">
        <v>78</v>
      </c>
      <c r="N556" t="s">
        <v>112</v>
      </c>
      <c r="O556" t="s">
        <v>74</v>
      </c>
      <c r="P556" t="s">
        <v>74</v>
      </c>
      <c r="Q556" t="s">
        <v>74</v>
      </c>
      <c r="R556" t="s">
        <v>74</v>
      </c>
      <c r="S556" t="s">
        <v>74</v>
      </c>
      <c r="T556" t="s">
        <v>11017</v>
      </c>
      <c r="U556" t="s">
        <v>11018</v>
      </c>
      <c r="V556" t="s">
        <v>11019</v>
      </c>
      <c r="W556" t="s">
        <v>11020</v>
      </c>
      <c r="X556" t="s">
        <v>11021</v>
      </c>
      <c r="Y556" t="s">
        <v>11022</v>
      </c>
      <c r="Z556" t="s">
        <v>11023</v>
      </c>
      <c r="AA556" t="s">
        <v>11024</v>
      </c>
      <c r="AB556" t="s">
        <v>11025</v>
      </c>
      <c r="AC556" t="s">
        <v>11026</v>
      </c>
      <c r="AD556" t="s">
        <v>11026</v>
      </c>
      <c r="AE556" t="s">
        <v>11027</v>
      </c>
      <c r="AF556" t="s">
        <v>74</v>
      </c>
      <c r="AG556">
        <v>104</v>
      </c>
      <c r="AH556">
        <v>29</v>
      </c>
      <c r="AI556">
        <v>29</v>
      </c>
      <c r="AJ556">
        <v>15</v>
      </c>
      <c r="AK556">
        <v>29</v>
      </c>
      <c r="AL556" t="s">
        <v>447</v>
      </c>
      <c r="AM556" t="s">
        <v>448</v>
      </c>
      <c r="AN556" t="s">
        <v>449</v>
      </c>
      <c r="AO556" t="s">
        <v>1979</v>
      </c>
      <c r="AP556" t="s">
        <v>1980</v>
      </c>
      <c r="AQ556" t="s">
        <v>74</v>
      </c>
      <c r="AR556" t="s">
        <v>1981</v>
      </c>
      <c r="AS556" t="s">
        <v>1982</v>
      </c>
      <c r="AT556" t="s">
        <v>1790</v>
      </c>
      <c r="AU556">
        <v>2023</v>
      </c>
      <c r="AV556">
        <v>450</v>
      </c>
      <c r="AW556" t="s">
        <v>74</v>
      </c>
      <c r="AX556" t="s">
        <v>74</v>
      </c>
      <c r="AY556" t="s">
        <v>74</v>
      </c>
      <c r="AZ556" t="s">
        <v>74</v>
      </c>
      <c r="BA556" t="s">
        <v>74</v>
      </c>
      <c r="BB556" t="s">
        <v>74</v>
      </c>
      <c r="BC556" t="s">
        <v>74</v>
      </c>
      <c r="BD556">
        <v>131090</v>
      </c>
      <c r="BE556" t="s">
        <v>11028</v>
      </c>
      <c r="BF556" t="str">
        <f>HYPERLINK("http://dx.doi.org/10.1016/j.jhazmat.2023.131090","http://dx.doi.org/10.1016/j.jhazmat.2023.131090")</f>
        <v>http://dx.doi.org/10.1016/j.jhazmat.2023.131090</v>
      </c>
      <c r="BG556" t="s">
        <v>74</v>
      </c>
      <c r="BH556" t="s">
        <v>6218</v>
      </c>
      <c r="BI556">
        <v>12</v>
      </c>
      <c r="BJ556" t="s">
        <v>1985</v>
      </c>
      <c r="BK556" t="s">
        <v>103</v>
      </c>
      <c r="BL556" t="s">
        <v>1986</v>
      </c>
      <c r="BM556" t="s">
        <v>11029</v>
      </c>
      <c r="BN556">
        <v>36867907</v>
      </c>
      <c r="BO556" t="s">
        <v>1748</v>
      </c>
      <c r="BP556" t="s">
        <v>1849</v>
      </c>
      <c r="BQ556" t="s">
        <v>1850</v>
      </c>
      <c r="BR556" t="s">
        <v>106</v>
      </c>
      <c r="BS556" t="s">
        <v>11030</v>
      </c>
      <c r="BT556" t="str">
        <f>HYPERLINK("https%3A%2F%2Fwww.webofscience.com%2Fwos%2Fwoscc%2Ffull-record%2FWOS:000953095000001","View Full Record in Web of Science")</f>
        <v>View Full Record in Web of Science</v>
      </c>
    </row>
    <row r="557" spans="1:72" x14ac:dyDescent="0.15">
      <c r="A557" t="s">
        <v>72</v>
      </c>
      <c r="B557" t="s">
        <v>11031</v>
      </c>
      <c r="C557" t="s">
        <v>74</v>
      </c>
      <c r="D557" t="s">
        <v>74</v>
      </c>
      <c r="E557" t="s">
        <v>74</v>
      </c>
      <c r="F557" t="s">
        <v>11032</v>
      </c>
      <c r="G557" t="s">
        <v>74</v>
      </c>
      <c r="H557" t="s">
        <v>74</v>
      </c>
      <c r="I557" t="s">
        <v>11033</v>
      </c>
      <c r="J557" t="s">
        <v>4757</v>
      </c>
      <c r="K557" t="s">
        <v>74</v>
      </c>
      <c r="L557" t="s">
        <v>74</v>
      </c>
      <c r="M557" t="s">
        <v>78</v>
      </c>
      <c r="N557" t="s">
        <v>112</v>
      </c>
      <c r="O557" t="s">
        <v>74</v>
      </c>
      <c r="P557" t="s">
        <v>74</v>
      </c>
      <c r="Q557" t="s">
        <v>74</v>
      </c>
      <c r="R557" t="s">
        <v>74</v>
      </c>
      <c r="S557" t="s">
        <v>74</v>
      </c>
      <c r="T557" t="s">
        <v>11034</v>
      </c>
      <c r="U557" t="s">
        <v>11035</v>
      </c>
      <c r="V557" t="s">
        <v>11036</v>
      </c>
      <c r="W557" t="s">
        <v>11037</v>
      </c>
      <c r="X557" t="s">
        <v>11038</v>
      </c>
      <c r="Y557" t="s">
        <v>11039</v>
      </c>
      <c r="Z557" t="s">
        <v>11040</v>
      </c>
      <c r="AA557" t="s">
        <v>11041</v>
      </c>
      <c r="AB557" t="s">
        <v>11042</v>
      </c>
      <c r="AC557" t="s">
        <v>11043</v>
      </c>
      <c r="AD557" t="s">
        <v>11044</v>
      </c>
      <c r="AE557" t="s">
        <v>11045</v>
      </c>
      <c r="AF557" t="s">
        <v>74</v>
      </c>
      <c r="AG557">
        <v>201</v>
      </c>
      <c r="AH557">
        <v>3</v>
      </c>
      <c r="AI557">
        <v>4</v>
      </c>
      <c r="AJ557">
        <v>6</v>
      </c>
      <c r="AK557">
        <v>16</v>
      </c>
      <c r="AL557" t="s">
        <v>305</v>
      </c>
      <c r="AM557" t="s">
        <v>306</v>
      </c>
      <c r="AN557" t="s">
        <v>307</v>
      </c>
      <c r="AO557" t="s">
        <v>4769</v>
      </c>
      <c r="AP557" t="s">
        <v>4770</v>
      </c>
      <c r="AQ557" t="s">
        <v>74</v>
      </c>
      <c r="AR557" t="s">
        <v>4771</v>
      </c>
      <c r="AS557" t="s">
        <v>4772</v>
      </c>
      <c r="AT557" t="s">
        <v>8042</v>
      </c>
      <c r="AU557">
        <v>2023</v>
      </c>
      <c r="AV557">
        <v>128</v>
      </c>
      <c r="AW557">
        <v>3</v>
      </c>
      <c r="AX557" t="s">
        <v>74</v>
      </c>
      <c r="AY557" t="s">
        <v>74</v>
      </c>
      <c r="AZ557" t="s">
        <v>74</v>
      </c>
      <c r="BA557" t="s">
        <v>74</v>
      </c>
      <c r="BB557" t="s">
        <v>74</v>
      </c>
      <c r="BC557" t="s">
        <v>74</v>
      </c>
      <c r="BD557" t="s">
        <v>11046</v>
      </c>
      <c r="BE557" t="s">
        <v>11047</v>
      </c>
      <c r="BF557" t="str">
        <f>HYPERLINK("http://dx.doi.org/10.1029/2022JC019413","http://dx.doi.org/10.1029/2022JC019413")</f>
        <v>http://dx.doi.org/10.1029/2022JC019413</v>
      </c>
      <c r="BG557" t="s">
        <v>74</v>
      </c>
      <c r="BH557" t="s">
        <v>74</v>
      </c>
      <c r="BI557">
        <v>29</v>
      </c>
      <c r="BJ557" t="s">
        <v>863</v>
      </c>
      <c r="BK557" t="s">
        <v>103</v>
      </c>
      <c r="BL557" t="s">
        <v>863</v>
      </c>
      <c r="BM557" t="s">
        <v>11048</v>
      </c>
      <c r="BN557" t="s">
        <v>74</v>
      </c>
      <c r="BO557" t="s">
        <v>1748</v>
      </c>
      <c r="BP557" t="s">
        <v>74</v>
      </c>
      <c r="BQ557" t="s">
        <v>74</v>
      </c>
      <c r="BR557" t="s">
        <v>106</v>
      </c>
      <c r="BS557" t="s">
        <v>11049</v>
      </c>
      <c r="BT557" t="str">
        <f>HYPERLINK("https%3A%2F%2Fwww.webofscience.com%2Fwos%2Fwoscc%2Ffull-record%2FWOS:000949655400001","View Full Record in Web of Science")</f>
        <v>View Full Record in Web of Science</v>
      </c>
    </row>
    <row r="558" spans="1:72" x14ac:dyDescent="0.15">
      <c r="A558" t="s">
        <v>72</v>
      </c>
      <c r="B558" t="s">
        <v>11050</v>
      </c>
      <c r="C558" t="s">
        <v>74</v>
      </c>
      <c r="D558" t="s">
        <v>74</v>
      </c>
      <c r="E558" t="s">
        <v>74</v>
      </c>
      <c r="F558" t="s">
        <v>11051</v>
      </c>
      <c r="G558" t="s">
        <v>74</v>
      </c>
      <c r="H558" t="s">
        <v>11052</v>
      </c>
      <c r="I558" t="s">
        <v>11053</v>
      </c>
      <c r="J558" t="s">
        <v>5742</v>
      </c>
      <c r="K558" t="s">
        <v>74</v>
      </c>
      <c r="L558" t="s">
        <v>74</v>
      </c>
      <c r="M558" t="s">
        <v>78</v>
      </c>
      <c r="N558" t="s">
        <v>112</v>
      </c>
      <c r="O558" t="s">
        <v>74</v>
      </c>
      <c r="P558" t="s">
        <v>74</v>
      </c>
      <c r="Q558" t="s">
        <v>74</v>
      </c>
      <c r="R558" t="s">
        <v>74</v>
      </c>
      <c r="S558" t="s">
        <v>74</v>
      </c>
      <c r="T558" t="s">
        <v>74</v>
      </c>
      <c r="U558" t="s">
        <v>11054</v>
      </c>
      <c r="V558" t="s">
        <v>11055</v>
      </c>
      <c r="W558" t="s">
        <v>11056</v>
      </c>
      <c r="X558" t="s">
        <v>11057</v>
      </c>
      <c r="Y558" t="s">
        <v>11058</v>
      </c>
      <c r="Z558" t="s">
        <v>11059</v>
      </c>
      <c r="AA558" t="s">
        <v>11060</v>
      </c>
      <c r="AB558" t="s">
        <v>11061</v>
      </c>
      <c r="AC558" t="s">
        <v>11062</v>
      </c>
      <c r="AD558" t="s">
        <v>11063</v>
      </c>
      <c r="AE558" t="s">
        <v>11064</v>
      </c>
      <c r="AF558" t="s">
        <v>74</v>
      </c>
      <c r="AG558">
        <v>75</v>
      </c>
      <c r="AH558">
        <v>5</v>
      </c>
      <c r="AI558">
        <v>5</v>
      </c>
      <c r="AJ558">
        <v>1</v>
      </c>
      <c r="AK558">
        <v>3</v>
      </c>
      <c r="AL558" t="s">
        <v>152</v>
      </c>
      <c r="AM558" t="s">
        <v>153</v>
      </c>
      <c r="AN558" t="s">
        <v>154</v>
      </c>
      <c r="AO558" t="s">
        <v>5753</v>
      </c>
      <c r="AP558" t="s">
        <v>5754</v>
      </c>
      <c r="AQ558" t="s">
        <v>74</v>
      </c>
      <c r="AR558" t="s">
        <v>5755</v>
      </c>
      <c r="AS558" t="s">
        <v>5756</v>
      </c>
      <c r="AT558" t="s">
        <v>10271</v>
      </c>
      <c r="AU558">
        <v>2023</v>
      </c>
      <c r="AV558">
        <v>945</v>
      </c>
      <c r="AW558">
        <v>1</v>
      </c>
      <c r="AX558" t="s">
        <v>74</v>
      </c>
      <c r="AY558" t="s">
        <v>74</v>
      </c>
      <c r="AZ558" t="s">
        <v>74</v>
      </c>
      <c r="BA558" t="s">
        <v>74</v>
      </c>
      <c r="BB558" t="s">
        <v>74</v>
      </c>
      <c r="BC558" t="s">
        <v>74</v>
      </c>
      <c r="BD558">
        <v>72</v>
      </c>
      <c r="BE558" t="s">
        <v>11065</v>
      </c>
      <c r="BF558" t="str">
        <f>HYPERLINK("http://dx.doi.org/10.3847/1538-4357/acb64c","http://dx.doi.org/10.3847/1538-4357/acb64c")</f>
        <v>http://dx.doi.org/10.3847/1538-4357/acb64c</v>
      </c>
      <c r="BG558" t="s">
        <v>74</v>
      </c>
      <c r="BH558" t="s">
        <v>74</v>
      </c>
      <c r="BI558">
        <v>21</v>
      </c>
      <c r="BJ558" t="s">
        <v>159</v>
      </c>
      <c r="BK558" t="s">
        <v>103</v>
      </c>
      <c r="BL558" t="s">
        <v>159</v>
      </c>
      <c r="BM558" t="s">
        <v>11066</v>
      </c>
      <c r="BN558" t="s">
        <v>74</v>
      </c>
      <c r="BO558" t="s">
        <v>3241</v>
      </c>
      <c r="BP558" t="s">
        <v>74</v>
      </c>
      <c r="BQ558" t="s">
        <v>74</v>
      </c>
      <c r="BR558" t="s">
        <v>106</v>
      </c>
      <c r="BS558" t="s">
        <v>11067</v>
      </c>
      <c r="BT558" t="str">
        <f>HYPERLINK("https%3A%2F%2Fwww.webofscience.com%2Fwos%2Fwoscc%2Ffull-record%2FWOS:000951183700001","View Full Record in Web of Science")</f>
        <v>View Full Record in Web of Science</v>
      </c>
    </row>
    <row r="559" spans="1:72" x14ac:dyDescent="0.15">
      <c r="A559" t="s">
        <v>72</v>
      </c>
      <c r="B559" t="s">
        <v>11068</v>
      </c>
      <c r="C559" t="s">
        <v>74</v>
      </c>
      <c r="D559" t="s">
        <v>74</v>
      </c>
      <c r="E559" t="s">
        <v>74</v>
      </c>
      <c r="F559" t="s">
        <v>11069</v>
      </c>
      <c r="G559" t="s">
        <v>74</v>
      </c>
      <c r="H559" t="s">
        <v>74</v>
      </c>
      <c r="I559" t="s">
        <v>11070</v>
      </c>
      <c r="J559" t="s">
        <v>4757</v>
      </c>
      <c r="K559" t="s">
        <v>74</v>
      </c>
      <c r="L559" t="s">
        <v>74</v>
      </c>
      <c r="M559" t="s">
        <v>78</v>
      </c>
      <c r="N559" t="s">
        <v>112</v>
      </c>
      <c r="O559" t="s">
        <v>74</v>
      </c>
      <c r="P559" t="s">
        <v>74</v>
      </c>
      <c r="Q559" t="s">
        <v>74</v>
      </c>
      <c r="R559" t="s">
        <v>74</v>
      </c>
      <c r="S559" t="s">
        <v>74</v>
      </c>
      <c r="T559" t="s">
        <v>74</v>
      </c>
      <c r="U559" t="s">
        <v>11071</v>
      </c>
      <c r="V559" t="s">
        <v>11072</v>
      </c>
      <c r="W559" t="s">
        <v>11073</v>
      </c>
      <c r="X559" t="s">
        <v>11074</v>
      </c>
      <c r="Y559" t="s">
        <v>11075</v>
      </c>
      <c r="Z559" t="s">
        <v>11076</v>
      </c>
      <c r="AA559" t="s">
        <v>11077</v>
      </c>
      <c r="AB559" t="s">
        <v>11078</v>
      </c>
      <c r="AC559" t="s">
        <v>11079</v>
      </c>
      <c r="AD559" t="s">
        <v>11080</v>
      </c>
      <c r="AE559" t="s">
        <v>11081</v>
      </c>
      <c r="AF559" t="s">
        <v>74</v>
      </c>
      <c r="AG559">
        <v>90</v>
      </c>
      <c r="AH559">
        <v>0</v>
      </c>
      <c r="AI559">
        <v>0</v>
      </c>
      <c r="AJ559">
        <v>0</v>
      </c>
      <c r="AK559">
        <v>4</v>
      </c>
      <c r="AL559" t="s">
        <v>305</v>
      </c>
      <c r="AM559" t="s">
        <v>306</v>
      </c>
      <c r="AN559" t="s">
        <v>307</v>
      </c>
      <c r="AO559" t="s">
        <v>4769</v>
      </c>
      <c r="AP559" t="s">
        <v>4770</v>
      </c>
      <c r="AQ559" t="s">
        <v>74</v>
      </c>
      <c r="AR559" t="s">
        <v>4771</v>
      </c>
      <c r="AS559" t="s">
        <v>4772</v>
      </c>
      <c r="AT559" t="s">
        <v>8042</v>
      </c>
      <c r="AU559">
        <v>2023</v>
      </c>
      <c r="AV559">
        <v>128</v>
      </c>
      <c r="AW559">
        <v>3</v>
      </c>
      <c r="AX559" t="s">
        <v>74</v>
      </c>
      <c r="AY559" t="s">
        <v>74</v>
      </c>
      <c r="AZ559" t="s">
        <v>74</v>
      </c>
      <c r="BA559" t="s">
        <v>74</v>
      </c>
      <c r="BB559" t="s">
        <v>74</v>
      </c>
      <c r="BC559" t="s">
        <v>74</v>
      </c>
      <c r="BD559" t="s">
        <v>11082</v>
      </c>
      <c r="BE559" t="s">
        <v>11083</v>
      </c>
      <c r="BF559" t="str">
        <f>HYPERLINK("http://dx.doi.org/10.1029/2022JC018880","http://dx.doi.org/10.1029/2022JC018880")</f>
        <v>http://dx.doi.org/10.1029/2022JC018880</v>
      </c>
      <c r="BG559" t="s">
        <v>74</v>
      </c>
      <c r="BH559" t="s">
        <v>74</v>
      </c>
      <c r="BI559">
        <v>27</v>
      </c>
      <c r="BJ559" t="s">
        <v>863</v>
      </c>
      <c r="BK559" t="s">
        <v>103</v>
      </c>
      <c r="BL559" t="s">
        <v>863</v>
      </c>
      <c r="BM559" t="s">
        <v>11084</v>
      </c>
      <c r="BN559" t="s">
        <v>74</v>
      </c>
      <c r="BO559" t="s">
        <v>387</v>
      </c>
      <c r="BP559" t="s">
        <v>74</v>
      </c>
      <c r="BQ559" t="s">
        <v>74</v>
      </c>
      <c r="BR559" t="s">
        <v>106</v>
      </c>
      <c r="BS559" t="s">
        <v>11085</v>
      </c>
      <c r="BT559" t="str">
        <f>HYPERLINK("https%3A%2F%2Fwww.webofscience.com%2Fwos%2Fwoscc%2Ffull-record%2FWOS:000949874600001","View Full Record in Web of Science")</f>
        <v>View Full Record in Web of Science</v>
      </c>
    </row>
    <row r="560" spans="1:72" x14ac:dyDescent="0.15">
      <c r="A560" t="s">
        <v>72</v>
      </c>
      <c r="B560" t="s">
        <v>11086</v>
      </c>
      <c r="C560" t="s">
        <v>74</v>
      </c>
      <c r="D560" t="s">
        <v>74</v>
      </c>
      <c r="E560" t="s">
        <v>74</v>
      </c>
      <c r="F560" t="s">
        <v>11087</v>
      </c>
      <c r="G560" t="s">
        <v>74</v>
      </c>
      <c r="H560" t="s">
        <v>74</v>
      </c>
      <c r="I560" t="s">
        <v>11088</v>
      </c>
      <c r="J560" t="s">
        <v>4797</v>
      </c>
      <c r="K560" t="s">
        <v>74</v>
      </c>
      <c r="L560" t="s">
        <v>74</v>
      </c>
      <c r="M560" t="s">
        <v>78</v>
      </c>
      <c r="N560" t="s">
        <v>112</v>
      </c>
      <c r="O560" t="s">
        <v>74</v>
      </c>
      <c r="P560" t="s">
        <v>74</v>
      </c>
      <c r="Q560" t="s">
        <v>74</v>
      </c>
      <c r="R560" t="s">
        <v>74</v>
      </c>
      <c r="S560" t="s">
        <v>74</v>
      </c>
      <c r="T560" t="s">
        <v>11089</v>
      </c>
      <c r="U560" t="s">
        <v>11090</v>
      </c>
      <c r="V560" t="s">
        <v>11091</v>
      </c>
      <c r="W560" t="s">
        <v>11092</v>
      </c>
      <c r="X560" t="s">
        <v>11093</v>
      </c>
      <c r="Y560" t="s">
        <v>11094</v>
      </c>
      <c r="Z560" t="s">
        <v>11095</v>
      </c>
      <c r="AA560" t="s">
        <v>11096</v>
      </c>
      <c r="AB560" t="s">
        <v>11097</v>
      </c>
      <c r="AC560" t="s">
        <v>11098</v>
      </c>
      <c r="AD560" t="s">
        <v>11099</v>
      </c>
      <c r="AE560" t="s">
        <v>11100</v>
      </c>
      <c r="AF560" t="s">
        <v>74</v>
      </c>
      <c r="AG560">
        <v>62</v>
      </c>
      <c r="AH560">
        <v>2</v>
      </c>
      <c r="AI560">
        <v>2</v>
      </c>
      <c r="AJ560">
        <v>5</v>
      </c>
      <c r="AK560">
        <v>9</v>
      </c>
      <c r="AL560" t="s">
        <v>305</v>
      </c>
      <c r="AM560" t="s">
        <v>306</v>
      </c>
      <c r="AN560" t="s">
        <v>307</v>
      </c>
      <c r="AO560" t="s">
        <v>4810</v>
      </c>
      <c r="AP560" t="s">
        <v>4811</v>
      </c>
      <c r="AQ560" t="s">
        <v>74</v>
      </c>
      <c r="AR560" t="s">
        <v>4812</v>
      </c>
      <c r="AS560" t="s">
        <v>4813</v>
      </c>
      <c r="AT560" t="s">
        <v>8042</v>
      </c>
      <c r="AU560">
        <v>2023</v>
      </c>
      <c r="AV560">
        <v>128</v>
      </c>
      <c r="AW560">
        <v>3</v>
      </c>
      <c r="AX560" t="s">
        <v>74</v>
      </c>
      <c r="AY560" t="s">
        <v>74</v>
      </c>
      <c r="AZ560" t="s">
        <v>74</v>
      </c>
      <c r="BA560" t="s">
        <v>74</v>
      </c>
      <c r="BB560" t="s">
        <v>74</v>
      </c>
      <c r="BC560" t="s">
        <v>74</v>
      </c>
      <c r="BD560" t="s">
        <v>74</v>
      </c>
      <c r="BE560" t="s">
        <v>11101</v>
      </c>
      <c r="BF560" t="str">
        <f>HYPERLINK("http://dx.doi.org/10.1029/2022JA031142","http://dx.doi.org/10.1029/2022JA031142")</f>
        <v>http://dx.doi.org/10.1029/2022JA031142</v>
      </c>
      <c r="BG560" t="s">
        <v>74</v>
      </c>
      <c r="BH560" t="s">
        <v>74</v>
      </c>
      <c r="BI560">
        <v>12</v>
      </c>
      <c r="BJ560" t="s">
        <v>159</v>
      </c>
      <c r="BK560" t="s">
        <v>103</v>
      </c>
      <c r="BL560" t="s">
        <v>159</v>
      </c>
      <c r="BM560" t="s">
        <v>11102</v>
      </c>
      <c r="BN560" t="s">
        <v>74</v>
      </c>
      <c r="BO560" t="s">
        <v>387</v>
      </c>
      <c r="BP560" t="s">
        <v>74</v>
      </c>
      <c r="BQ560" t="s">
        <v>74</v>
      </c>
      <c r="BR560" t="s">
        <v>106</v>
      </c>
      <c r="BS560" t="s">
        <v>11103</v>
      </c>
      <c r="BT560" t="str">
        <f>HYPERLINK("https%3A%2F%2Fwww.webofscience.com%2Fwos%2Fwoscc%2Ffull-record%2FWOS:000949121000001","View Full Record in Web of Science")</f>
        <v>View Full Record in Web of Science</v>
      </c>
    </row>
    <row r="561" spans="1:72" x14ac:dyDescent="0.15">
      <c r="A561" t="s">
        <v>72</v>
      </c>
      <c r="B561" t="s">
        <v>11104</v>
      </c>
      <c r="C561" t="s">
        <v>74</v>
      </c>
      <c r="D561" t="s">
        <v>74</v>
      </c>
      <c r="E561" t="s">
        <v>74</v>
      </c>
      <c r="F561" t="s">
        <v>11105</v>
      </c>
      <c r="G561" t="s">
        <v>74</v>
      </c>
      <c r="H561" t="s">
        <v>74</v>
      </c>
      <c r="I561" t="s">
        <v>11106</v>
      </c>
      <c r="J561" t="s">
        <v>1215</v>
      </c>
      <c r="K561" t="s">
        <v>74</v>
      </c>
      <c r="L561" t="s">
        <v>74</v>
      </c>
      <c r="M561" t="s">
        <v>78</v>
      </c>
      <c r="N561" t="s">
        <v>112</v>
      </c>
      <c r="O561" t="s">
        <v>74</v>
      </c>
      <c r="P561" t="s">
        <v>74</v>
      </c>
      <c r="Q561" t="s">
        <v>74</v>
      </c>
      <c r="R561" t="s">
        <v>74</v>
      </c>
      <c r="S561" t="s">
        <v>74</v>
      </c>
      <c r="T561" t="s">
        <v>11107</v>
      </c>
      <c r="U561" t="s">
        <v>11108</v>
      </c>
      <c r="V561" t="s">
        <v>11109</v>
      </c>
      <c r="W561" t="s">
        <v>11110</v>
      </c>
      <c r="X561" t="s">
        <v>11111</v>
      </c>
      <c r="Y561" t="s">
        <v>11112</v>
      </c>
      <c r="Z561" t="s">
        <v>11113</v>
      </c>
      <c r="AA561" t="s">
        <v>4648</v>
      </c>
      <c r="AB561" t="s">
        <v>11114</v>
      </c>
      <c r="AC561" t="s">
        <v>11115</v>
      </c>
      <c r="AD561" t="s">
        <v>11116</v>
      </c>
      <c r="AE561" t="s">
        <v>11117</v>
      </c>
      <c r="AF561" t="s">
        <v>74</v>
      </c>
      <c r="AG561">
        <v>80</v>
      </c>
      <c r="AH561">
        <v>2</v>
      </c>
      <c r="AI561">
        <v>2</v>
      </c>
      <c r="AJ561">
        <v>3</v>
      </c>
      <c r="AK561">
        <v>5</v>
      </c>
      <c r="AL561" t="s">
        <v>700</v>
      </c>
      <c r="AM561" t="s">
        <v>701</v>
      </c>
      <c r="AN561" t="s">
        <v>702</v>
      </c>
      <c r="AO561" t="s">
        <v>74</v>
      </c>
      <c r="AP561" t="s">
        <v>1228</v>
      </c>
      <c r="AQ561" t="s">
        <v>74</v>
      </c>
      <c r="AR561" t="s">
        <v>1229</v>
      </c>
      <c r="AS561" t="s">
        <v>1230</v>
      </c>
      <c r="AT561" t="s">
        <v>10271</v>
      </c>
      <c r="AU561">
        <v>2023</v>
      </c>
      <c r="AV561">
        <v>10</v>
      </c>
      <c r="AW561" t="s">
        <v>74</v>
      </c>
      <c r="AX561" t="s">
        <v>74</v>
      </c>
      <c r="AY561" t="s">
        <v>74</v>
      </c>
      <c r="AZ561" t="s">
        <v>74</v>
      </c>
      <c r="BA561" t="s">
        <v>74</v>
      </c>
      <c r="BB561" t="s">
        <v>74</v>
      </c>
      <c r="BC561" t="s">
        <v>74</v>
      </c>
      <c r="BD561">
        <v>1048869</v>
      </c>
      <c r="BE561" t="s">
        <v>11118</v>
      </c>
      <c r="BF561" t="str">
        <f>HYPERLINK("http://dx.doi.org/10.3389/fmars.2023.1048869","http://dx.doi.org/10.3389/fmars.2023.1048869")</f>
        <v>http://dx.doi.org/10.3389/fmars.2023.1048869</v>
      </c>
      <c r="BG561" t="s">
        <v>74</v>
      </c>
      <c r="BH561" t="s">
        <v>74</v>
      </c>
      <c r="BI561">
        <v>14</v>
      </c>
      <c r="BJ561" t="s">
        <v>636</v>
      </c>
      <c r="BK561" t="s">
        <v>103</v>
      </c>
      <c r="BL561" t="s">
        <v>637</v>
      </c>
      <c r="BM561" t="s">
        <v>11119</v>
      </c>
      <c r="BN561" t="s">
        <v>74</v>
      </c>
      <c r="BO561" t="s">
        <v>614</v>
      </c>
      <c r="BP561" t="s">
        <v>74</v>
      </c>
      <c r="BQ561" t="s">
        <v>74</v>
      </c>
      <c r="BR561" t="s">
        <v>106</v>
      </c>
      <c r="BS561" t="s">
        <v>11120</v>
      </c>
      <c r="BT561" t="str">
        <f>HYPERLINK("https%3A%2F%2Fwww.webofscience.com%2Fwos%2Fwoscc%2Ffull-record%2FWOS:000949755500001","View Full Record in Web of Science")</f>
        <v>View Full Record in Web of Science</v>
      </c>
    </row>
    <row r="562" spans="1:72" x14ac:dyDescent="0.15">
      <c r="A562" t="s">
        <v>72</v>
      </c>
      <c r="B562" t="s">
        <v>11121</v>
      </c>
      <c r="C562" t="s">
        <v>74</v>
      </c>
      <c r="D562" t="s">
        <v>74</v>
      </c>
      <c r="E562" t="s">
        <v>74</v>
      </c>
      <c r="F562" t="s">
        <v>11122</v>
      </c>
      <c r="G562" t="s">
        <v>74</v>
      </c>
      <c r="H562" t="s">
        <v>74</v>
      </c>
      <c r="I562" t="s">
        <v>11123</v>
      </c>
      <c r="J562" t="s">
        <v>4693</v>
      </c>
      <c r="K562" t="s">
        <v>74</v>
      </c>
      <c r="L562" t="s">
        <v>74</v>
      </c>
      <c r="M562" t="s">
        <v>78</v>
      </c>
      <c r="N562" t="s">
        <v>112</v>
      </c>
      <c r="O562" t="s">
        <v>74</v>
      </c>
      <c r="P562" t="s">
        <v>74</v>
      </c>
      <c r="Q562" t="s">
        <v>74</v>
      </c>
      <c r="R562" t="s">
        <v>74</v>
      </c>
      <c r="S562" t="s">
        <v>74</v>
      </c>
      <c r="T562" t="s">
        <v>11124</v>
      </c>
      <c r="U562" t="s">
        <v>11125</v>
      </c>
      <c r="V562" t="s">
        <v>11126</v>
      </c>
      <c r="W562" t="s">
        <v>11127</v>
      </c>
      <c r="X562" t="s">
        <v>11128</v>
      </c>
      <c r="Y562" t="s">
        <v>11129</v>
      </c>
      <c r="Z562" t="s">
        <v>11130</v>
      </c>
      <c r="AA562" t="s">
        <v>11131</v>
      </c>
      <c r="AB562" t="s">
        <v>11132</v>
      </c>
      <c r="AC562" t="s">
        <v>11133</v>
      </c>
      <c r="AD562" t="s">
        <v>11134</v>
      </c>
      <c r="AE562" t="s">
        <v>11135</v>
      </c>
      <c r="AF562" t="s">
        <v>74</v>
      </c>
      <c r="AG562">
        <v>76</v>
      </c>
      <c r="AH562">
        <v>0</v>
      </c>
      <c r="AI562">
        <v>0</v>
      </c>
      <c r="AJ562">
        <v>5</v>
      </c>
      <c r="AK562">
        <v>9</v>
      </c>
      <c r="AL562" t="s">
        <v>305</v>
      </c>
      <c r="AM562" t="s">
        <v>306</v>
      </c>
      <c r="AN562" t="s">
        <v>307</v>
      </c>
      <c r="AO562" t="s">
        <v>74</v>
      </c>
      <c r="AP562" t="s">
        <v>4704</v>
      </c>
      <c r="AQ562" t="s">
        <v>74</v>
      </c>
      <c r="AR562" t="s">
        <v>4705</v>
      </c>
      <c r="AS562" t="s">
        <v>4706</v>
      </c>
      <c r="AT562" t="s">
        <v>8042</v>
      </c>
      <c r="AU562">
        <v>2023</v>
      </c>
      <c r="AV562">
        <v>24</v>
      </c>
      <c r="AW562">
        <v>3</v>
      </c>
      <c r="AX562" t="s">
        <v>74</v>
      </c>
      <c r="AY562" t="s">
        <v>74</v>
      </c>
      <c r="AZ562" t="s">
        <v>74</v>
      </c>
      <c r="BA562" t="s">
        <v>74</v>
      </c>
      <c r="BB562" t="s">
        <v>74</v>
      </c>
      <c r="BC562" t="s">
        <v>74</v>
      </c>
      <c r="BD562" t="s">
        <v>11136</v>
      </c>
      <c r="BE562" t="s">
        <v>11137</v>
      </c>
      <c r="BF562" t="str">
        <f>HYPERLINK("http://dx.doi.org/10.1029/2022GC010813","http://dx.doi.org/10.1029/2022GC010813")</f>
        <v>http://dx.doi.org/10.1029/2022GC010813</v>
      </c>
      <c r="BG562" t="s">
        <v>74</v>
      </c>
      <c r="BH562" t="s">
        <v>74</v>
      </c>
      <c r="BI562">
        <v>23</v>
      </c>
      <c r="BJ562" t="s">
        <v>313</v>
      </c>
      <c r="BK562" t="s">
        <v>103</v>
      </c>
      <c r="BL562" t="s">
        <v>313</v>
      </c>
      <c r="BM562" t="s">
        <v>11138</v>
      </c>
      <c r="BN562" t="s">
        <v>74</v>
      </c>
      <c r="BO562" t="s">
        <v>11139</v>
      </c>
      <c r="BP562" t="s">
        <v>74</v>
      </c>
      <c r="BQ562" t="s">
        <v>74</v>
      </c>
      <c r="BR562" t="s">
        <v>106</v>
      </c>
      <c r="BS562" t="s">
        <v>11140</v>
      </c>
      <c r="BT562" t="str">
        <f>HYPERLINK("https%3A%2F%2Fwww.webofscience.com%2Fwos%2Fwoscc%2Ffull-record%2FWOS:000949091500001","View Full Record in Web of Science")</f>
        <v>View Full Record in Web of Science</v>
      </c>
    </row>
    <row r="563" spans="1:72" x14ac:dyDescent="0.15">
      <c r="A563" t="s">
        <v>72</v>
      </c>
      <c r="B563" t="s">
        <v>11141</v>
      </c>
      <c r="C563" t="s">
        <v>74</v>
      </c>
      <c r="D563" t="s">
        <v>74</v>
      </c>
      <c r="E563" t="s">
        <v>74</v>
      </c>
      <c r="F563" t="s">
        <v>11142</v>
      </c>
      <c r="G563" t="s">
        <v>74</v>
      </c>
      <c r="H563" t="s">
        <v>74</v>
      </c>
      <c r="I563" t="s">
        <v>11143</v>
      </c>
      <c r="J563" t="s">
        <v>5566</v>
      </c>
      <c r="K563" t="s">
        <v>74</v>
      </c>
      <c r="L563" t="s">
        <v>74</v>
      </c>
      <c r="M563" t="s">
        <v>78</v>
      </c>
      <c r="N563" t="s">
        <v>112</v>
      </c>
      <c r="O563" t="s">
        <v>74</v>
      </c>
      <c r="P563" t="s">
        <v>74</v>
      </c>
      <c r="Q563" t="s">
        <v>74</v>
      </c>
      <c r="R563" t="s">
        <v>74</v>
      </c>
      <c r="S563" t="s">
        <v>74</v>
      </c>
      <c r="T563" t="s">
        <v>11144</v>
      </c>
      <c r="U563" t="s">
        <v>11145</v>
      </c>
      <c r="V563" t="s">
        <v>11146</v>
      </c>
      <c r="W563" t="s">
        <v>11147</v>
      </c>
      <c r="X563" t="s">
        <v>11148</v>
      </c>
      <c r="Y563" t="s">
        <v>11149</v>
      </c>
      <c r="Z563" t="s">
        <v>11150</v>
      </c>
      <c r="AA563" t="s">
        <v>11151</v>
      </c>
      <c r="AB563" t="s">
        <v>11152</v>
      </c>
      <c r="AC563" t="s">
        <v>11153</v>
      </c>
      <c r="AD563" t="s">
        <v>11153</v>
      </c>
      <c r="AE563" t="s">
        <v>11154</v>
      </c>
      <c r="AF563" t="s">
        <v>74</v>
      </c>
      <c r="AG563">
        <v>50</v>
      </c>
      <c r="AH563">
        <v>0</v>
      </c>
      <c r="AI563">
        <v>0</v>
      </c>
      <c r="AJ563">
        <v>0</v>
      </c>
      <c r="AK563">
        <v>2</v>
      </c>
      <c r="AL563" t="s">
        <v>125</v>
      </c>
      <c r="AM563" t="s">
        <v>126</v>
      </c>
      <c r="AN563" t="s">
        <v>127</v>
      </c>
      <c r="AO563" t="s">
        <v>74</v>
      </c>
      <c r="AP563" t="s">
        <v>5578</v>
      </c>
      <c r="AQ563" t="s">
        <v>74</v>
      </c>
      <c r="AR563" t="s">
        <v>5579</v>
      </c>
      <c r="AS563" t="s">
        <v>5580</v>
      </c>
      <c r="AT563" t="s">
        <v>8042</v>
      </c>
      <c r="AU563">
        <v>2023</v>
      </c>
      <c r="AV563">
        <v>24</v>
      </c>
      <c r="AW563">
        <v>5</v>
      </c>
      <c r="AX563" t="s">
        <v>74</v>
      </c>
      <c r="AY563" t="s">
        <v>74</v>
      </c>
      <c r="AZ563" t="s">
        <v>74</v>
      </c>
      <c r="BA563" t="s">
        <v>74</v>
      </c>
      <c r="BB563" t="s">
        <v>74</v>
      </c>
      <c r="BC563" t="s">
        <v>74</v>
      </c>
      <c r="BD563">
        <v>4850</v>
      </c>
      <c r="BE563" t="s">
        <v>11155</v>
      </c>
      <c r="BF563" t="str">
        <f>HYPERLINK("http://dx.doi.org/10.3390/ijms24054850","http://dx.doi.org/10.3390/ijms24054850")</f>
        <v>http://dx.doi.org/10.3390/ijms24054850</v>
      </c>
      <c r="BG563" t="s">
        <v>74</v>
      </c>
      <c r="BH563" t="s">
        <v>74</v>
      </c>
      <c r="BI563">
        <v>17</v>
      </c>
      <c r="BJ563" t="s">
        <v>5582</v>
      </c>
      <c r="BK563" t="s">
        <v>103</v>
      </c>
      <c r="BL563" t="s">
        <v>1875</v>
      </c>
      <c r="BM563" t="s">
        <v>11156</v>
      </c>
      <c r="BN563">
        <v>36902282</v>
      </c>
      <c r="BO563" t="s">
        <v>136</v>
      </c>
      <c r="BP563" t="s">
        <v>74</v>
      </c>
      <c r="BQ563" t="s">
        <v>74</v>
      </c>
      <c r="BR563" t="s">
        <v>106</v>
      </c>
      <c r="BS563" t="s">
        <v>11157</v>
      </c>
      <c r="BT563" t="str">
        <f>HYPERLINK("https%3A%2F%2Fwww.webofscience.com%2Fwos%2Fwoscc%2Ffull-record%2FWOS:000947789400001","View Full Record in Web of Science")</f>
        <v>View Full Record in Web of Science</v>
      </c>
    </row>
    <row r="564" spans="1:72" x14ac:dyDescent="0.15">
      <c r="A564" t="s">
        <v>72</v>
      </c>
      <c r="B564" t="s">
        <v>11158</v>
      </c>
      <c r="C564" t="s">
        <v>74</v>
      </c>
      <c r="D564" t="s">
        <v>74</v>
      </c>
      <c r="E564" t="s">
        <v>74</v>
      </c>
      <c r="F564" t="s">
        <v>11159</v>
      </c>
      <c r="G564" t="s">
        <v>74</v>
      </c>
      <c r="H564" t="s">
        <v>74</v>
      </c>
      <c r="I564" t="s">
        <v>11160</v>
      </c>
      <c r="J564" t="s">
        <v>4757</v>
      </c>
      <c r="K564" t="s">
        <v>74</v>
      </c>
      <c r="L564" t="s">
        <v>74</v>
      </c>
      <c r="M564" t="s">
        <v>78</v>
      </c>
      <c r="N564" t="s">
        <v>112</v>
      </c>
      <c r="O564" t="s">
        <v>74</v>
      </c>
      <c r="P564" t="s">
        <v>74</v>
      </c>
      <c r="Q564" t="s">
        <v>74</v>
      </c>
      <c r="R564" t="s">
        <v>74</v>
      </c>
      <c r="S564" t="s">
        <v>74</v>
      </c>
      <c r="T564" t="s">
        <v>11161</v>
      </c>
      <c r="U564" t="s">
        <v>11162</v>
      </c>
      <c r="V564" t="s">
        <v>11163</v>
      </c>
      <c r="W564" t="s">
        <v>11164</v>
      </c>
      <c r="X564" t="s">
        <v>11165</v>
      </c>
      <c r="Y564" t="s">
        <v>11166</v>
      </c>
      <c r="Z564" t="s">
        <v>11167</v>
      </c>
      <c r="AA564" t="s">
        <v>11168</v>
      </c>
      <c r="AB564" t="s">
        <v>11169</v>
      </c>
      <c r="AC564" t="s">
        <v>11170</v>
      </c>
      <c r="AD564" t="s">
        <v>11171</v>
      </c>
      <c r="AE564" t="s">
        <v>11172</v>
      </c>
      <c r="AF564" t="s">
        <v>74</v>
      </c>
      <c r="AG564">
        <v>25</v>
      </c>
      <c r="AH564">
        <v>0</v>
      </c>
      <c r="AI564">
        <v>0</v>
      </c>
      <c r="AJ564">
        <v>2</v>
      </c>
      <c r="AK564">
        <v>4</v>
      </c>
      <c r="AL564" t="s">
        <v>305</v>
      </c>
      <c r="AM564" t="s">
        <v>306</v>
      </c>
      <c r="AN564" t="s">
        <v>307</v>
      </c>
      <c r="AO564" t="s">
        <v>4769</v>
      </c>
      <c r="AP564" t="s">
        <v>4770</v>
      </c>
      <c r="AQ564" t="s">
        <v>74</v>
      </c>
      <c r="AR564" t="s">
        <v>4771</v>
      </c>
      <c r="AS564" t="s">
        <v>4772</v>
      </c>
      <c r="AT564" t="s">
        <v>8042</v>
      </c>
      <c r="AU564">
        <v>2023</v>
      </c>
      <c r="AV564">
        <v>128</v>
      </c>
      <c r="AW564">
        <v>3</v>
      </c>
      <c r="AX564" t="s">
        <v>74</v>
      </c>
      <c r="AY564" t="s">
        <v>74</v>
      </c>
      <c r="AZ564" t="s">
        <v>74</v>
      </c>
      <c r="BA564" t="s">
        <v>74</v>
      </c>
      <c r="BB564" t="s">
        <v>74</v>
      </c>
      <c r="BC564" t="s">
        <v>74</v>
      </c>
      <c r="BD564" t="s">
        <v>11173</v>
      </c>
      <c r="BE564" t="s">
        <v>11174</v>
      </c>
      <c r="BF564" t="str">
        <f>HYPERLINK("http://dx.doi.org/10.1029/2022JC018731","http://dx.doi.org/10.1029/2022JC018731")</f>
        <v>http://dx.doi.org/10.1029/2022JC018731</v>
      </c>
      <c r="BG564" t="s">
        <v>74</v>
      </c>
      <c r="BH564" t="s">
        <v>74</v>
      </c>
      <c r="BI564">
        <v>13</v>
      </c>
      <c r="BJ564" t="s">
        <v>863</v>
      </c>
      <c r="BK564" t="s">
        <v>103</v>
      </c>
      <c r="BL564" t="s">
        <v>863</v>
      </c>
      <c r="BM564" t="s">
        <v>11175</v>
      </c>
      <c r="BN564" t="s">
        <v>74</v>
      </c>
      <c r="BO564" t="s">
        <v>74</v>
      </c>
      <c r="BP564" t="s">
        <v>74</v>
      </c>
      <c r="BQ564" t="s">
        <v>74</v>
      </c>
      <c r="BR564" t="s">
        <v>106</v>
      </c>
      <c r="BS564" t="s">
        <v>11176</v>
      </c>
      <c r="BT564" t="str">
        <f>HYPERLINK("https%3A%2F%2Fwww.webofscience.com%2Fwos%2Fwoscc%2Ffull-record%2FWOS:000948568900001","View Full Record in Web of Science")</f>
        <v>View Full Record in Web of Science</v>
      </c>
    </row>
    <row r="565" spans="1:72" x14ac:dyDescent="0.15">
      <c r="A565" t="s">
        <v>72</v>
      </c>
      <c r="B565" t="s">
        <v>11177</v>
      </c>
      <c r="C565" t="s">
        <v>74</v>
      </c>
      <c r="D565" t="s">
        <v>74</v>
      </c>
      <c r="E565" t="s">
        <v>74</v>
      </c>
      <c r="F565" t="s">
        <v>11178</v>
      </c>
      <c r="G565" t="s">
        <v>74</v>
      </c>
      <c r="H565" t="s">
        <v>74</v>
      </c>
      <c r="I565" t="s">
        <v>11179</v>
      </c>
      <c r="J565" t="s">
        <v>981</v>
      </c>
      <c r="K565" t="s">
        <v>74</v>
      </c>
      <c r="L565" t="s">
        <v>74</v>
      </c>
      <c r="M565" t="s">
        <v>78</v>
      </c>
      <c r="N565" t="s">
        <v>112</v>
      </c>
      <c r="O565" t="s">
        <v>74</v>
      </c>
      <c r="P565" t="s">
        <v>74</v>
      </c>
      <c r="Q565" t="s">
        <v>74</v>
      </c>
      <c r="R565" t="s">
        <v>74</v>
      </c>
      <c r="S565" t="s">
        <v>74</v>
      </c>
      <c r="T565" t="s">
        <v>11180</v>
      </c>
      <c r="U565" t="s">
        <v>11181</v>
      </c>
      <c r="V565" t="s">
        <v>11182</v>
      </c>
      <c r="W565" t="s">
        <v>11183</v>
      </c>
      <c r="X565" t="s">
        <v>11184</v>
      </c>
      <c r="Y565" t="s">
        <v>11185</v>
      </c>
      <c r="Z565" t="s">
        <v>11186</v>
      </c>
      <c r="AA565" t="s">
        <v>11187</v>
      </c>
      <c r="AB565" t="s">
        <v>11188</v>
      </c>
      <c r="AC565" t="s">
        <v>74</v>
      </c>
      <c r="AD565" t="s">
        <v>74</v>
      </c>
      <c r="AE565" t="s">
        <v>74</v>
      </c>
      <c r="AF565" t="s">
        <v>74</v>
      </c>
      <c r="AG565">
        <v>75</v>
      </c>
      <c r="AH565">
        <v>1</v>
      </c>
      <c r="AI565">
        <v>1</v>
      </c>
      <c r="AJ565">
        <v>4</v>
      </c>
      <c r="AK565">
        <v>15</v>
      </c>
      <c r="AL565" t="s">
        <v>125</v>
      </c>
      <c r="AM565" t="s">
        <v>126</v>
      </c>
      <c r="AN565" t="s">
        <v>127</v>
      </c>
      <c r="AO565" t="s">
        <v>74</v>
      </c>
      <c r="AP565" t="s">
        <v>992</v>
      </c>
      <c r="AQ565" t="s">
        <v>74</v>
      </c>
      <c r="AR565" t="s">
        <v>993</v>
      </c>
      <c r="AS565" t="s">
        <v>994</v>
      </c>
      <c r="AT565" t="s">
        <v>8042</v>
      </c>
      <c r="AU565">
        <v>2023</v>
      </c>
      <c r="AV565">
        <v>15</v>
      </c>
      <c r="AW565">
        <v>5</v>
      </c>
      <c r="AX565" t="s">
        <v>74</v>
      </c>
      <c r="AY565" t="s">
        <v>74</v>
      </c>
      <c r="AZ565" t="s">
        <v>74</v>
      </c>
      <c r="BA565" t="s">
        <v>74</v>
      </c>
      <c r="BB565" t="s">
        <v>74</v>
      </c>
      <c r="BC565" t="s">
        <v>74</v>
      </c>
      <c r="BD565">
        <v>1298</v>
      </c>
      <c r="BE565" t="s">
        <v>11189</v>
      </c>
      <c r="BF565" t="str">
        <f>HYPERLINK("http://dx.doi.org/10.3390/rs15051298","http://dx.doi.org/10.3390/rs15051298")</f>
        <v>http://dx.doi.org/10.3390/rs15051298</v>
      </c>
      <c r="BG565" t="s">
        <v>74</v>
      </c>
      <c r="BH565" t="s">
        <v>74</v>
      </c>
      <c r="BI565">
        <v>15</v>
      </c>
      <c r="BJ565" t="s">
        <v>996</v>
      </c>
      <c r="BK565" t="s">
        <v>103</v>
      </c>
      <c r="BL565" t="s">
        <v>997</v>
      </c>
      <c r="BM565" t="s">
        <v>11190</v>
      </c>
      <c r="BN565" t="s">
        <v>74</v>
      </c>
      <c r="BO565" t="s">
        <v>7702</v>
      </c>
      <c r="BP565" t="s">
        <v>74</v>
      </c>
      <c r="BQ565" t="s">
        <v>74</v>
      </c>
      <c r="BR565" t="s">
        <v>106</v>
      </c>
      <c r="BS565" t="s">
        <v>11191</v>
      </c>
      <c r="BT565" t="str">
        <f>HYPERLINK("https%3A%2F%2Fwww.webofscience.com%2Fwos%2Fwoscc%2Ffull-record%2FWOS:000947684900001","View Full Record in Web of Science")</f>
        <v>View Full Record in Web of Science</v>
      </c>
    </row>
    <row r="566" spans="1:72" x14ac:dyDescent="0.15">
      <c r="A566" t="s">
        <v>72</v>
      </c>
      <c r="B566" t="s">
        <v>11192</v>
      </c>
      <c r="C566" t="s">
        <v>74</v>
      </c>
      <c r="D566" t="s">
        <v>74</v>
      </c>
      <c r="E566" t="s">
        <v>74</v>
      </c>
      <c r="F566" t="s">
        <v>11193</v>
      </c>
      <c r="G566" t="s">
        <v>74</v>
      </c>
      <c r="H566" t="s">
        <v>74</v>
      </c>
      <c r="I566" t="s">
        <v>11194</v>
      </c>
      <c r="J566" t="s">
        <v>981</v>
      </c>
      <c r="K566" t="s">
        <v>74</v>
      </c>
      <c r="L566" t="s">
        <v>74</v>
      </c>
      <c r="M566" t="s">
        <v>78</v>
      </c>
      <c r="N566" t="s">
        <v>112</v>
      </c>
      <c r="O566" t="s">
        <v>74</v>
      </c>
      <c r="P566" t="s">
        <v>74</v>
      </c>
      <c r="Q566" t="s">
        <v>74</v>
      </c>
      <c r="R566" t="s">
        <v>74</v>
      </c>
      <c r="S566" t="s">
        <v>74</v>
      </c>
      <c r="T566" t="s">
        <v>11195</v>
      </c>
      <c r="U566" t="s">
        <v>11196</v>
      </c>
      <c r="V566" t="s">
        <v>11197</v>
      </c>
      <c r="W566" t="s">
        <v>11198</v>
      </c>
      <c r="X566" t="s">
        <v>11199</v>
      </c>
      <c r="Y566" t="s">
        <v>11200</v>
      </c>
      <c r="Z566" t="s">
        <v>11201</v>
      </c>
      <c r="AA566" t="s">
        <v>11202</v>
      </c>
      <c r="AB566" t="s">
        <v>11203</v>
      </c>
      <c r="AC566" t="s">
        <v>11204</v>
      </c>
      <c r="AD566" t="s">
        <v>11205</v>
      </c>
      <c r="AE566" t="s">
        <v>11206</v>
      </c>
      <c r="AF566" t="s">
        <v>74</v>
      </c>
      <c r="AG566">
        <v>78</v>
      </c>
      <c r="AH566">
        <v>5</v>
      </c>
      <c r="AI566">
        <v>5</v>
      </c>
      <c r="AJ566">
        <v>2</v>
      </c>
      <c r="AK566">
        <v>10</v>
      </c>
      <c r="AL566" t="s">
        <v>125</v>
      </c>
      <c r="AM566" t="s">
        <v>126</v>
      </c>
      <c r="AN566" t="s">
        <v>127</v>
      </c>
      <c r="AO566" t="s">
        <v>74</v>
      </c>
      <c r="AP566" t="s">
        <v>992</v>
      </c>
      <c r="AQ566" t="s">
        <v>74</v>
      </c>
      <c r="AR566" t="s">
        <v>993</v>
      </c>
      <c r="AS566" t="s">
        <v>994</v>
      </c>
      <c r="AT566" t="s">
        <v>8042</v>
      </c>
      <c r="AU566">
        <v>2023</v>
      </c>
      <c r="AV566">
        <v>15</v>
      </c>
      <c r="AW566">
        <v>5</v>
      </c>
      <c r="AX566" t="s">
        <v>74</v>
      </c>
      <c r="AY566" t="s">
        <v>74</v>
      </c>
      <c r="AZ566" t="s">
        <v>74</v>
      </c>
      <c r="BA566" t="s">
        <v>74</v>
      </c>
      <c r="BB566" t="s">
        <v>74</v>
      </c>
      <c r="BC566" t="s">
        <v>74</v>
      </c>
      <c r="BD566">
        <v>1287</v>
      </c>
      <c r="BE566" t="s">
        <v>11207</v>
      </c>
      <c r="BF566" t="str">
        <f>HYPERLINK("http://dx.doi.org/10.3390/rs15051287","http://dx.doi.org/10.3390/rs15051287")</f>
        <v>http://dx.doi.org/10.3390/rs15051287</v>
      </c>
      <c r="BG566" t="s">
        <v>74</v>
      </c>
      <c r="BH566" t="s">
        <v>74</v>
      </c>
      <c r="BI566">
        <v>40</v>
      </c>
      <c r="BJ566" t="s">
        <v>996</v>
      </c>
      <c r="BK566" t="s">
        <v>103</v>
      </c>
      <c r="BL566" t="s">
        <v>997</v>
      </c>
      <c r="BM566" t="s">
        <v>11208</v>
      </c>
      <c r="BN566" t="s">
        <v>74</v>
      </c>
      <c r="BO566" t="s">
        <v>162</v>
      </c>
      <c r="BP566" t="s">
        <v>74</v>
      </c>
      <c r="BQ566" t="s">
        <v>74</v>
      </c>
      <c r="BR566" t="s">
        <v>106</v>
      </c>
      <c r="BS566" t="s">
        <v>11209</v>
      </c>
      <c r="BT566" t="str">
        <f>HYPERLINK("https%3A%2F%2Fwww.webofscience.com%2Fwos%2Fwoscc%2Ffull-record%2FWOS:000948169800001","View Full Record in Web of Science")</f>
        <v>View Full Record in Web of Science</v>
      </c>
    </row>
    <row r="567" spans="1:72" x14ac:dyDescent="0.15">
      <c r="A567" t="s">
        <v>72</v>
      </c>
      <c r="B567" t="s">
        <v>11210</v>
      </c>
      <c r="C567" t="s">
        <v>74</v>
      </c>
      <c r="D567" t="s">
        <v>74</v>
      </c>
      <c r="E567" t="s">
        <v>74</v>
      </c>
      <c r="F567" t="s">
        <v>11211</v>
      </c>
      <c r="G567" t="s">
        <v>74</v>
      </c>
      <c r="H567" t="s">
        <v>74</v>
      </c>
      <c r="I567" t="s">
        <v>11212</v>
      </c>
      <c r="J567" t="s">
        <v>981</v>
      </c>
      <c r="K567" t="s">
        <v>74</v>
      </c>
      <c r="L567" t="s">
        <v>74</v>
      </c>
      <c r="M567" t="s">
        <v>78</v>
      </c>
      <c r="N567" t="s">
        <v>365</v>
      </c>
      <c r="O567" t="s">
        <v>74</v>
      </c>
      <c r="P567" t="s">
        <v>74</v>
      </c>
      <c r="Q567" t="s">
        <v>74</v>
      </c>
      <c r="R567" t="s">
        <v>74</v>
      </c>
      <c r="S567" t="s">
        <v>74</v>
      </c>
      <c r="T567" t="s">
        <v>11213</v>
      </c>
      <c r="U567" t="s">
        <v>11214</v>
      </c>
      <c r="V567" t="s">
        <v>11215</v>
      </c>
      <c r="W567" t="s">
        <v>11216</v>
      </c>
      <c r="X567" t="s">
        <v>11217</v>
      </c>
      <c r="Y567" t="s">
        <v>11218</v>
      </c>
      <c r="Z567" t="s">
        <v>11219</v>
      </c>
      <c r="AA567" t="s">
        <v>11220</v>
      </c>
      <c r="AB567" t="s">
        <v>11221</v>
      </c>
      <c r="AC567" t="s">
        <v>11222</v>
      </c>
      <c r="AD567" t="s">
        <v>3117</v>
      </c>
      <c r="AE567" t="s">
        <v>11223</v>
      </c>
      <c r="AF567" t="s">
        <v>74</v>
      </c>
      <c r="AG567">
        <v>179</v>
      </c>
      <c r="AH567">
        <v>2</v>
      </c>
      <c r="AI567">
        <v>2</v>
      </c>
      <c r="AJ567">
        <v>31</v>
      </c>
      <c r="AK567">
        <v>69</v>
      </c>
      <c r="AL567" t="s">
        <v>125</v>
      </c>
      <c r="AM567" t="s">
        <v>126</v>
      </c>
      <c r="AN567" t="s">
        <v>127</v>
      </c>
      <c r="AO567" t="s">
        <v>74</v>
      </c>
      <c r="AP567" t="s">
        <v>992</v>
      </c>
      <c r="AQ567" t="s">
        <v>74</v>
      </c>
      <c r="AR567" t="s">
        <v>993</v>
      </c>
      <c r="AS567" t="s">
        <v>994</v>
      </c>
      <c r="AT567" t="s">
        <v>8042</v>
      </c>
      <c r="AU567">
        <v>2023</v>
      </c>
      <c r="AV567">
        <v>15</v>
      </c>
      <c r="AW567">
        <v>5</v>
      </c>
      <c r="AX567" t="s">
        <v>74</v>
      </c>
      <c r="AY567" t="s">
        <v>74</v>
      </c>
      <c r="AZ567" t="s">
        <v>74</v>
      </c>
      <c r="BA567" t="s">
        <v>74</v>
      </c>
      <c r="BB567" t="s">
        <v>74</v>
      </c>
      <c r="BC567" t="s">
        <v>74</v>
      </c>
      <c r="BD567">
        <v>1425</v>
      </c>
      <c r="BE567" t="s">
        <v>11224</v>
      </c>
      <c r="BF567" t="str">
        <f>HYPERLINK("http://dx.doi.org/10.3390/rs15051425","http://dx.doi.org/10.3390/rs15051425")</f>
        <v>http://dx.doi.org/10.3390/rs15051425</v>
      </c>
      <c r="BG567" t="s">
        <v>74</v>
      </c>
      <c r="BH567" t="s">
        <v>74</v>
      </c>
      <c r="BI567">
        <v>30</v>
      </c>
      <c r="BJ567" t="s">
        <v>996</v>
      </c>
      <c r="BK567" t="s">
        <v>103</v>
      </c>
      <c r="BL567" t="s">
        <v>997</v>
      </c>
      <c r="BM567" t="s">
        <v>11225</v>
      </c>
      <c r="BN567" t="s">
        <v>74</v>
      </c>
      <c r="BO567" t="s">
        <v>359</v>
      </c>
      <c r="BP567" t="s">
        <v>74</v>
      </c>
      <c r="BQ567" t="s">
        <v>74</v>
      </c>
      <c r="BR567" t="s">
        <v>106</v>
      </c>
      <c r="BS567" t="s">
        <v>11226</v>
      </c>
      <c r="BT567" t="str">
        <f>HYPERLINK("https%3A%2F%2Fwww.webofscience.com%2Fwos%2Fwoscc%2Ffull-record%2FWOS:000947717700001","View Full Record in Web of Science")</f>
        <v>View Full Record in Web of Science</v>
      </c>
    </row>
    <row r="568" spans="1:72" x14ac:dyDescent="0.15">
      <c r="A568" t="s">
        <v>72</v>
      </c>
      <c r="B568" t="s">
        <v>11227</v>
      </c>
      <c r="C568" t="s">
        <v>74</v>
      </c>
      <c r="D568" t="s">
        <v>74</v>
      </c>
      <c r="E568" t="s">
        <v>74</v>
      </c>
      <c r="F568" t="s">
        <v>11228</v>
      </c>
      <c r="G568" t="s">
        <v>74</v>
      </c>
      <c r="H568" t="s">
        <v>74</v>
      </c>
      <c r="I568" t="s">
        <v>11229</v>
      </c>
      <c r="J568" t="s">
        <v>577</v>
      </c>
      <c r="K568" t="s">
        <v>74</v>
      </c>
      <c r="L568" t="s">
        <v>74</v>
      </c>
      <c r="M568" t="s">
        <v>78</v>
      </c>
      <c r="N568" t="s">
        <v>112</v>
      </c>
      <c r="O568" t="s">
        <v>74</v>
      </c>
      <c r="P568" t="s">
        <v>74</v>
      </c>
      <c r="Q568" t="s">
        <v>74</v>
      </c>
      <c r="R568" t="s">
        <v>74</v>
      </c>
      <c r="S568" t="s">
        <v>74</v>
      </c>
      <c r="T568" t="s">
        <v>11230</v>
      </c>
      <c r="U568" t="s">
        <v>11231</v>
      </c>
      <c r="V568" t="s">
        <v>11232</v>
      </c>
      <c r="W568" t="s">
        <v>11233</v>
      </c>
      <c r="X568" t="s">
        <v>11234</v>
      </c>
      <c r="Y568" t="s">
        <v>11235</v>
      </c>
      <c r="Z568" t="s">
        <v>11236</v>
      </c>
      <c r="AA568" t="s">
        <v>1244</v>
      </c>
      <c r="AB568" t="s">
        <v>11237</v>
      </c>
      <c r="AC568" t="s">
        <v>11238</v>
      </c>
      <c r="AD568" t="s">
        <v>11239</v>
      </c>
      <c r="AE568" t="s">
        <v>11240</v>
      </c>
      <c r="AF568" t="s">
        <v>74</v>
      </c>
      <c r="AG568">
        <v>51</v>
      </c>
      <c r="AH568">
        <v>0</v>
      </c>
      <c r="AI568">
        <v>0</v>
      </c>
      <c r="AJ568">
        <v>3</v>
      </c>
      <c r="AK568">
        <v>3</v>
      </c>
      <c r="AL568" t="s">
        <v>125</v>
      </c>
      <c r="AM568" t="s">
        <v>126</v>
      </c>
      <c r="AN568" t="s">
        <v>127</v>
      </c>
      <c r="AO568" t="s">
        <v>74</v>
      </c>
      <c r="AP568" t="s">
        <v>589</v>
      </c>
      <c r="AQ568" t="s">
        <v>74</v>
      </c>
      <c r="AR568" t="s">
        <v>590</v>
      </c>
      <c r="AS568" t="s">
        <v>591</v>
      </c>
      <c r="AT568" t="s">
        <v>8042</v>
      </c>
      <c r="AU568">
        <v>2023</v>
      </c>
      <c r="AV568">
        <v>15</v>
      </c>
      <c r="AW568">
        <v>5</v>
      </c>
      <c r="AX568" t="s">
        <v>74</v>
      </c>
      <c r="AY568" t="s">
        <v>74</v>
      </c>
      <c r="AZ568" t="s">
        <v>74</v>
      </c>
      <c r="BA568" t="s">
        <v>74</v>
      </c>
      <c r="BB568" t="s">
        <v>74</v>
      </c>
      <c r="BC568" t="s">
        <v>74</v>
      </c>
      <c r="BD568">
        <v>3904</v>
      </c>
      <c r="BE568" t="s">
        <v>11241</v>
      </c>
      <c r="BF568" t="str">
        <f>HYPERLINK("http://dx.doi.org/10.3390/su15053904","http://dx.doi.org/10.3390/su15053904")</f>
        <v>http://dx.doi.org/10.3390/su15053904</v>
      </c>
      <c r="BG568" t="s">
        <v>74</v>
      </c>
      <c r="BH568" t="s">
        <v>74</v>
      </c>
      <c r="BI568">
        <v>17</v>
      </c>
      <c r="BJ568" t="s">
        <v>594</v>
      </c>
      <c r="BK568" t="s">
        <v>595</v>
      </c>
      <c r="BL568" t="s">
        <v>596</v>
      </c>
      <c r="BM568" t="s">
        <v>11242</v>
      </c>
      <c r="BN568" t="s">
        <v>74</v>
      </c>
      <c r="BO568" t="s">
        <v>359</v>
      </c>
      <c r="BP568" t="s">
        <v>74</v>
      </c>
      <c r="BQ568" t="s">
        <v>74</v>
      </c>
      <c r="BR568" t="s">
        <v>106</v>
      </c>
      <c r="BS568" t="s">
        <v>11243</v>
      </c>
      <c r="BT568" t="str">
        <f>HYPERLINK("https%3A%2F%2Fwww.webofscience.com%2Fwos%2Fwoscc%2Ffull-record%2FWOS:000948282000001","View Full Record in Web of Science")</f>
        <v>View Full Record in Web of Science</v>
      </c>
    </row>
    <row r="569" spans="1:72" x14ac:dyDescent="0.15">
      <c r="A569" t="s">
        <v>72</v>
      </c>
      <c r="B569" t="s">
        <v>11244</v>
      </c>
      <c r="C569" t="s">
        <v>74</v>
      </c>
      <c r="D569" t="s">
        <v>74</v>
      </c>
      <c r="E569" t="s">
        <v>74</v>
      </c>
      <c r="F569" t="s">
        <v>11245</v>
      </c>
      <c r="G569" t="s">
        <v>74</v>
      </c>
      <c r="H569" t="s">
        <v>74</v>
      </c>
      <c r="I569" t="s">
        <v>11246</v>
      </c>
      <c r="J569" t="s">
        <v>4693</v>
      </c>
      <c r="K569" t="s">
        <v>74</v>
      </c>
      <c r="L569" t="s">
        <v>74</v>
      </c>
      <c r="M569" t="s">
        <v>78</v>
      </c>
      <c r="N569" t="s">
        <v>112</v>
      </c>
      <c r="O569" t="s">
        <v>74</v>
      </c>
      <c r="P569" t="s">
        <v>74</v>
      </c>
      <c r="Q569" t="s">
        <v>74</v>
      </c>
      <c r="R569" t="s">
        <v>74</v>
      </c>
      <c r="S569" t="s">
        <v>74</v>
      </c>
      <c r="T569" t="s">
        <v>11247</v>
      </c>
      <c r="U569" t="s">
        <v>11248</v>
      </c>
      <c r="V569" t="s">
        <v>11249</v>
      </c>
      <c r="W569" t="s">
        <v>11250</v>
      </c>
      <c r="X569" t="s">
        <v>11251</v>
      </c>
      <c r="Y569" t="s">
        <v>11252</v>
      </c>
      <c r="Z569" t="s">
        <v>11253</v>
      </c>
      <c r="AA569" t="s">
        <v>11254</v>
      </c>
      <c r="AB569" t="s">
        <v>11255</v>
      </c>
      <c r="AC569" t="s">
        <v>11256</v>
      </c>
      <c r="AD569" t="s">
        <v>11257</v>
      </c>
      <c r="AE569" t="s">
        <v>11258</v>
      </c>
      <c r="AF569" t="s">
        <v>74</v>
      </c>
      <c r="AG569">
        <v>51</v>
      </c>
      <c r="AH569">
        <v>0</v>
      </c>
      <c r="AI569">
        <v>0</v>
      </c>
      <c r="AJ569">
        <v>6</v>
      </c>
      <c r="AK569">
        <v>16</v>
      </c>
      <c r="AL569" t="s">
        <v>305</v>
      </c>
      <c r="AM569" t="s">
        <v>306</v>
      </c>
      <c r="AN569" t="s">
        <v>307</v>
      </c>
      <c r="AO569" t="s">
        <v>74</v>
      </c>
      <c r="AP569" t="s">
        <v>4704</v>
      </c>
      <c r="AQ569" t="s">
        <v>74</v>
      </c>
      <c r="AR569" t="s">
        <v>4705</v>
      </c>
      <c r="AS569" t="s">
        <v>4706</v>
      </c>
      <c r="AT569" t="s">
        <v>8042</v>
      </c>
      <c r="AU569">
        <v>2023</v>
      </c>
      <c r="AV569">
        <v>24</v>
      </c>
      <c r="AW569">
        <v>3</v>
      </c>
      <c r="AX569" t="s">
        <v>74</v>
      </c>
      <c r="AY569" t="s">
        <v>74</v>
      </c>
      <c r="AZ569" t="s">
        <v>74</v>
      </c>
      <c r="BA569" t="s">
        <v>74</v>
      </c>
      <c r="BB569" t="s">
        <v>74</v>
      </c>
      <c r="BC569" t="s">
        <v>74</v>
      </c>
      <c r="BD569" t="s">
        <v>11259</v>
      </c>
      <c r="BE569" t="s">
        <v>11260</v>
      </c>
      <c r="BF569" t="str">
        <f>HYPERLINK("http://dx.doi.org/10.1029/2022GC010789","http://dx.doi.org/10.1029/2022GC010789")</f>
        <v>http://dx.doi.org/10.1029/2022GC010789</v>
      </c>
      <c r="BG569" t="s">
        <v>74</v>
      </c>
      <c r="BH569" t="s">
        <v>74</v>
      </c>
      <c r="BI569">
        <v>18</v>
      </c>
      <c r="BJ569" t="s">
        <v>313</v>
      </c>
      <c r="BK569" t="s">
        <v>103</v>
      </c>
      <c r="BL569" t="s">
        <v>313</v>
      </c>
      <c r="BM569" t="s">
        <v>11261</v>
      </c>
      <c r="BN569" t="s">
        <v>74</v>
      </c>
      <c r="BO569" t="s">
        <v>3241</v>
      </c>
      <c r="BP569" t="s">
        <v>74</v>
      </c>
      <c r="BQ569" t="s">
        <v>74</v>
      </c>
      <c r="BR569" t="s">
        <v>106</v>
      </c>
      <c r="BS569" t="s">
        <v>11262</v>
      </c>
      <c r="BT569" t="str">
        <f>HYPERLINK("https%3A%2F%2Fwww.webofscience.com%2Fwos%2Fwoscc%2Ffull-record%2FWOS:000949091600001","View Full Record in Web of Science")</f>
        <v>View Full Record in Web of Science</v>
      </c>
    </row>
    <row r="570" spans="1:72" x14ac:dyDescent="0.15">
      <c r="A570" t="s">
        <v>72</v>
      </c>
      <c r="B570" t="s">
        <v>11263</v>
      </c>
      <c r="C570" t="s">
        <v>74</v>
      </c>
      <c r="D570" t="s">
        <v>74</v>
      </c>
      <c r="E570" t="s">
        <v>74</v>
      </c>
      <c r="F570" t="s">
        <v>11264</v>
      </c>
      <c r="G570" t="s">
        <v>74</v>
      </c>
      <c r="H570" t="s">
        <v>74</v>
      </c>
      <c r="I570" t="s">
        <v>11265</v>
      </c>
      <c r="J570" t="s">
        <v>11266</v>
      </c>
      <c r="K570" t="s">
        <v>74</v>
      </c>
      <c r="L570" t="s">
        <v>74</v>
      </c>
      <c r="M570" t="s">
        <v>78</v>
      </c>
      <c r="N570" t="s">
        <v>112</v>
      </c>
      <c r="O570" t="s">
        <v>74</v>
      </c>
      <c r="P570" t="s">
        <v>74</v>
      </c>
      <c r="Q570" t="s">
        <v>74</v>
      </c>
      <c r="R570" t="s">
        <v>74</v>
      </c>
      <c r="S570" t="s">
        <v>74</v>
      </c>
      <c r="T570" t="s">
        <v>11267</v>
      </c>
      <c r="U570" t="s">
        <v>11268</v>
      </c>
      <c r="V570" t="s">
        <v>11269</v>
      </c>
      <c r="W570" t="s">
        <v>11270</v>
      </c>
      <c r="X570" t="s">
        <v>11271</v>
      </c>
      <c r="Y570" t="s">
        <v>11272</v>
      </c>
      <c r="Z570" t="s">
        <v>11273</v>
      </c>
      <c r="AA570" t="s">
        <v>11274</v>
      </c>
      <c r="AB570" t="s">
        <v>11275</v>
      </c>
      <c r="AC570" t="s">
        <v>11276</v>
      </c>
      <c r="AD570" t="s">
        <v>11277</v>
      </c>
      <c r="AE570" t="s">
        <v>11278</v>
      </c>
      <c r="AF570" t="s">
        <v>74</v>
      </c>
      <c r="AG570">
        <v>50</v>
      </c>
      <c r="AH570">
        <v>3</v>
      </c>
      <c r="AI570">
        <v>3</v>
      </c>
      <c r="AJ570">
        <v>1</v>
      </c>
      <c r="AK570">
        <v>3</v>
      </c>
      <c r="AL570" t="s">
        <v>11279</v>
      </c>
      <c r="AM570" t="s">
        <v>501</v>
      </c>
      <c r="AN570" t="s">
        <v>11280</v>
      </c>
      <c r="AO570" t="s">
        <v>11281</v>
      </c>
      <c r="AP570" t="s">
        <v>74</v>
      </c>
      <c r="AQ570" t="s">
        <v>74</v>
      </c>
      <c r="AR570" t="s">
        <v>11282</v>
      </c>
      <c r="AS570" t="s">
        <v>11283</v>
      </c>
      <c r="AT570" t="s">
        <v>8042</v>
      </c>
      <c r="AU570">
        <v>2023</v>
      </c>
      <c r="AV570">
        <v>14</v>
      </c>
      <c r="AW570">
        <v>2</v>
      </c>
      <c r="AX570" t="s">
        <v>74</v>
      </c>
      <c r="AY570" t="s">
        <v>74</v>
      </c>
      <c r="AZ570" t="s">
        <v>74</v>
      </c>
      <c r="BA570" t="s">
        <v>74</v>
      </c>
      <c r="BB570">
        <v>99</v>
      </c>
      <c r="BC570">
        <v>110</v>
      </c>
      <c r="BD570" t="s">
        <v>74</v>
      </c>
      <c r="BE570" t="s">
        <v>11284</v>
      </c>
      <c r="BF570" t="str">
        <f>HYPERLINK("http://dx.doi.org/10.1016/j.geog.2022.08.004","http://dx.doi.org/10.1016/j.geog.2022.08.004")</f>
        <v>http://dx.doi.org/10.1016/j.geog.2022.08.004</v>
      </c>
      <c r="BG570" t="s">
        <v>74</v>
      </c>
      <c r="BH570" t="s">
        <v>74</v>
      </c>
      <c r="BI570">
        <v>12</v>
      </c>
      <c r="BJ570" t="s">
        <v>313</v>
      </c>
      <c r="BK570" t="s">
        <v>160</v>
      </c>
      <c r="BL570" t="s">
        <v>313</v>
      </c>
      <c r="BM570" t="s">
        <v>11285</v>
      </c>
      <c r="BN570" t="s">
        <v>74</v>
      </c>
      <c r="BO570" t="s">
        <v>359</v>
      </c>
      <c r="BP570" t="s">
        <v>74</v>
      </c>
      <c r="BQ570" t="s">
        <v>74</v>
      </c>
      <c r="BR570" t="s">
        <v>106</v>
      </c>
      <c r="BS570" t="s">
        <v>11286</v>
      </c>
      <c r="BT570" t="str">
        <f>HYPERLINK("https%3A%2F%2Fwww.webofscience.com%2Fwos%2Fwoscc%2Ffull-record%2FWOS:000946687100001","View Full Record in Web of Science")</f>
        <v>View Full Record in Web of Science</v>
      </c>
    </row>
    <row r="571" spans="1:72" x14ac:dyDescent="0.15">
      <c r="A571" t="s">
        <v>72</v>
      </c>
      <c r="B571" t="s">
        <v>11287</v>
      </c>
      <c r="C571" t="s">
        <v>74</v>
      </c>
      <c r="D571" t="s">
        <v>74</v>
      </c>
      <c r="E571" t="s">
        <v>74</v>
      </c>
      <c r="F571" t="s">
        <v>11288</v>
      </c>
      <c r="G571" t="s">
        <v>74</v>
      </c>
      <c r="H571" t="s">
        <v>74</v>
      </c>
      <c r="I571" t="s">
        <v>11289</v>
      </c>
      <c r="J571" t="s">
        <v>1467</v>
      </c>
      <c r="K571" t="s">
        <v>74</v>
      </c>
      <c r="L571" t="s">
        <v>74</v>
      </c>
      <c r="M571" t="s">
        <v>78</v>
      </c>
      <c r="N571" t="s">
        <v>112</v>
      </c>
      <c r="O571" t="s">
        <v>74</v>
      </c>
      <c r="P571" t="s">
        <v>74</v>
      </c>
      <c r="Q571" t="s">
        <v>74</v>
      </c>
      <c r="R571" t="s">
        <v>74</v>
      </c>
      <c r="S571" t="s">
        <v>74</v>
      </c>
      <c r="T571" t="s">
        <v>11290</v>
      </c>
      <c r="U571" t="s">
        <v>11291</v>
      </c>
      <c r="V571" t="s">
        <v>11292</v>
      </c>
      <c r="W571" t="s">
        <v>11293</v>
      </c>
      <c r="X571" t="s">
        <v>74</v>
      </c>
      <c r="Y571" t="s">
        <v>11294</v>
      </c>
      <c r="Z571" t="s">
        <v>11295</v>
      </c>
      <c r="AA571" t="s">
        <v>74</v>
      </c>
      <c r="AB571" t="s">
        <v>74</v>
      </c>
      <c r="AC571" t="s">
        <v>74</v>
      </c>
      <c r="AD571" t="s">
        <v>74</v>
      </c>
      <c r="AE571" t="s">
        <v>74</v>
      </c>
      <c r="AF571" t="s">
        <v>74</v>
      </c>
      <c r="AG571">
        <v>32</v>
      </c>
      <c r="AH571">
        <v>0</v>
      </c>
      <c r="AI571">
        <v>0</v>
      </c>
      <c r="AJ571">
        <v>3</v>
      </c>
      <c r="AK571">
        <v>4</v>
      </c>
      <c r="AL571" t="s">
        <v>125</v>
      </c>
      <c r="AM571" t="s">
        <v>126</v>
      </c>
      <c r="AN571" t="s">
        <v>127</v>
      </c>
      <c r="AO571" t="s">
        <v>1479</v>
      </c>
      <c r="AP571" t="s">
        <v>74</v>
      </c>
      <c r="AQ571" t="s">
        <v>74</v>
      </c>
      <c r="AR571" t="s">
        <v>1480</v>
      </c>
      <c r="AS571" t="s">
        <v>1481</v>
      </c>
      <c r="AT571" t="s">
        <v>8042</v>
      </c>
      <c r="AU571">
        <v>2023</v>
      </c>
      <c r="AV571">
        <v>13</v>
      </c>
      <c r="AW571">
        <v>5</v>
      </c>
      <c r="AX571" t="s">
        <v>74</v>
      </c>
      <c r="AY571" t="s">
        <v>74</v>
      </c>
      <c r="AZ571" t="s">
        <v>74</v>
      </c>
      <c r="BA571" t="s">
        <v>74</v>
      </c>
      <c r="BB571" t="s">
        <v>74</v>
      </c>
      <c r="BC571" t="s">
        <v>74</v>
      </c>
      <c r="BD571">
        <v>835</v>
      </c>
      <c r="BE571" t="s">
        <v>11296</v>
      </c>
      <c r="BF571" t="str">
        <f>HYPERLINK("http://dx.doi.org/10.3390/ani13050835","http://dx.doi.org/10.3390/ani13050835")</f>
        <v>http://dx.doi.org/10.3390/ani13050835</v>
      </c>
      <c r="BG571" t="s">
        <v>74</v>
      </c>
      <c r="BH571" t="s">
        <v>74</v>
      </c>
      <c r="BI571">
        <v>16</v>
      </c>
      <c r="BJ571" t="s">
        <v>1484</v>
      </c>
      <c r="BK571" t="s">
        <v>103</v>
      </c>
      <c r="BL571" t="s">
        <v>1485</v>
      </c>
      <c r="BM571" t="s">
        <v>11297</v>
      </c>
      <c r="BN571">
        <v>36899692</v>
      </c>
      <c r="BO571" t="s">
        <v>136</v>
      </c>
      <c r="BP571" t="s">
        <v>74</v>
      </c>
      <c r="BQ571" t="s">
        <v>74</v>
      </c>
      <c r="BR571" t="s">
        <v>106</v>
      </c>
      <c r="BS571" t="s">
        <v>11298</v>
      </c>
      <c r="BT571" t="str">
        <f>HYPERLINK("https%3A%2F%2Fwww.webofscience.com%2Fwos%2Fwoscc%2Ffull-record%2FWOS:000947618900001","View Full Record in Web of Science")</f>
        <v>View Full Record in Web of Science</v>
      </c>
    </row>
    <row r="572" spans="1:72" x14ac:dyDescent="0.15">
      <c r="A572" t="s">
        <v>72</v>
      </c>
      <c r="B572" t="s">
        <v>11299</v>
      </c>
      <c r="C572" t="s">
        <v>74</v>
      </c>
      <c r="D572" t="s">
        <v>74</v>
      </c>
      <c r="E572" t="s">
        <v>74</v>
      </c>
      <c r="F572" t="s">
        <v>11300</v>
      </c>
      <c r="G572" t="s">
        <v>74</v>
      </c>
      <c r="H572" t="s">
        <v>74</v>
      </c>
      <c r="I572" t="s">
        <v>11301</v>
      </c>
      <c r="J572" t="s">
        <v>11302</v>
      </c>
      <c r="K572" t="s">
        <v>74</v>
      </c>
      <c r="L572" t="s">
        <v>74</v>
      </c>
      <c r="M572" t="s">
        <v>78</v>
      </c>
      <c r="N572" t="s">
        <v>112</v>
      </c>
      <c r="O572" t="s">
        <v>74</v>
      </c>
      <c r="P572" t="s">
        <v>74</v>
      </c>
      <c r="Q572" t="s">
        <v>74</v>
      </c>
      <c r="R572" t="s">
        <v>74</v>
      </c>
      <c r="S572" t="s">
        <v>74</v>
      </c>
      <c r="T572" t="s">
        <v>11303</v>
      </c>
      <c r="U572" t="s">
        <v>11304</v>
      </c>
      <c r="V572" t="s">
        <v>11305</v>
      </c>
      <c r="W572" t="s">
        <v>11306</v>
      </c>
      <c r="X572" t="s">
        <v>11307</v>
      </c>
      <c r="Y572" t="s">
        <v>11308</v>
      </c>
      <c r="Z572" t="s">
        <v>11309</v>
      </c>
      <c r="AA572" t="s">
        <v>11310</v>
      </c>
      <c r="AB572" t="s">
        <v>11311</v>
      </c>
      <c r="AC572" t="s">
        <v>11312</v>
      </c>
      <c r="AD572" t="s">
        <v>11313</v>
      </c>
      <c r="AE572" t="s">
        <v>11314</v>
      </c>
      <c r="AF572" t="s">
        <v>74</v>
      </c>
      <c r="AG572">
        <v>49</v>
      </c>
      <c r="AH572">
        <v>6</v>
      </c>
      <c r="AI572">
        <v>6</v>
      </c>
      <c r="AJ572">
        <v>0</v>
      </c>
      <c r="AK572">
        <v>0</v>
      </c>
      <c r="AL572" t="s">
        <v>305</v>
      </c>
      <c r="AM572" t="s">
        <v>306</v>
      </c>
      <c r="AN572" t="s">
        <v>307</v>
      </c>
      <c r="AO572" t="s">
        <v>74</v>
      </c>
      <c r="AP572" t="s">
        <v>11315</v>
      </c>
      <c r="AQ572" t="s">
        <v>74</v>
      </c>
      <c r="AR572" t="s">
        <v>11316</v>
      </c>
      <c r="AS572" t="s">
        <v>11317</v>
      </c>
      <c r="AT572" t="s">
        <v>8042</v>
      </c>
      <c r="AU572">
        <v>2023</v>
      </c>
      <c r="AV572">
        <v>15</v>
      </c>
      <c r="AW572">
        <v>3</v>
      </c>
      <c r="AX572" t="s">
        <v>74</v>
      </c>
      <c r="AY572" t="s">
        <v>74</v>
      </c>
      <c r="AZ572" t="s">
        <v>74</v>
      </c>
      <c r="BA572" t="s">
        <v>74</v>
      </c>
      <c r="BB572" t="s">
        <v>74</v>
      </c>
      <c r="BC572" t="s">
        <v>74</v>
      </c>
      <c r="BD572" t="s">
        <v>11318</v>
      </c>
      <c r="BE572" t="s">
        <v>11319</v>
      </c>
      <c r="BF572" t="str">
        <f>HYPERLINK("http://dx.doi.org/10.1029/2022MS003305","http://dx.doi.org/10.1029/2022MS003305")</f>
        <v>http://dx.doi.org/10.1029/2022MS003305</v>
      </c>
      <c r="BG572" t="s">
        <v>74</v>
      </c>
      <c r="BH572" t="s">
        <v>74</v>
      </c>
      <c r="BI572">
        <v>20</v>
      </c>
      <c r="BJ572" t="s">
        <v>102</v>
      </c>
      <c r="BK572" t="s">
        <v>103</v>
      </c>
      <c r="BL572" t="s">
        <v>102</v>
      </c>
      <c r="BM572" t="s">
        <v>11320</v>
      </c>
      <c r="BN572" t="s">
        <v>74</v>
      </c>
      <c r="BO572" t="s">
        <v>6496</v>
      </c>
      <c r="BP572" t="s">
        <v>74</v>
      </c>
      <c r="BQ572" t="s">
        <v>74</v>
      </c>
      <c r="BR572" t="s">
        <v>106</v>
      </c>
      <c r="BS572" t="s">
        <v>11321</v>
      </c>
      <c r="BT572" t="str">
        <f>HYPERLINK("https%3A%2F%2Fwww.webofscience.com%2Fwos%2Fwoscc%2Ffull-record%2FWOS:000946201500001","View Full Record in Web of Science")</f>
        <v>View Full Record in Web of Science</v>
      </c>
    </row>
    <row r="573" spans="1:72" x14ac:dyDescent="0.15">
      <c r="A573" t="s">
        <v>72</v>
      </c>
      <c r="B573" t="s">
        <v>11322</v>
      </c>
      <c r="C573" t="s">
        <v>74</v>
      </c>
      <c r="D573" t="s">
        <v>74</v>
      </c>
      <c r="E573" t="s">
        <v>74</v>
      </c>
      <c r="F573" t="s">
        <v>11323</v>
      </c>
      <c r="G573" t="s">
        <v>74</v>
      </c>
      <c r="H573" t="s">
        <v>74</v>
      </c>
      <c r="I573" t="s">
        <v>11324</v>
      </c>
      <c r="J573" t="s">
        <v>268</v>
      </c>
      <c r="K573" t="s">
        <v>74</v>
      </c>
      <c r="L573" t="s">
        <v>74</v>
      </c>
      <c r="M573" t="s">
        <v>78</v>
      </c>
      <c r="N573" t="s">
        <v>112</v>
      </c>
      <c r="O573" t="s">
        <v>74</v>
      </c>
      <c r="P573" t="s">
        <v>74</v>
      </c>
      <c r="Q573" t="s">
        <v>74</v>
      </c>
      <c r="R573" t="s">
        <v>74</v>
      </c>
      <c r="S573" t="s">
        <v>74</v>
      </c>
      <c r="T573" t="s">
        <v>11325</v>
      </c>
      <c r="U573" t="s">
        <v>11326</v>
      </c>
      <c r="V573" t="s">
        <v>11327</v>
      </c>
      <c r="W573" t="s">
        <v>11328</v>
      </c>
      <c r="X573" t="s">
        <v>11329</v>
      </c>
      <c r="Y573" t="s">
        <v>11330</v>
      </c>
      <c r="Z573" t="s">
        <v>11331</v>
      </c>
      <c r="AA573" t="s">
        <v>11332</v>
      </c>
      <c r="AB573" t="s">
        <v>11333</v>
      </c>
      <c r="AC573" t="s">
        <v>11334</v>
      </c>
      <c r="AD573" t="s">
        <v>11335</v>
      </c>
      <c r="AE573" t="s">
        <v>11336</v>
      </c>
      <c r="AF573" t="s">
        <v>74</v>
      </c>
      <c r="AG573">
        <v>96</v>
      </c>
      <c r="AH573">
        <v>16</v>
      </c>
      <c r="AI573">
        <v>16</v>
      </c>
      <c r="AJ573">
        <v>16</v>
      </c>
      <c r="AK573">
        <v>26</v>
      </c>
      <c r="AL573" t="s">
        <v>91</v>
      </c>
      <c r="AM573" t="s">
        <v>92</v>
      </c>
      <c r="AN573" t="s">
        <v>93</v>
      </c>
      <c r="AO573" t="s">
        <v>281</v>
      </c>
      <c r="AP573" t="s">
        <v>282</v>
      </c>
      <c r="AQ573" t="s">
        <v>74</v>
      </c>
      <c r="AR573" t="s">
        <v>283</v>
      </c>
      <c r="AS573" t="s">
        <v>284</v>
      </c>
      <c r="AT573" t="s">
        <v>8042</v>
      </c>
      <c r="AU573">
        <v>2023</v>
      </c>
      <c r="AV573">
        <v>36</v>
      </c>
      <c r="AW573">
        <v>6</v>
      </c>
      <c r="AX573" t="s">
        <v>74</v>
      </c>
      <c r="AY573" t="s">
        <v>74</v>
      </c>
      <c r="AZ573" t="s">
        <v>74</v>
      </c>
      <c r="BA573" t="s">
        <v>74</v>
      </c>
      <c r="BB573">
        <v>1605</v>
      </c>
      <c r="BC573">
        <v>1631</v>
      </c>
      <c r="BD573" t="s">
        <v>74</v>
      </c>
      <c r="BE573" t="s">
        <v>11337</v>
      </c>
      <c r="BF573" t="str">
        <f>HYPERLINK("http://dx.doi.org/10.1175/JCLI-D-21-0929.1","http://dx.doi.org/10.1175/JCLI-D-21-0929.1")</f>
        <v>http://dx.doi.org/10.1175/JCLI-D-21-0929.1</v>
      </c>
      <c r="BG573" t="s">
        <v>74</v>
      </c>
      <c r="BH573" t="s">
        <v>74</v>
      </c>
      <c r="BI573">
        <v>27</v>
      </c>
      <c r="BJ573" t="s">
        <v>102</v>
      </c>
      <c r="BK573" t="s">
        <v>103</v>
      </c>
      <c r="BL573" t="s">
        <v>102</v>
      </c>
      <c r="BM573" t="s">
        <v>11338</v>
      </c>
      <c r="BN573" t="s">
        <v>74</v>
      </c>
      <c r="BO573" t="s">
        <v>74</v>
      </c>
      <c r="BP573" t="s">
        <v>1849</v>
      </c>
      <c r="BQ573" t="s">
        <v>1850</v>
      </c>
      <c r="BR573" t="s">
        <v>106</v>
      </c>
      <c r="BS573" t="s">
        <v>11339</v>
      </c>
      <c r="BT573" t="str">
        <f>HYPERLINK("https%3A%2F%2Fwww.webofscience.com%2Fwos%2Fwoscc%2Ffull-record%2FWOS:000937384500001","View Full Record in Web of Science")</f>
        <v>View Full Record in Web of Science</v>
      </c>
    </row>
    <row r="574" spans="1:72" x14ac:dyDescent="0.15">
      <c r="A574" t="s">
        <v>72</v>
      </c>
      <c r="B574" t="s">
        <v>11340</v>
      </c>
      <c r="C574" t="s">
        <v>74</v>
      </c>
      <c r="D574" t="s">
        <v>74</v>
      </c>
      <c r="E574" t="s">
        <v>74</v>
      </c>
      <c r="F574" t="s">
        <v>11341</v>
      </c>
      <c r="G574" t="s">
        <v>74</v>
      </c>
      <c r="H574" t="s">
        <v>74</v>
      </c>
      <c r="I574" t="s">
        <v>11342</v>
      </c>
      <c r="J574" t="s">
        <v>5912</v>
      </c>
      <c r="K574" t="s">
        <v>74</v>
      </c>
      <c r="L574" t="s">
        <v>74</v>
      </c>
      <c r="M574" t="s">
        <v>78</v>
      </c>
      <c r="N574" t="s">
        <v>112</v>
      </c>
      <c r="O574" t="s">
        <v>74</v>
      </c>
      <c r="P574" t="s">
        <v>74</v>
      </c>
      <c r="Q574" t="s">
        <v>74</v>
      </c>
      <c r="R574" t="s">
        <v>74</v>
      </c>
      <c r="S574" t="s">
        <v>74</v>
      </c>
      <c r="T574" t="s">
        <v>11343</v>
      </c>
      <c r="U574" t="s">
        <v>11344</v>
      </c>
      <c r="V574" t="s">
        <v>11345</v>
      </c>
      <c r="W574" t="s">
        <v>11346</v>
      </c>
      <c r="X574" t="s">
        <v>11347</v>
      </c>
      <c r="Y574" t="s">
        <v>11348</v>
      </c>
      <c r="Z574" t="s">
        <v>11349</v>
      </c>
      <c r="AA574" t="s">
        <v>74</v>
      </c>
      <c r="AB574" t="s">
        <v>74</v>
      </c>
      <c r="AC574" t="s">
        <v>11350</v>
      </c>
      <c r="AD574" t="s">
        <v>11351</v>
      </c>
      <c r="AE574" t="s">
        <v>11352</v>
      </c>
      <c r="AF574" t="s">
        <v>74</v>
      </c>
      <c r="AG574">
        <v>36</v>
      </c>
      <c r="AH574">
        <v>1</v>
      </c>
      <c r="AI574">
        <v>2</v>
      </c>
      <c r="AJ574">
        <v>4</v>
      </c>
      <c r="AK574">
        <v>16</v>
      </c>
      <c r="AL574" t="s">
        <v>768</v>
      </c>
      <c r="AM574" t="s">
        <v>179</v>
      </c>
      <c r="AN574" t="s">
        <v>769</v>
      </c>
      <c r="AO574" t="s">
        <v>5922</v>
      </c>
      <c r="AP574" t="s">
        <v>5923</v>
      </c>
      <c r="AQ574" t="s">
        <v>74</v>
      </c>
      <c r="AR574" t="s">
        <v>5924</v>
      </c>
      <c r="AS574" t="s">
        <v>5925</v>
      </c>
      <c r="AT574" t="s">
        <v>8042</v>
      </c>
      <c r="AU574">
        <v>2023</v>
      </c>
      <c r="AV574">
        <v>97</v>
      </c>
      <c r="AW574">
        <v>3</v>
      </c>
      <c r="AX574" t="s">
        <v>74</v>
      </c>
      <c r="AY574" t="s">
        <v>74</v>
      </c>
      <c r="AZ574" t="s">
        <v>74</v>
      </c>
      <c r="BA574" t="s">
        <v>74</v>
      </c>
      <c r="BB574" t="s">
        <v>74</v>
      </c>
      <c r="BC574" t="s">
        <v>74</v>
      </c>
      <c r="BD574">
        <v>20</v>
      </c>
      <c r="BE574" t="s">
        <v>11353</v>
      </c>
      <c r="BF574" t="str">
        <f>HYPERLINK("http://dx.doi.org/10.1007/s00190-023-01707-3","http://dx.doi.org/10.1007/s00190-023-01707-3")</f>
        <v>http://dx.doi.org/10.1007/s00190-023-01707-3</v>
      </c>
      <c r="BG574" t="s">
        <v>74</v>
      </c>
      <c r="BH574" t="s">
        <v>74</v>
      </c>
      <c r="BI574">
        <v>16</v>
      </c>
      <c r="BJ574" t="s">
        <v>5927</v>
      </c>
      <c r="BK574" t="s">
        <v>103</v>
      </c>
      <c r="BL574" t="s">
        <v>5927</v>
      </c>
      <c r="BM574" t="s">
        <v>11354</v>
      </c>
      <c r="BN574" t="s">
        <v>74</v>
      </c>
      <c r="BO574" t="s">
        <v>74</v>
      </c>
      <c r="BP574" t="s">
        <v>74</v>
      </c>
      <c r="BQ574" t="s">
        <v>74</v>
      </c>
      <c r="BR574" t="s">
        <v>106</v>
      </c>
      <c r="BS574" t="s">
        <v>11355</v>
      </c>
      <c r="BT574" t="str">
        <f>HYPERLINK("https%3A%2F%2Fwww.webofscience.com%2Fwos%2Fwoscc%2Ffull-record%2FWOS:000943087400001","View Full Record in Web of Science")</f>
        <v>View Full Record in Web of Science</v>
      </c>
    </row>
    <row r="575" spans="1:72" x14ac:dyDescent="0.15">
      <c r="A575" t="s">
        <v>72</v>
      </c>
      <c r="B575" t="s">
        <v>11356</v>
      </c>
      <c r="C575" t="s">
        <v>74</v>
      </c>
      <c r="D575" t="s">
        <v>74</v>
      </c>
      <c r="E575" t="s">
        <v>74</v>
      </c>
      <c r="F575" t="s">
        <v>11357</v>
      </c>
      <c r="G575" t="s">
        <v>74</v>
      </c>
      <c r="H575" t="s">
        <v>74</v>
      </c>
      <c r="I575" t="s">
        <v>11358</v>
      </c>
      <c r="J575" t="s">
        <v>981</v>
      </c>
      <c r="K575" t="s">
        <v>74</v>
      </c>
      <c r="L575" t="s">
        <v>74</v>
      </c>
      <c r="M575" t="s">
        <v>78</v>
      </c>
      <c r="N575" t="s">
        <v>112</v>
      </c>
      <c r="O575" t="s">
        <v>74</v>
      </c>
      <c r="P575" t="s">
        <v>74</v>
      </c>
      <c r="Q575" t="s">
        <v>74</v>
      </c>
      <c r="R575" t="s">
        <v>74</v>
      </c>
      <c r="S575" t="s">
        <v>74</v>
      </c>
      <c r="T575" t="s">
        <v>11359</v>
      </c>
      <c r="U575" t="s">
        <v>11360</v>
      </c>
      <c r="V575" t="s">
        <v>11361</v>
      </c>
      <c r="W575" t="s">
        <v>11362</v>
      </c>
      <c r="X575" t="s">
        <v>11363</v>
      </c>
      <c r="Y575" t="s">
        <v>11364</v>
      </c>
      <c r="Z575" t="s">
        <v>11365</v>
      </c>
      <c r="AA575" t="s">
        <v>11366</v>
      </c>
      <c r="AB575" t="s">
        <v>11367</v>
      </c>
      <c r="AC575" t="s">
        <v>74</v>
      </c>
      <c r="AD575" t="s">
        <v>74</v>
      </c>
      <c r="AE575" t="s">
        <v>74</v>
      </c>
      <c r="AF575" t="s">
        <v>74</v>
      </c>
      <c r="AG575">
        <v>62</v>
      </c>
      <c r="AH575">
        <v>1</v>
      </c>
      <c r="AI575">
        <v>1</v>
      </c>
      <c r="AJ575">
        <v>7</v>
      </c>
      <c r="AK575">
        <v>17</v>
      </c>
      <c r="AL575" t="s">
        <v>125</v>
      </c>
      <c r="AM575" t="s">
        <v>126</v>
      </c>
      <c r="AN575" t="s">
        <v>127</v>
      </c>
      <c r="AO575" t="s">
        <v>74</v>
      </c>
      <c r="AP575" t="s">
        <v>992</v>
      </c>
      <c r="AQ575" t="s">
        <v>74</v>
      </c>
      <c r="AR575" t="s">
        <v>993</v>
      </c>
      <c r="AS575" t="s">
        <v>994</v>
      </c>
      <c r="AT575" t="s">
        <v>8042</v>
      </c>
      <c r="AU575">
        <v>2023</v>
      </c>
      <c r="AV575">
        <v>15</v>
      </c>
      <c r="AW575">
        <v>5</v>
      </c>
      <c r="AX575" t="s">
        <v>74</v>
      </c>
      <c r="AY575" t="s">
        <v>74</v>
      </c>
      <c r="AZ575" t="s">
        <v>74</v>
      </c>
      <c r="BA575" t="s">
        <v>74</v>
      </c>
      <c r="BB575" t="s">
        <v>74</v>
      </c>
      <c r="BC575" t="s">
        <v>74</v>
      </c>
      <c r="BD575">
        <v>1296</v>
      </c>
      <c r="BE575" t="s">
        <v>11368</v>
      </c>
      <c r="BF575" t="str">
        <f>HYPERLINK("http://dx.doi.org/10.3390/rs15051296","http://dx.doi.org/10.3390/rs15051296")</f>
        <v>http://dx.doi.org/10.3390/rs15051296</v>
      </c>
      <c r="BG575" t="s">
        <v>74</v>
      </c>
      <c r="BH575" t="s">
        <v>74</v>
      </c>
      <c r="BI575">
        <v>25</v>
      </c>
      <c r="BJ575" t="s">
        <v>996</v>
      </c>
      <c r="BK575" t="s">
        <v>103</v>
      </c>
      <c r="BL575" t="s">
        <v>997</v>
      </c>
      <c r="BM575" t="s">
        <v>11369</v>
      </c>
      <c r="BN575" t="s">
        <v>74</v>
      </c>
      <c r="BO575" t="s">
        <v>359</v>
      </c>
      <c r="BP575" t="s">
        <v>74</v>
      </c>
      <c r="BQ575" t="s">
        <v>74</v>
      </c>
      <c r="BR575" t="s">
        <v>106</v>
      </c>
      <c r="BS575" t="s">
        <v>11370</v>
      </c>
      <c r="BT575" t="str">
        <f>HYPERLINK("https%3A%2F%2Fwww.webofscience.com%2Fwos%2Fwoscc%2Ffull-record%2FWOS:000947710100001","View Full Record in Web of Science")</f>
        <v>View Full Record in Web of Science</v>
      </c>
    </row>
    <row r="576" spans="1:72" x14ac:dyDescent="0.15">
      <c r="A576" t="s">
        <v>72</v>
      </c>
      <c r="B576" t="s">
        <v>11371</v>
      </c>
      <c r="C576" t="s">
        <v>74</v>
      </c>
      <c r="D576" t="s">
        <v>74</v>
      </c>
      <c r="E576" t="s">
        <v>74</v>
      </c>
      <c r="F576" t="s">
        <v>11372</v>
      </c>
      <c r="G576" t="s">
        <v>74</v>
      </c>
      <c r="H576" t="s">
        <v>74</v>
      </c>
      <c r="I576" t="s">
        <v>11373</v>
      </c>
      <c r="J576" t="s">
        <v>11374</v>
      </c>
      <c r="K576" t="s">
        <v>74</v>
      </c>
      <c r="L576" t="s">
        <v>74</v>
      </c>
      <c r="M576" t="s">
        <v>78</v>
      </c>
      <c r="N576" t="s">
        <v>112</v>
      </c>
      <c r="O576" t="s">
        <v>74</v>
      </c>
      <c r="P576" t="s">
        <v>74</v>
      </c>
      <c r="Q576" t="s">
        <v>74</v>
      </c>
      <c r="R576" t="s">
        <v>74</v>
      </c>
      <c r="S576" t="s">
        <v>74</v>
      </c>
      <c r="T576" t="s">
        <v>74</v>
      </c>
      <c r="U576" t="s">
        <v>11375</v>
      </c>
      <c r="V576" t="s">
        <v>11376</v>
      </c>
      <c r="W576" t="s">
        <v>11377</v>
      </c>
      <c r="X576" t="s">
        <v>11378</v>
      </c>
      <c r="Y576" t="s">
        <v>11379</v>
      </c>
      <c r="Z576" t="s">
        <v>11380</v>
      </c>
      <c r="AA576" t="s">
        <v>11381</v>
      </c>
      <c r="AB576" t="s">
        <v>11382</v>
      </c>
      <c r="AC576" t="s">
        <v>11383</v>
      </c>
      <c r="AD576" t="s">
        <v>11384</v>
      </c>
      <c r="AE576" t="s">
        <v>11385</v>
      </c>
      <c r="AF576" t="s">
        <v>74</v>
      </c>
      <c r="AG576">
        <v>79</v>
      </c>
      <c r="AH576">
        <v>4</v>
      </c>
      <c r="AI576">
        <v>4</v>
      </c>
      <c r="AJ576">
        <v>8</v>
      </c>
      <c r="AK576">
        <v>21</v>
      </c>
      <c r="AL576" t="s">
        <v>794</v>
      </c>
      <c r="AM576" t="s">
        <v>795</v>
      </c>
      <c r="AN576" t="s">
        <v>796</v>
      </c>
      <c r="AO576" t="s">
        <v>11386</v>
      </c>
      <c r="AP576" t="s">
        <v>11387</v>
      </c>
      <c r="AQ576" t="s">
        <v>74</v>
      </c>
      <c r="AR576" t="s">
        <v>11388</v>
      </c>
      <c r="AS576" t="s">
        <v>11389</v>
      </c>
      <c r="AT576" t="s">
        <v>10271</v>
      </c>
      <c r="AU576">
        <v>2023</v>
      </c>
      <c r="AV576">
        <v>27</v>
      </c>
      <c r="AW576">
        <v>4</v>
      </c>
      <c r="AX576" t="s">
        <v>74</v>
      </c>
      <c r="AY576" t="s">
        <v>74</v>
      </c>
      <c r="AZ576" t="s">
        <v>74</v>
      </c>
      <c r="BA576" t="s">
        <v>74</v>
      </c>
      <c r="BB576">
        <v>933</v>
      </c>
      <c r="BC576">
        <v>952</v>
      </c>
      <c r="BD576" t="s">
        <v>74</v>
      </c>
      <c r="BE576" t="s">
        <v>11390</v>
      </c>
      <c r="BF576" t="str">
        <f>HYPERLINK("http://dx.doi.org/10.5194/hess-27-933-2023","http://dx.doi.org/10.5194/hess-27-933-2023")</f>
        <v>http://dx.doi.org/10.5194/hess-27-933-2023</v>
      </c>
      <c r="BG576" t="s">
        <v>74</v>
      </c>
      <c r="BH576" t="s">
        <v>74</v>
      </c>
      <c r="BI576">
        <v>20</v>
      </c>
      <c r="BJ576" t="s">
        <v>11391</v>
      </c>
      <c r="BK576" t="s">
        <v>103</v>
      </c>
      <c r="BL576" t="s">
        <v>11392</v>
      </c>
      <c r="BM576" t="s">
        <v>11393</v>
      </c>
      <c r="BN576" t="s">
        <v>74</v>
      </c>
      <c r="BO576" t="s">
        <v>359</v>
      </c>
      <c r="BP576" t="s">
        <v>74</v>
      </c>
      <c r="BQ576" t="s">
        <v>74</v>
      </c>
      <c r="BR576" t="s">
        <v>106</v>
      </c>
      <c r="BS576" t="s">
        <v>11394</v>
      </c>
      <c r="BT576" t="str">
        <f>HYPERLINK("https%3A%2F%2Fwww.webofscience.com%2Fwos%2Fwoscc%2Ffull-record%2FWOS:000941564200001","View Full Record in Web of Science")</f>
        <v>View Full Record in Web of Science</v>
      </c>
    </row>
    <row r="577" spans="1:72" x14ac:dyDescent="0.15">
      <c r="A577" t="s">
        <v>72</v>
      </c>
      <c r="B577" t="s">
        <v>11395</v>
      </c>
      <c r="C577" t="s">
        <v>74</v>
      </c>
      <c r="D577" t="s">
        <v>74</v>
      </c>
      <c r="E577" t="s">
        <v>74</v>
      </c>
      <c r="F577" t="s">
        <v>11396</v>
      </c>
      <c r="G577" t="s">
        <v>74</v>
      </c>
      <c r="H577" t="s">
        <v>74</v>
      </c>
      <c r="I577" t="s">
        <v>11397</v>
      </c>
      <c r="J577" t="s">
        <v>1534</v>
      </c>
      <c r="K577" t="s">
        <v>74</v>
      </c>
      <c r="L577" t="s">
        <v>74</v>
      </c>
      <c r="M577" t="s">
        <v>78</v>
      </c>
      <c r="N577" t="s">
        <v>112</v>
      </c>
      <c r="O577" t="s">
        <v>74</v>
      </c>
      <c r="P577" t="s">
        <v>74</v>
      </c>
      <c r="Q577" t="s">
        <v>74</v>
      </c>
      <c r="R577" t="s">
        <v>74</v>
      </c>
      <c r="S577" t="s">
        <v>74</v>
      </c>
      <c r="T577" t="s">
        <v>11398</v>
      </c>
      <c r="U577" t="s">
        <v>11399</v>
      </c>
      <c r="V577" t="s">
        <v>11400</v>
      </c>
      <c r="W577" t="s">
        <v>11401</v>
      </c>
      <c r="X577" t="s">
        <v>11402</v>
      </c>
      <c r="Y577" t="s">
        <v>11403</v>
      </c>
      <c r="Z577" t="s">
        <v>11404</v>
      </c>
      <c r="AA577" t="s">
        <v>11405</v>
      </c>
      <c r="AB577" t="s">
        <v>11406</v>
      </c>
      <c r="AC577" t="s">
        <v>74</v>
      </c>
      <c r="AD577" t="s">
        <v>74</v>
      </c>
      <c r="AE577" t="s">
        <v>74</v>
      </c>
      <c r="AF577" t="s">
        <v>74</v>
      </c>
      <c r="AG577">
        <v>96</v>
      </c>
      <c r="AH577">
        <v>2</v>
      </c>
      <c r="AI577">
        <v>2</v>
      </c>
      <c r="AJ577">
        <v>3</v>
      </c>
      <c r="AK577">
        <v>8</v>
      </c>
      <c r="AL577" t="s">
        <v>1101</v>
      </c>
      <c r="AM577" t="s">
        <v>179</v>
      </c>
      <c r="AN577" t="s">
        <v>1543</v>
      </c>
      <c r="AO577" t="s">
        <v>1544</v>
      </c>
      <c r="AP577" t="s">
        <v>1545</v>
      </c>
      <c r="AQ577" t="s">
        <v>74</v>
      </c>
      <c r="AR577" t="s">
        <v>1546</v>
      </c>
      <c r="AS577" t="s">
        <v>1547</v>
      </c>
      <c r="AT577" t="s">
        <v>1437</v>
      </c>
      <c r="AU577">
        <v>2023</v>
      </c>
      <c r="AV577">
        <v>35</v>
      </c>
      <c r="AW577">
        <v>2</v>
      </c>
      <c r="AX577" t="s">
        <v>74</v>
      </c>
      <c r="AY577" t="s">
        <v>74</v>
      </c>
      <c r="AZ577" t="s">
        <v>74</v>
      </c>
      <c r="BA577" t="s">
        <v>74</v>
      </c>
      <c r="BB577">
        <v>103</v>
      </c>
      <c r="BC577">
        <v>119</v>
      </c>
      <c r="BD577" t="s">
        <v>11407</v>
      </c>
      <c r="BE577" t="s">
        <v>11408</v>
      </c>
      <c r="BF577" t="str">
        <f>HYPERLINK("http://dx.doi.org/10.1017/S0954102023000019","http://dx.doi.org/10.1017/S0954102023000019")</f>
        <v>http://dx.doi.org/10.1017/S0954102023000019</v>
      </c>
      <c r="BG577" t="s">
        <v>74</v>
      </c>
      <c r="BH577" t="s">
        <v>6218</v>
      </c>
      <c r="BI577">
        <v>17</v>
      </c>
      <c r="BJ577" t="s">
        <v>1550</v>
      </c>
      <c r="BK577" t="s">
        <v>103</v>
      </c>
      <c r="BL577" t="s">
        <v>1551</v>
      </c>
      <c r="BM577" t="s">
        <v>1581</v>
      </c>
      <c r="BN577" t="s">
        <v>74</v>
      </c>
      <c r="BO577" t="s">
        <v>11409</v>
      </c>
      <c r="BP577" t="s">
        <v>74</v>
      </c>
      <c r="BQ577" t="s">
        <v>74</v>
      </c>
      <c r="BR577" t="s">
        <v>106</v>
      </c>
      <c r="BS577" t="s">
        <v>11410</v>
      </c>
      <c r="BT577" t="str">
        <f>HYPERLINK("https%3A%2F%2Fwww.webofscience.com%2Fwos%2Fwoscc%2Ffull-record%2FWOS:000941052800001","View Full Record in Web of Science")</f>
        <v>View Full Record in Web of Science</v>
      </c>
    </row>
    <row r="578" spans="1:72" x14ac:dyDescent="0.15">
      <c r="A578" t="s">
        <v>72</v>
      </c>
      <c r="B578" t="s">
        <v>11411</v>
      </c>
      <c r="C578" t="s">
        <v>74</v>
      </c>
      <c r="D578" t="s">
        <v>74</v>
      </c>
      <c r="E578" t="s">
        <v>74</v>
      </c>
      <c r="F578" t="s">
        <v>11412</v>
      </c>
      <c r="G578" t="s">
        <v>74</v>
      </c>
      <c r="H578" t="s">
        <v>74</v>
      </c>
      <c r="I578" t="s">
        <v>11413</v>
      </c>
      <c r="J578" t="s">
        <v>11414</v>
      </c>
      <c r="K578" t="s">
        <v>74</v>
      </c>
      <c r="L578" t="s">
        <v>74</v>
      </c>
      <c r="M578" t="s">
        <v>78</v>
      </c>
      <c r="N578" t="s">
        <v>112</v>
      </c>
      <c r="O578" t="s">
        <v>74</v>
      </c>
      <c r="P578" t="s">
        <v>74</v>
      </c>
      <c r="Q578" t="s">
        <v>74</v>
      </c>
      <c r="R578" t="s">
        <v>74</v>
      </c>
      <c r="S578" t="s">
        <v>74</v>
      </c>
      <c r="T578" t="s">
        <v>11415</v>
      </c>
      <c r="U578" t="s">
        <v>11416</v>
      </c>
      <c r="V578" t="s">
        <v>11417</v>
      </c>
      <c r="W578" t="s">
        <v>11418</v>
      </c>
      <c r="X578" t="s">
        <v>11419</v>
      </c>
      <c r="Y578" t="s">
        <v>11420</v>
      </c>
      <c r="Z578" t="s">
        <v>11421</v>
      </c>
      <c r="AA578" t="s">
        <v>11422</v>
      </c>
      <c r="AB578" t="s">
        <v>11423</v>
      </c>
      <c r="AC578" t="s">
        <v>11424</v>
      </c>
      <c r="AD578" t="s">
        <v>11425</v>
      </c>
      <c r="AE578" t="s">
        <v>11426</v>
      </c>
      <c r="AF578" t="s">
        <v>74</v>
      </c>
      <c r="AG578">
        <v>128</v>
      </c>
      <c r="AH578">
        <v>6</v>
      </c>
      <c r="AI578">
        <v>6</v>
      </c>
      <c r="AJ578">
        <v>10</v>
      </c>
      <c r="AK578">
        <v>26</v>
      </c>
      <c r="AL578" t="s">
        <v>2116</v>
      </c>
      <c r="AM578" t="s">
        <v>226</v>
      </c>
      <c r="AN578" t="s">
        <v>2117</v>
      </c>
      <c r="AO578" t="s">
        <v>11427</v>
      </c>
      <c r="AP578" t="s">
        <v>11428</v>
      </c>
      <c r="AQ578" t="s">
        <v>74</v>
      </c>
      <c r="AR578" t="s">
        <v>11429</v>
      </c>
      <c r="AS578" t="s">
        <v>11430</v>
      </c>
      <c r="AT578" t="s">
        <v>11431</v>
      </c>
      <c r="AU578">
        <v>2023</v>
      </c>
      <c r="AV578">
        <v>202</v>
      </c>
      <c r="AW578">
        <v>2</v>
      </c>
      <c r="AX578" t="s">
        <v>74</v>
      </c>
      <c r="AY578" t="s">
        <v>74</v>
      </c>
      <c r="AZ578" t="s">
        <v>74</v>
      </c>
      <c r="BA578" t="s">
        <v>74</v>
      </c>
      <c r="BB578">
        <v>195</v>
      </c>
      <c r="BC578">
        <v>214</v>
      </c>
      <c r="BD578" t="s">
        <v>74</v>
      </c>
      <c r="BE578" t="s">
        <v>11432</v>
      </c>
      <c r="BF578" t="str">
        <f>HYPERLINK("http://dx.doi.org/10.1093/botlinnean/boac050","http://dx.doi.org/10.1093/botlinnean/boac050")</f>
        <v>http://dx.doi.org/10.1093/botlinnean/boac050</v>
      </c>
      <c r="BG578" t="s">
        <v>74</v>
      </c>
      <c r="BH578" t="s">
        <v>6218</v>
      </c>
      <c r="BI578">
        <v>20</v>
      </c>
      <c r="BJ578" t="s">
        <v>2123</v>
      </c>
      <c r="BK578" t="s">
        <v>103</v>
      </c>
      <c r="BL578" t="s">
        <v>2123</v>
      </c>
      <c r="BM578" t="s">
        <v>11433</v>
      </c>
      <c r="BN578" t="s">
        <v>74</v>
      </c>
      <c r="BO578" t="s">
        <v>430</v>
      </c>
      <c r="BP578" t="s">
        <v>74</v>
      </c>
      <c r="BQ578" t="s">
        <v>74</v>
      </c>
      <c r="BR578" t="s">
        <v>106</v>
      </c>
      <c r="BS578" t="s">
        <v>11434</v>
      </c>
      <c r="BT578" t="str">
        <f>HYPERLINK("https%3A%2F%2Fwww.webofscience.com%2Fwos%2Fwoscc%2Ffull-record%2FWOS:000941871400001","View Full Record in Web of Science")</f>
        <v>View Full Record in Web of Science</v>
      </c>
    </row>
    <row r="579" spans="1:72" x14ac:dyDescent="0.15">
      <c r="A579" t="s">
        <v>72</v>
      </c>
      <c r="B579" t="s">
        <v>11435</v>
      </c>
      <c r="C579" t="s">
        <v>74</v>
      </c>
      <c r="D579" t="s">
        <v>74</v>
      </c>
      <c r="E579" t="s">
        <v>74</v>
      </c>
      <c r="F579" t="s">
        <v>11436</v>
      </c>
      <c r="G579" t="s">
        <v>74</v>
      </c>
      <c r="H579" t="s">
        <v>74</v>
      </c>
      <c r="I579" t="s">
        <v>11437</v>
      </c>
      <c r="J579" t="s">
        <v>268</v>
      </c>
      <c r="K579" t="s">
        <v>74</v>
      </c>
      <c r="L579" t="s">
        <v>74</v>
      </c>
      <c r="M579" t="s">
        <v>78</v>
      </c>
      <c r="N579" t="s">
        <v>112</v>
      </c>
      <c r="O579" t="s">
        <v>74</v>
      </c>
      <c r="P579" t="s">
        <v>74</v>
      </c>
      <c r="Q579" t="s">
        <v>74</v>
      </c>
      <c r="R579" t="s">
        <v>74</v>
      </c>
      <c r="S579" t="s">
        <v>74</v>
      </c>
      <c r="T579" t="s">
        <v>11438</v>
      </c>
      <c r="U579" t="s">
        <v>11439</v>
      </c>
      <c r="V579" t="s">
        <v>11440</v>
      </c>
      <c r="W579" t="s">
        <v>11441</v>
      </c>
      <c r="X579" t="s">
        <v>11442</v>
      </c>
      <c r="Y579" t="s">
        <v>11443</v>
      </c>
      <c r="Z579" t="s">
        <v>11444</v>
      </c>
      <c r="AA579" t="s">
        <v>11445</v>
      </c>
      <c r="AB579" t="s">
        <v>11446</v>
      </c>
      <c r="AC579" t="s">
        <v>11447</v>
      </c>
      <c r="AD579" t="s">
        <v>11448</v>
      </c>
      <c r="AE579" t="s">
        <v>11449</v>
      </c>
      <c r="AF579" t="s">
        <v>74</v>
      </c>
      <c r="AG579">
        <v>76</v>
      </c>
      <c r="AH579">
        <v>5</v>
      </c>
      <c r="AI579">
        <v>5</v>
      </c>
      <c r="AJ579">
        <v>4</v>
      </c>
      <c r="AK579">
        <v>12</v>
      </c>
      <c r="AL579" t="s">
        <v>91</v>
      </c>
      <c r="AM579" t="s">
        <v>92</v>
      </c>
      <c r="AN579" t="s">
        <v>93</v>
      </c>
      <c r="AO579" t="s">
        <v>281</v>
      </c>
      <c r="AP579" t="s">
        <v>282</v>
      </c>
      <c r="AQ579" t="s">
        <v>74</v>
      </c>
      <c r="AR579" t="s">
        <v>283</v>
      </c>
      <c r="AS579" t="s">
        <v>284</v>
      </c>
      <c r="AT579" t="s">
        <v>8042</v>
      </c>
      <c r="AU579">
        <v>2023</v>
      </c>
      <c r="AV579">
        <v>36</v>
      </c>
      <c r="AW579">
        <v>5</v>
      </c>
      <c r="AX579" t="s">
        <v>74</v>
      </c>
      <c r="AY579" t="s">
        <v>74</v>
      </c>
      <c r="AZ579" t="s">
        <v>74</v>
      </c>
      <c r="BA579" t="s">
        <v>74</v>
      </c>
      <c r="BB579">
        <v>1399</v>
      </c>
      <c r="BC579">
        <v>1414</v>
      </c>
      <c r="BD579" t="s">
        <v>74</v>
      </c>
      <c r="BE579" t="s">
        <v>11450</v>
      </c>
      <c r="BF579" t="str">
        <f>HYPERLINK("http://dx.doi.org/10.1175/JCLI-D-22-0175.1","http://dx.doi.org/10.1175/JCLI-D-22-0175.1")</f>
        <v>http://dx.doi.org/10.1175/JCLI-D-22-0175.1</v>
      </c>
      <c r="BG579" t="s">
        <v>74</v>
      </c>
      <c r="BH579" t="s">
        <v>74</v>
      </c>
      <c r="BI579">
        <v>16</v>
      </c>
      <c r="BJ579" t="s">
        <v>102</v>
      </c>
      <c r="BK579" t="s">
        <v>103</v>
      </c>
      <c r="BL579" t="s">
        <v>102</v>
      </c>
      <c r="BM579" t="s">
        <v>11451</v>
      </c>
      <c r="BN579" t="s">
        <v>74</v>
      </c>
      <c r="BO579" t="s">
        <v>387</v>
      </c>
      <c r="BP579" t="s">
        <v>74</v>
      </c>
      <c r="BQ579" t="s">
        <v>74</v>
      </c>
      <c r="BR579" t="s">
        <v>106</v>
      </c>
      <c r="BS579" t="s">
        <v>11452</v>
      </c>
      <c r="BT579" t="str">
        <f>HYPERLINK("https%3A%2F%2Fwww.webofscience.com%2Fwos%2Fwoscc%2Ffull-record%2FWOS:000932484000001","View Full Record in Web of Science")</f>
        <v>View Full Record in Web of Science</v>
      </c>
    </row>
    <row r="580" spans="1:72" x14ac:dyDescent="0.15">
      <c r="A580" t="s">
        <v>72</v>
      </c>
      <c r="B580" t="s">
        <v>11453</v>
      </c>
      <c r="C580" t="s">
        <v>74</v>
      </c>
      <c r="D580" t="s">
        <v>74</v>
      </c>
      <c r="E580" t="s">
        <v>74</v>
      </c>
      <c r="F580" t="s">
        <v>11454</v>
      </c>
      <c r="G580" t="s">
        <v>74</v>
      </c>
      <c r="H580" t="s">
        <v>74</v>
      </c>
      <c r="I580" t="s">
        <v>11455</v>
      </c>
      <c r="J580" t="s">
        <v>268</v>
      </c>
      <c r="K580" t="s">
        <v>74</v>
      </c>
      <c r="L580" t="s">
        <v>74</v>
      </c>
      <c r="M580" t="s">
        <v>78</v>
      </c>
      <c r="N580" t="s">
        <v>112</v>
      </c>
      <c r="O580" t="s">
        <v>74</v>
      </c>
      <c r="P580" t="s">
        <v>74</v>
      </c>
      <c r="Q580" t="s">
        <v>74</v>
      </c>
      <c r="R580" t="s">
        <v>74</v>
      </c>
      <c r="S580" t="s">
        <v>74</v>
      </c>
      <c r="T580" t="s">
        <v>11456</v>
      </c>
      <c r="U580" t="s">
        <v>11457</v>
      </c>
      <c r="V580" t="s">
        <v>11458</v>
      </c>
      <c r="W580" t="s">
        <v>11459</v>
      </c>
      <c r="X580" t="s">
        <v>11460</v>
      </c>
      <c r="Y580" t="s">
        <v>11461</v>
      </c>
      <c r="Z580" t="s">
        <v>11462</v>
      </c>
      <c r="AA580" t="s">
        <v>11463</v>
      </c>
      <c r="AB580" t="s">
        <v>11464</v>
      </c>
      <c r="AC580" t="s">
        <v>11465</v>
      </c>
      <c r="AD580" t="s">
        <v>11466</v>
      </c>
      <c r="AE580" t="s">
        <v>11467</v>
      </c>
      <c r="AF580" t="s">
        <v>74</v>
      </c>
      <c r="AG580">
        <v>108</v>
      </c>
      <c r="AH580">
        <v>2</v>
      </c>
      <c r="AI580">
        <v>2</v>
      </c>
      <c r="AJ580">
        <v>0</v>
      </c>
      <c r="AK580">
        <v>4</v>
      </c>
      <c r="AL580" t="s">
        <v>91</v>
      </c>
      <c r="AM580" t="s">
        <v>92</v>
      </c>
      <c r="AN580" t="s">
        <v>93</v>
      </c>
      <c r="AO580" t="s">
        <v>281</v>
      </c>
      <c r="AP580" t="s">
        <v>282</v>
      </c>
      <c r="AQ580" t="s">
        <v>74</v>
      </c>
      <c r="AR580" t="s">
        <v>283</v>
      </c>
      <c r="AS580" t="s">
        <v>284</v>
      </c>
      <c r="AT580" t="s">
        <v>8042</v>
      </c>
      <c r="AU580">
        <v>2023</v>
      </c>
      <c r="AV580">
        <v>36</v>
      </c>
      <c r="AW580">
        <v>6</v>
      </c>
      <c r="AX580" t="s">
        <v>74</v>
      </c>
      <c r="AY580" t="s">
        <v>74</v>
      </c>
      <c r="AZ580" t="s">
        <v>74</v>
      </c>
      <c r="BA580" t="s">
        <v>74</v>
      </c>
      <c r="BB580">
        <v>1957</v>
      </c>
      <c r="BC580">
        <v>1980</v>
      </c>
      <c r="BD580" t="s">
        <v>74</v>
      </c>
      <c r="BE580" t="s">
        <v>11468</v>
      </c>
      <c r="BF580" t="str">
        <f>HYPERLINK("http://dx.doi.org/10.1175/JCLI-D-22-0418.1","http://dx.doi.org/10.1175/JCLI-D-22-0418.1")</f>
        <v>http://dx.doi.org/10.1175/JCLI-D-22-0418.1</v>
      </c>
      <c r="BG580" t="s">
        <v>74</v>
      </c>
      <c r="BH580" t="s">
        <v>74</v>
      </c>
      <c r="BI580">
        <v>24</v>
      </c>
      <c r="BJ580" t="s">
        <v>102</v>
      </c>
      <c r="BK580" t="s">
        <v>103</v>
      </c>
      <c r="BL580" t="s">
        <v>102</v>
      </c>
      <c r="BM580" t="s">
        <v>11469</v>
      </c>
      <c r="BN580" t="s">
        <v>74</v>
      </c>
      <c r="BO580" t="s">
        <v>334</v>
      </c>
      <c r="BP580" t="s">
        <v>74</v>
      </c>
      <c r="BQ580" t="s">
        <v>74</v>
      </c>
      <c r="BR580" t="s">
        <v>106</v>
      </c>
      <c r="BS580" t="s">
        <v>11470</v>
      </c>
      <c r="BT580" t="str">
        <f>HYPERLINK("https%3A%2F%2Fwww.webofscience.com%2Fwos%2Fwoscc%2Ffull-record%2FWOS:000937281900001","View Full Record in Web of Science")</f>
        <v>View Full Record in Web of Science</v>
      </c>
    </row>
    <row r="581" spans="1:72" x14ac:dyDescent="0.15">
      <c r="A581" t="s">
        <v>72</v>
      </c>
      <c r="B581" t="s">
        <v>11471</v>
      </c>
      <c r="C581" t="s">
        <v>74</v>
      </c>
      <c r="D581" t="s">
        <v>74</v>
      </c>
      <c r="E581" t="s">
        <v>74</v>
      </c>
      <c r="F581" t="s">
        <v>11472</v>
      </c>
      <c r="G581" t="s">
        <v>74</v>
      </c>
      <c r="H581" t="s">
        <v>74</v>
      </c>
      <c r="I581" t="s">
        <v>11473</v>
      </c>
      <c r="J581" t="s">
        <v>4757</v>
      </c>
      <c r="K581" t="s">
        <v>74</v>
      </c>
      <c r="L581" t="s">
        <v>74</v>
      </c>
      <c r="M581" t="s">
        <v>78</v>
      </c>
      <c r="N581" t="s">
        <v>112</v>
      </c>
      <c r="O581" t="s">
        <v>74</v>
      </c>
      <c r="P581" t="s">
        <v>74</v>
      </c>
      <c r="Q581" t="s">
        <v>74</v>
      </c>
      <c r="R581" t="s">
        <v>74</v>
      </c>
      <c r="S581" t="s">
        <v>74</v>
      </c>
      <c r="T581" t="s">
        <v>11474</v>
      </c>
      <c r="U581" t="s">
        <v>11475</v>
      </c>
      <c r="V581" t="s">
        <v>11476</v>
      </c>
      <c r="W581" t="s">
        <v>11477</v>
      </c>
      <c r="X581" t="s">
        <v>11478</v>
      </c>
      <c r="Y581" t="s">
        <v>11479</v>
      </c>
      <c r="Z581" t="s">
        <v>11480</v>
      </c>
      <c r="AA581" t="s">
        <v>11481</v>
      </c>
      <c r="AB581" t="s">
        <v>11482</v>
      </c>
      <c r="AC581" t="s">
        <v>11483</v>
      </c>
      <c r="AD581" t="s">
        <v>11484</v>
      </c>
      <c r="AE581" t="s">
        <v>11485</v>
      </c>
      <c r="AF581" t="s">
        <v>74</v>
      </c>
      <c r="AG581">
        <v>169</v>
      </c>
      <c r="AH581">
        <v>5</v>
      </c>
      <c r="AI581">
        <v>5</v>
      </c>
      <c r="AJ581">
        <v>5</v>
      </c>
      <c r="AK581">
        <v>12</v>
      </c>
      <c r="AL581" t="s">
        <v>305</v>
      </c>
      <c r="AM581" t="s">
        <v>306</v>
      </c>
      <c r="AN581" t="s">
        <v>307</v>
      </c>
      <c r="AO581" t="s">
        <v>4769</v>
      </c>
      <c r="AP581" t="s">
        <v>4770</v>
      </c>
      <c r="AQ581" t="s">
        <v>74</v>
      </c>
      <c r="AR581" t="s">
        <v>4771</v>
      </c>
      <c r="AS581" t="s">
        <v>4772</v>
      </c>
      <c r="AT581" t="s">
        <v>8042</v>
      </c>
      <c r="AU581">
        <v>2023</v>
      </c>
      <c r="AV581">
        <v>128</v>
      </c>
      <c r="AW581">
        <v>3</v>
      </c>
      <c r="AX581" t="s">
        <v>74</v>
      </c>
      <c r="AY581" t="s">
        <v>74</v>
      </c>
      <c r="AZ581" t="s">
        <v>74</v>
      </c>
      <c r="BA581" t="s">
        <v>74</v>
      </c>
      <c r="BB581" t="s">
        <v>74</v>
      </c>
      <c r="BC581" t="s">
        <v>74</v>
      </c>
      <c r="BD581" t="s">
        <v>11486</v>
      </c>
      <c r="BE581" t="s">
        <v>11487</v>
      </c>
      <c r="BF581" t="str">
        <f>HYPERLINK("http://dx.doi.org/10.1029/2022JC019105","http://dx.doi.org/10.1029/2022JC019105")</f>
        <v>http://dx.doi.org/10.1029/2022JC019105</v>
      </c>
      <c r="BG581" t="s">
        <v>74</v>
      </c>
      <c r="BH581" t="s">
        <v>74</v>
      </c>
      <c r="BI581">
        <v>36</v>
      </c>
      <c r="BJ581" t="s">
        <v>863</v>
      </c>
      <c r="BK581" t="s">
        <v>103</v>
      </c>
      <c r="BL581" t="s">
        <v>863</v>
      </c>
      <c r="BM581" t="s">
        <v>11488</v>
      </c>
      <c r="BN581" t="s">
        <v>74</v>
      </c>
      <c r="BO581" t="s">
        <v>430</v>
      </c>
      <c r="BP581" t="s">
        <v>74</v>
      </c>
      <c r="BQ581" t="s">
        <v>74</v>
      </c>
      <c r="BR581" t="s">
        <v>106</v>
      </c>
      <c r="BS581" t="s">
        <v>11489</v>
      </c>
      <c r="BT581" t="str">
        <f>HYPERLINK("https%3A%2F%2Fwww.webofscience.com%2Fwos%2Fwoscc%2Ffull-record%2FWOS:000942544000001","View Full Record in Web of Science")</f>
        <v>View Full Record in Web of Science</v>
      </c>
    </row>
    <row r="582" spans="1:72" x14ac:dyDescent="0.15">
      <c r="A582" t="s">
        <v>72</v>
      </c>
      <c r="B582" t="s">
        <v>11490</v>
      </c>
      <c r="C582" t="s">
        <v>74</v>
      </c>
      <c r="D582" t="s">
        <v>74</v>
      </c>
      <c r="E582" t="s">
        <v>74</v>
      </c>
      <c r="F582" t="s">
        <v>11491</v>
      </c>
      <c r="G582" t="s">
        <v>74</v>
      </c>
      <c r="H582" t="s">
        <v>74</v>
      </c>
      <c r="I582" t="s">
        <v>11492</v>
      </c>
      <c r="J582" t="s">
        <v>1534</v>
      </c>
      <c r="K582" t="s">
        <v>74</v>
      </c>
      <c r="L582" t="s">
        <v>74</v>
      </c>
      <c r="M582" t="s">
        <v>78</v>
      </c>
      <c r="N582" t="s">
        <v>112</v>
      </c>
      <c r="O582" t="s">
        <v>74</v>
      </c>
      <c r="P582" t="s">
        <v>74</v>
      </c>
      <c r="Q582" t="s">
        <v>74</v>
      </c>
      <c r="R582" t="s">
        <v>74</v>
      </c>
      <c r="S582" t="s">
        <v>74</v>
      </c>
      <c r="T582" t="s">
        <v>11493</v>
      </c>
      <c r="U582" t="s">
        <v>74</v>
      </c>
      <c r="V582" t="s">
        <v>74</v>
      </c>
      <c r="W582" t="s">
        <v>11494</v>
      </c>
      <c r="X582" t="s">
        <v>11495</v>
      </c>
      <c r="Y582" t="s">
        <v>11496</v>
      </c>
      <c r="Z582" t="s">
        <v>11497</v>
      </c>
      <c r="AA582" t="s">
        <v>74</v>
      </c>
      <c r="AB582" t="s">
        <v>74</v>
      </c>
      <c r="AC582" t="s">
        <v>74</v>
      </c>
      <c r="AD582" t="s">
        <v>74</v>
      </c>
      <c r="AE582" t="s">
        <v>74</v>
      </c>
      <c r="AF582" t="s">
        <v>74</v>
      </c>
      <c r="AG582">
        <v>4</v>
      </c>
      <c r="AH582">
        <v>0</v>
      </c>
      <c r="AI582">
        <v>0</v>
      </c>
      <c r="AJ582">
        <v>1</v>
      </c>
      <c r="AK582">
        <v>4</v>
      </c>
      <c r="AL582" t="s">
        <v>1101</v>
      </c>
      <c r="AM582" t="s">
        <v>179</v>
      </c>
      <c r="AN582" t="s">
        <v>1543</v>
      </c>
      <c r="AO582" t="s">
        <v>1544</v>
      </c>
      <c r="AP582" t="s">
        <v>1545</v>
      </c>
      <c r="AQ582" t="s">
        <v>74</v>
      </c>
      <c r="AR582" t="s">
        <v>1546</v>
      </c>
      <c r="AS582" t="s">
        <v>1547</v>
      </c>
      <c r="AT582" t="s">
        <v>1437</v>
      </c>
      <c r="AU582">
        <v>2023</v>
      </c>
      <c r="AV582">
        <v>35</v>
      </c>
      <c r="AW582">
        <v>2</v>
      </c>
      <c r="AX582" t="s">
        <v>74</v>
      </c>
      <c r="AY582" t="s">
        <v>74</v>
      </c>
      <c r="AZ582" t="s">
        <v>74</v>
      </c>
      <c r="BA582" t="s">
        <v>74</v>
      </c>
      <c r="BB582">
        <v>120</v>
      </c>
      <c r="BC582">
        <v>123</v>
      </c>
      <c r="BD582" t="s">
        <v>11498</v>
      </c>
      <c r="BE582" t="s">
        <v>11499</v>
      </c>
      <c r="BF582" t="str">
        <f>HYPERLINK("http://dx.doi.org/10.1017/S0954102022000451","http://dx.doi.org/10.1017/S0954102022000451")</f>
        <v>http://dx.doi.org/10.1017/S0954102022000451</v>
      </c>
      <c r="BG582" t="s">
        <v>74</v>
      </c>
      <c r="BH582" t="s">
        <v>6218</v>
      </c>
      <c r="BI582">
        <v>4</v>
      </c>
      <c r="BJ582" t="s">
        <v>1550</v>
      </c>
      <c r="BK582" t="s">
        <v>103</v>
      </c>
      <c r="BL582" t="s">
        <v>1551</v>
      </c>
      <c r="BM582" t="s">
        <v>1581</v>
      </c>
      <c r="BN582" t="s">
        <v>74</v>
      </c>
      <c r="BO582" t="s">
        <v>387</v>
      </c>
      <c r="BP582" t="s">
        <v>74</v>
      </c>
      <c r="BQ582" t="s">
        <v>74</v>
      </c>
      <c r="BR582" t="s">
        <v>106</v>
      </c>
      <c r="BS582" t="s">
        <v>11500</v>
      </c>
      <c r="BT582" t="str">
        <f>HYPERLINK("https%3A%2F%2Fwww.webofscience.com%2Fwos%2Fwoscc%2Ffull-record%2FWOS:000941055900001","View Full Record in Web of Science")</f>
        <v>View Full Record in Web of Science</v>
      </c>
    </row>
    <row r="583" spans="1:72" x14ac:dyDescent="0.15">
      <c r="A583" t="s">
        <v>72</v>
      </c>
      <c r="B583" t="s">
        <v>11501</v>
      </c>
      <c r="C583" t="s">
        <v>74</v>
      </c>
      <c r="D583" t="s">
        <v>74</v>
      </c>
      <c r="E583" t="s">
        <v>74</v>
      </c>
      <c r="F583" t="s">
        <v>11502</v>
      </c>
      <c r="G583" t="s">
        <v>74</v>
      </c>
      <c r="H583" t="s">
        <v>74</v>
      </c>
      <c r="I583" t="s">
        <v>11503</v>
      </c>
      <c r="J583" t="s">
        <v>11504</v>
      </c>
      <c r="K583" t="s">
        <v>74</v>
      </c>
      <c r="L583" t="s">
        <v>74</v>
      </c>
      <c r="M583" t="s">
        <v>78</v>
      </c>
      <c r="N583" t="s">
        <v>365</v>
      </c>
      <c r="O583" t="s">
        <v>74</v>
      </c>
      <c r="P583" t="s">
        <v>74</v>
      </c>
      <c r="Q583" t="s">
        <v>74</v>
      </c>
      <c r="R583" t="s">
        <v>74</v>
      </c>
      <c r="S583" t="s">
        <v>74</v>
      </c>
      <c r="T583" t="s">
        <v>11505</v>
      </c>
      <c r="U583" t="s">
        <v>11506</v>
      </c>
      <c r="V583" t="s">
        <v>11507</v>
      </c>
      <c r="W583" t="s">
        <v>11508</v>
      </c>
      <c r="X583" t="s">
        <v>11509</v>
      </c>
      <c r="Y583" t="s">
        <v>11510</v>
      </c>
      <c r="Z583" t="s">
        <v>11511</v>
      </c>
      <c r="AA583" t="s">
        <v>11512</v>
      </c>
      <c r="AB583" t="s">
        <v>11513</v>
      </c>
      <c r="AC583" t="s">
        <v>11514</v>
      </c>
      <c r="AD583" t="s">
        <v>11515</v>
      </c>
      <c r="AE583" t="s">
        <v>11516</v>
      </c>
      <c r="AF583" t="s">
        <v>74</v>
      </c>
      <c r="AG583">
        <v>231</v>
      </c>
      <c r="AH583">
        <v>11</v>
      </c>
      <c r="AI583">
        <v>12</v>
      </c>
      <c r="AJ583">
        <v>14</v>
      </c>
      <c r="AK583">
        <v>58</v>
      </c>
      <c r="AL583" t="s">
        <v>152</v>
      </c>
      <c r="AM583" t="s">
        <v>153</v>
      </c>
      <c r="AN583" t="s">
        <v>154</v>
      </c>
      <c r="AO583" t="s">
        <v>11517</v>
      </c>
      <c r="AP583" t="s">
        <v>11518</v>
      </c>
      <c r="AQ583" t="s">
        <v>74</v>
      </c>
      <c r="AR583" t="s">
        <v>11519</v>
      </c>
      <c r="AS583" t="s">
        <v>11520</v>
      </c>
      <c r="AT583" t="s">
        <v>10271</v>
      </c>
      <c r="AU583">
        <v>2023</v>
      </c>
      <c r="AV583">
        <v>86</v>
      </c>
      <c r="AW583">
        <v>3</v>
      </c>
      <c r="AX583" t="s">
        <v>74</v>
      </c>
      <c r="AY583" t="s">
        <v>74</v>
      </c>
      <c r="AZ583" t="s">
        <v>74</v>
      </c>
      <c r="BA583" t="s">
        <v>74</v>
      </c>
      <c r="BB583" t="s">
        <v>74</v>
      </c>
      <c r="BC583" t="s">
        <v>74</v>
      </c>
      <c r="BD583">
        <v>36801</v>
      </c>
      <c r="BE583" t="s">
        <v>11521</v>
      </c>
      <c r="BF583" t="str">
        <f>HYPERLINK("http://dx.doi.org/10.1088/1361-6633/acaf8e","http://dx.doi.org/10.1088/1361-6633/acaf8e")</f>
        <v>http://dx.doi.org/10.1088/1361-6633/acaf8e</v>
      </c>
      <c r="BG583" t="s">
        <v>74</v>
      </c>
      <c r="BH583" t="s">
        <v>74</v>
      </c>
      <c r="BI583">
        <v>32</v>
      </c>
      <c r="BJ583" t="s">
        <v>5905</v>
      </c>
      <c r="BK583" t="s">
        <v>103</v>
      </c>
      <c r="BL583" t="s">
        <v>5906</v>
      </c>
      <c r="BM583" t="s">
        <v>11522</v>
      </c>
      <c r="BN583">
        <v>36596254</v>
      </c>
      <c r="BO583" t="s">
        <v>5294</v>
      </c>
      <c r="BP583" t="s">
        <v>74</v>
      </c>
      <c r="BQ583" t="s">
        <v>74</v>
      </c>
      <c r="BR583" t="s">
        <v>106</v>
      </c>
      <c r="BS583" t="s">
        <v>11523</v>
      </c>
      <c r="BT583" t="str">
        <f>HYPERLINK("https%3A%2F%2Fwww.webofscience.com%2Fwos%2Fwoscc%2Ffull-record%2FWOS:000929278200001","View Full Record in Web of Science")</f>
        <v>View Full Record in Web of Science</v>
      </c>
    </row>
    <row r="584" spans="1:72" x14ac:dyDescent="0.15">
      <c r="A584" t="s">
        <v>72</v>
      </c>
      <c r="B584" t="s">
        <v>11524</v>
      </c>
      <c r="C584" t="s">
        <v>74</v>
      </c>
      <c r="D584" t="s">
        <v>74</v>
      </c>
      <c r="E584" t="s">
        <v>74</v>
      </c>
      <c r="F584" t="s">
        <v>11525</v>
      </c>
      <c r="G584" t="s">
        <v>74</v>
      </c>
      <c r="H584" t="s">
        <v>74</v>
      </c>
      <c r="I584" t="s">
        <v>11526</v>
      </c>
      <c r="J584" t="s">
        <v>364</v>
      </c>
      <c r="K584" t="s">
        <v>74</v>
      </c>
      <c r="L584" t="s">
        <v>74</v>
      </c>
      <c r="M584" t="s">
        <v>78</v>
      </c>
      <c r="N584" t="s">
        <v>112</v>
      </c>
      <c r="O584" t="s">
        <v>74</v>
      </c>
      <c r="P584" t="s">
        <v>74</v>
      </c>
      <c r="Q584" t="s">
        <v>74</v>
      </c>
      <c r="R584" t="s">
        <v>74</v>
      </c>
      <c r="S584" t="s">
        <v>74</v>
      </c>
      <c r="T584" t="s">
        <v>11527</v>
      </c>
      <c r="U584" t="s">
        <v>11528</v>
      </c>
      <c r="V584" t="s">
        <v>11529</v>
      </c>
      <c r="W584" t="s">
        <v>11530</v>
      </c>
      <c r="X584" t="s">
        <v>11531</v>
      </c>
      <c r="Y584" t="s">
        <v>11532</v>
      </c>
      <c r="Z584" t="s">
        <v>11533</v>
      </c>
      <c r="AA584" t="s">
        <v>6040</v>
      </c>
      <c r="AB584" t="s">
        <v>11534</v>
      </c>
      <c r="AC584" t="s">
        <v>11535</v>
      </c>
      <c r="AD584" t="s">
        <v>11536</v>
      </c>
      <c r="AE584" t="s">
        <v>11537</v>
      </c>
      <c r="AF584" t="s">
        <v>74</v>
      </c>
      <c r="AG584">
        <v>60</v>
      </c>
      <c r="AH584">
        <v>1</v>
      </c>
      <c r="AI584">
        <v>1</v>
      </c>
      <c r="AJ584">
        <v>0</v>
      </c>
      <c r="AK584">
        <v>2</v>
      </c>
      <c r="AL584" t="s">
        <v>377</v>
      </c>
      <c r="AM584" t="s">
        <v>378</v>
      </c>
      <c r="AN584" t="s">
        <v>379</v>
      </c>
      <c r="AO584" t="s">
        <v>380</v>
      </c>
      <c r="AP584" t="s">
        <v>381</v>
      </c>
      <c r="AQ584" t="s">
        <v>74</v>
      </c>
      <c r="AR584" t="s">
        <v>382</v>
      </c>
      <c r="AS584" t="s">
        <v>383</v>
      </c>
      <c r="AT584" t="s">
        <v>8042</v>
      </c>
      <c r="AU584">
        <v>2023</v>
      </c>
      <c r="AV584">
        <v>170</v>
      </c>
      <c r="AW584">
        <v>3</v>
      </c>
      <c r="AX584" t="s">
        <v>74</v>
      </c>
      <c r="AY584" t="s">
        <v>74</v>
      </c>
      <c r="AZ584" t="s">
        <v>74</v>
      </c>
      <c r="BA584" t="s">
        <v>74</v>
      </c>
      <c r="BB584" t="s">
        <v>74</v>
      </c>
      <c r="BC584" t="s">
        <v>74</v>
      </c>
      <c r="BD584">
        <v>29</v>
      </c>
      <c r="BE584" t="s">
        <v>11538</v>
      </c>
      <c r="BF584" t="str">
        <f>HYPERLINK("http://dx.doi.org/10.1007/s00227-022-04170-4","http://dx.doi.org/10.1007/s00227-022-04170-4")</f>
        <v>http://dx.doi.org/10.1007/s00227-022-04170-4</v>
      </c>
      <c r="BG584" t="s">
        <v>74</v>
      </c>
      <c r="BH584" t="s">
        <v>74</v>
      </c>
      <c r="BI584">
        <v>14</v>
      </c>
      <c r="BJ584" t="s">
        <v>385</v>
      </c>
      <c r="BK584" t="s">
        <v>103</v>
      </c>
      <c r="BL584" t="s">
        <v>385</v>
      </c>
      <c r="BM584" t="s">
        <v>11539</v>
      </c>
      <c r="BN584" t="s">
        <v>74</v>
      </c>
      <c r="BO584" t="s">
        <v>387</v>
      </c>
      <c r="BP584" t="s">
        <v>74</v>
      </c>
      <c r="BQ584" t="s">
        <v>74</v>
      </c>
      <c r="BR584" t="s">
        <v>106</v>
      </c>
      <c r="BS584" t="s">
        <v>11540</v>
      </c>
      <c r="BT584" t="str">
        <f>HYPERLINK("https%3A%2F%2Fwww.webofscience.com%2Fwos%2Fwoscc%2Ffull-record%2FWOS:000922357200005","View Full Record in Web of Science")</f>
        <v>View Full Record in Web of Science</v>
      </c>
    </row>
    <row r="585" spans="1:72" x14ac:dyDescent="0.15">
      <c r="A585" t="s">
        <v>72</v>
      </c>
      <c r="B585" t="s">
        <v>11541</v>
      </c>
      <c r="C585" t="s">
        <v>74</v>
      </c>
      <c r="D585" t="s">
        <v>74</v>
      </c>
      <c r="E585" t="s">
        <v>74</v>
      </c>
      <c r="F585" t="s">
        <v>11542</v>
      </c>
      <c r="G585" t="s">
        <v>74</v>
      </c>
      <c r="H585" t="s">
        <v>74</v>
      </c>
      <c r="I585" t="s">
        <v>11543</v>
      </c>
      <c r="J585" t="s">
        <v>364</v>
      </c>
      <c r="K585" t="s">
        <v>74</v>
      </c>
      <c r="L585" t="s">
        <v>74</v>
      </c>
      <c r="M585" t="s">
        <v>78</v>
      </c>
      <c r="N585" t="s">
        <v>112</v>
      </c>
      <c r="O585" t="s">
        <v>74</v>
      </c>
      <c r="P585" t="s">
        <v>74</v>
      </c>
      <c r="Q585" t="s">
        <v>74</v>
      </c>
      <c r="R585" t="s">
        <v>74</v>
      </c>
      <c r="S585" t="s">
        <v>74</v>
      </c>
      <c r="T585" t="s">
        <v>11544</v>
      </c>
      <c r="U585" t="s">
        <v>11545</v>
      </c>
      <c r="V585" t="s">
        <v>11546</v>
      </c>
      <c r="W585" t="s">
        <v>11547</v>
      </c>
      <c r="X585" t="s">
        <v>11548</v>
      </c>
      <c r="Y585" t="s">
        <v>11549</v>
      </c>
      <c r="Z585" t="s">
        <v>11550</v>
      </c>
      <c r="AA585" t="s">
        <v>11551</v>
      </c>
      <c r="AB585" t="s">
        <v>11552</v>
      </c>
      <c r="AC585" t="s">
        <v>74</v>
      </c>
      <c r="AD585" t="s">
        <v>74</v>
      </c>
      <c r="AE585" t="s">
        <v>74</v>
      </c>
      <c r="AF585" t="s">
        <v>74</v>
      </c>
      <c r="AG585">
        <v>74</v>
      </c>
      <c r="AH585">
        <v>4</v>
      </c>
      <c r="AI585">
        <v>4</v>
      </c>
      <c r="AJ585">
        <v>0</v>
      </c>
      <c r="AK585">
        <v>5</v>
      </c>
      <c r="AL585" t="s">
        <v>377</v>
      </c>
      <c r="AM585" t="s">
        <v>378</v>
      </c>
      <c r="AN585" t="s">
        <v>379</v>
      </c>
      <c r="AO585" t="s">
        <v>380</v>
      </c>
      <c r="AP585" t="s">
        <v>381</v>
      </c>
      <c r="AQ585" t="s">
        <v>74</v>
      </c>
      <c r="AR585" t="s">
        <v>382</v>
      </c>
      <c r="AS585" t="s">
        <v>383</v>
      </c>
      <c r="AT585" t="s">
        <v>8042</v>
      </c>
      <c r="AU585">
        <v>2023</v>
      </c>
      <c r="AV585">
        <v>170</v>
      </c>
      <c r="AW585">
        <v>3</v>
      </c>
      <c r="AX585" t="s">
        <v>74</v>
      </c>
      <c r="AY585" t="s">
        <v>74</v>
      </c>
      <c r="AZ585" t="s">
        <v>74</v>
      </c>
      <c r="BA585" t="s">
        <v>74</v>
      </c>
      <c r="BB585" t="s">
        <v>74</v>
      </c>
      <c r="BC585" t="s">
        <v>74</v>
      </c>
      <c r="BD585">
        <v>31</v>
      </c>
      <c r="BE585" t="s">
        <v>11553</v>
      </c>
      <c r="BF585" t="str">
        <f>HYPERLINK("http://dx.doi.org/10.1007/s00227-023-04173-9","http://dx.doi.org/10.1007/s00227-023-04173-9")</f>
        <v>http://dx.doi.org/10.1007/s00227-023-04173-9</v>
      </c>
      <c r="BG585" t="s">
        <v>74</v>
      </c>
      <c r="BH585" t="s">
        <v>74</v>
      </c>
      <c r="BI585">
        <v>16</v>
      </c>
      <c r="BJ585" t="s">
        <v>385</v>
      </c>
      <c r="BK585" t="s">
        <v>103</v>
      </c>
      <c r="BL585" t="s">
        <v>385</v>
      </c>
      <c r="BM585" t="s">
        <v>11554</v>
      </c>
      <c r="BN585" t="s">
        <v>74</v>
      </c>
      <c r="BO585" t="s">
        <v>74</v>
      </c>
      <c r="BP585" t="s">
        <v>74</v>
      </c>
      <c r="BQ585" t="s">
        <v>74</v>
      </c>
      <c r="BR585" t="s">
        <v>106</v>
      </c>
      <c r="BS585" t="s">
        <v>11555</v>
      </c>
      <c r="BT585" t="str">
        <f>HYPERLINK("https%3A%2F%2Fwww.webofscience.com%2Fwos%2Fwoscc%2Ffull-record%2FWOS:000922621800001","View Full Record in Web of Science")</f>
        <v>View Full Record in Web of Science</v>
      </c>
    </row>
    <row r="586" spans="1:72" x14ac:dyDescent="0.15">
      <c r="A586" t="s">
        <v>72</v>
      </c>
      <c r="B586" t="s">
        <v>11556</v>
      </c>
      <c r="C586" t="s">
        <v>74</v>
      </c>
      <c r="D586" t="s">
        <v>74</v>
      </c>
      <c r="E586" t="s">
        <v>74</v>
      </c>
      <c r="F586" t="s">
        <v>8327</v>
      </c>
      <c r="G586" t="s">
        <v>74</v>
      </c>
      <c r="H586" t="s">
        <v>74</v>
      </c>
      <c r="I586" t="s">
        <v>11557</v>
      </c>
      <c r="J586" t="s">
        <v>8329</v>
      </c>
      <c r="K586" t="s">
        <v>74</v>
      </c>
      <c r="L586" t="s">
        <v>74</v>
      </c>
      <c r="M586" t="s">
        <v>78</v>
      </c>
      <c r="N586" t="s">
        <v>79</v>
      </c>
      <c r="O586" t="s">
        <v>74</v>
      </c>
      <c r="P586" t="s">
        <v>74</v>
      </c>
      <c r="Q586" t="s">
        <v>74</v>
      </c>
      <c r="R586" t="s">
        <v>74</v>
      </c>
      <c r="S586" t="s">
        <v>74</v>
      </c>
      <c r="T586" t="s">
        <v>74</v>
      </c>
      <c r="U586" t="s">
        <v>74</v>
      </c>
      <c r="V586" t="s">
        <v>11558</v>
      </c>
      <c r="W586" t="s">
        <v>11559</v>
      </c>
      <c r="X586" t="s">
        <v>8331</v>
      </c>
      <c r="Y586" t="s">
        <v>8332</v>
      </c>
      <c r="Z586" t="s">
        <v>8333</v>
      </c>
      <c r="AA586" t="s">
        <v>11560</v>
      </c>
      <c r="AB586" t="s">
        <v>11561</v>
      </c>
      <c r="AC586" t="s">
        <v>11562</v>
      </c>
      <c r="AD586" t="s">
        <v>11563</v>
      </c>
      <c r="AE586" t="s">
        <v>11564</v>
      </c>
      <c r="AF586" t="s">
        <v>74</v>
      </c>
      <c r="AG586">
        <v>22</v>
      </c>
      <c r="AH586">
        <v>3</v>
      </c>
      <c r="AI586">
        <v>3</v>
      </c>
      <c r="AJ586">
        <v>2</v>
      </c>
      <c r="AK586">
        <v>7</v>
      </c>
      <c r="AL586" t="s">
        <v>1357</v>
      </c>
      <c r="AM586" t="s">
        <v>525</v>
      </c>
      <c r="AN586" t="s">
        <v>1358</v>
      </c>
      <c r="AO586" t="s">
        <v>74</v>
      </c>
      <c r="AP586" t="s">
        <v>8336</v>
      </c>
      <c r="AQ586" t="s">
        <v>74</v>
      </c>
      <c r="AR586" t="s">
        <v>8337</v>
      </c>
      <c r="AS586" t="s">
        <v>8338</v>
      </c>
      <c r="AT586" t="s">
        <v>11565</v>
      </c>
      <c r="AU586">
        <v>2023</v>
      </c>
      <c r="AV586">
        <v>3</v>
      </c>
      <c r="AW586">
        <v>1</v>
      </c>
      <c r="AX586" t="s">
        <v>74</v>
      </c>
      <c r="AY586" t="s">
        <v>74</v>
      </c>
      <c r="AZ586" t="s">
        <v>74</v>
      </c>
      <c r="BA586" t="s">
        <v>74</v>
      </c>
      <c r="BB586" t="s">
        <v>74</v>
      </c>
      <c r="BC586" t="s">
        <v>74</v>
      </c>
      <c r="BD586">
        <v>10</v>
      </c>
      <c r="BE586" t="s">
        <v>11566</v>
      </c>
      <c r="BF586" t="str">
        <f>HYPERLINK("http://dx.doi.org/10.1038/s42949-023-00089-x","http://dx.doi.org/10.1038/s42949-023-00089-x")</f>
        <v>http://dx.doi.org/10.1038/s42949-023-00089-x</v>
      </c>
      <c r="BG586" t="s">
        <v>74</v>
      </c>
      <c r="BH586" t="s">
        <v>74</v>
      </c>
      <c r="BI586">
        <v>6</v>
      </c>
      <c r="BJ586" t="s">
        <v>8340</v>
      </c>
      <c r="BK586" t="s">
        <v>160</v>
      </c>
      <c r="BL586" t="s">
        <v>8341</v>
      </c>
      <c r="BM586" t="s">
        <v>11567</v>
      </c>
      <c r="BN586">
        <v>36874410</v>
      </c>
      <c r="BO586" t="s">
        <v>614</v>
      </c>
      <c r="BP586" t="s">
        <v>74</v>
      </c>
      <c r="BQ586" t="s">
        <v>74</v>
      </c>
      <c r="BR586" t="s">
        <v>106</v>
      </c>
      <c r="BS586" t="s">
        <v>11568</v>
      </c>
      <c r="BT586" t="str">
        <f>HYPERLINK("https%3A%2F%2Fwww.webofscience.com%2Fwos%2Fwoscc%2Ffull-record%2FWOS:000999963200002","View Full Record in Web of Science")</f>
        <v>View Full Record in Web of Science</v>
      </c>
    </row>
    <row r="587" spans="1:72" x14ac:dyDescent="0.15">
      <c r="A587" t="s">
        <v>72</v>
      </c>
      <c r="B587" t="s">
        <v>11569</v>
      </c>
      <c r="C587" t="s">
        <v>74</v>
      </c>
      <c r="D587" t="s">
        <v>74</v>
      </c>
      <c r="E587" t="s">
        <v>74</v>
      </c>
      <c r="F587" t="s">
        <v>11570</v>
      </c>
      <c r="G587" t="s">
        <v>74</v>
      </c>
      <c r="H587" t="s">
        <v>74</v>
      </c>
      <c r="I587" t="s">
        <v>11571</v>
      </c>
      <c r="J587" t="s">
        <v>643</v>
      </c>
      <c r="K587" t="s">
        <v>74</v>
      </c>
      <c r="L587" t="s">
        <v>74</v>
      </c>
      <c r="M587" t="s">
        <v>78</v>
      </c>
      <c r="N587" t="s">
        <v>112</v>
      </c>
      <c r="O587" t="s">
        <v>74</v>
      </c>
      <c r="P587" t="s">
        <v>74</v>
      </c>
      <c r="Q587" t="s">
        <v>74</v>
      </c>
      <c r="R587" t="s">
        <v>74</v>
      </c>
      <c r="S587" t="s">
        <v>74</v>
      </c>
      <c r="T587" t="s">
        <v>74</v>
      </c>
      <c r="U587" t="s">
        <v>11572</v>
      </c>
      <c r="V587" t="s">
        <v>11573</v>
      </c>
      <c r="W587" t="s">
        <v>11574</v>
      </c>
      <c r="X587" t="s">
        <v>11575</v>
      </c>
      <c r="Y587" t="s">
        <v>11576</v>
      </c>
      <c r="Z587" t="s">
        <v>11577</v>
      </c>
      <c r="AA587" t="s">
        <v>74</v>
      </c>
      <c r="AB587" t="s">
        <v>11578</v>
      </c>
      <c r="AC587" t="s">
        <v>11579</v>
      </c>
      <c r="AD587" t="s">
        <v>11580</v>
      </c>
      <c r="AE587" t="s">
        <v>11581</v>
      </c>
      <c r="AF587" t="s">
        <v>74</v>
      </c>
      <c r="AG587">
        <v>38</v>
      </c>
      <c r="AH587">
        <v>0</v>
      </c>
      <c r="AI587">
        <v>0</v>
      </c>
      <c r="AJ587">
        <v>3</v>
      </c>
      <c r="AK587">
        <v>6</v>
      </c>
      <c r="AL587" t="s">
        <v>305</v>
      </c>
      <c r="AM587" t="s">
        <v>306</v>
      </c>
      <c r="AN587" t="s">
        <v>307</v>
      </c>
      <c r="AO587" t="s">
        <v>656</v>
      </c>
      <c r="AP587" t="s">
        <v>657</v>
      </c>
      <c r="AQ587" t="s">
        <v>74</v>
      </c>
      <c r="AR587" t="s">
        <v>658</v>
      </c>
      <c r="AS587" t="s">
        <v>659</v>
      </c>
      <c r="AT587" t="s">
        <v>11565</v>
      </c>
      <c r="AU587">
        <v>2023</v>
      </c>
      <c r="AV587">
        <v>50</v>
      </c>
      <c r="AW587">
        <v>4</v>
      </c>
      <c r="AX587" t="s">
        <v>74</v>
      </c>
      <c r="AY587" t="s">
        <v>74</v>
      </c>
      <c r="AZ587" t="s">
        <v>74</v>
      </c>
      <c r="BA587" t="s">
        <v>74</v>
      </c>
      <c r="BB587" t="s">
        <v>74</v>
      </c>
      <c r="BC587" t="s">
        <v>74</v>
      </c>
      <c r="BD587" t="s">
        <v>11582</v>
      </c>
      <c r="BE587" t="s">
        <v>11583</v>
      </c>
      <c r="BF587" t="str">
        <f>HYPERLINK("http://dx.doi.org/10.1029/2022GL101859","http://dx.doi.org/10.1029/2022GL101859")</f>
        <v>http://dx.doi.org/10.1029/2022GL101859</v>
      </c>
      <c r="BG587" t="s">
        <v>74</v>
      </c>
      <c r="BH587" t="s">
        <v>74</v>
      </c>
      <c r="BI587">
        <v>9</v>
      </c>
      <c r="BJ587" t="s">
        <v>261</v>
      </c>
      <c r="BK587" t="s">
        <v>103</v>
      </c>
      <c r="BL587" t="s">
        <v>262</v>
      </c>
      <c r="BM587" t="s">
        <v>11584</v>
      </c>
      <c r="BN587" t="s">
        <v>74</v>
      </c>
      <c r="BO587" t="s">
        <v>387</v>
      </c>
      <c r="BP587" t="s">
        <v>74</v>
      </c>
      <c r="BQ587" t="s">
        <v>74</v>
      </c>
      <c r="BR587" t="s">
        <v>106</v>
      </c>
      <c r="BS587" t="s">
        <v>11585</v>
      </c>
      <c r="BT587" t="str">
        <f>HYPERLINK("https%3A%2F%2Fwww.webofscience.com%2Fwos%2Fwoscc%2Ffull-record%2FWOS:000949570500001","View Full Record in Web of Science")</f>
        <v>View Full Record in Web of Science</v>
      </c>
    </row>
    <row r="588" spans="1:72" x14ac:dyDescent="0.15">
      <c r="A588" t="s">
        <v>72</v>
      </c>
      <c r="B588" t="s">
        <v>11586</v>
      </c>
      <c r="C588" t="s">
        <v>74</v>
      </c>
      <c r="D588" t="s">
        <v>74</v>
      </c>
      <c r="E588" t="s">
        <v>74</v>
      </c>
      <c r="F588" t="s">
        <v>11587</v>
      </c>
      <c r="G588" t="s">
        <v>74</v>
      </c>
      <c r="H588" t="s">
        <v>74</v>
      </c>
      <c r="I588" t="s">
        <v>11588</v>
      </c>
      <c r="J588" t="s">
        <v>643</v>
      </c>
      <c r="K588" t="s">
        <v>74</v>
      </c>
      <c r="L588" t="s">
        <v>74</v>
      </c>
      <c r="M588" t="s">
        <v>78</v>
      </c>
      <c r="N588" t="s">
        <v>112</v>
      </c>
      <c r="O588" t="s">
        <v>74</v>
      </c>
      <c r="P588" t="s">
        <v>74</v>
      </c>
      <c r="Q588" t="s">
        <v>74</v>
      </c>
      <c r="R588" t="s">
        <v>74</v>
      </c>
      <c r="S588" t="s">
        <v>74</v>
      </c>
      <c r="T588" t="s">
        <v>11589</v>
      </c>
      <c r="U588" t="s">
        <v>11590</v>
      </c>
      <c r="V588" t="s">
        <v>11591</v>
      </c>
      <c r="W588" t="s">
        <v>11592</v>
      </c>
      <c r="X588" t="s">
        <v>11593</v>
      </c>
      <c r="Y588" t="s">
        <v>11594</v>
      </c>
      <c r="Z588" t="s">
        <v>11595</v>
      </c>
      <c r="AA588" t="s">
        <v>11596</v>
      </c>
      <c r="AB588" t="s">
        <v>11597</v>
      </c>
      <c r="AC588" t="s">
        <v>11598</v>
      </c>
      <c r="AD588" t="s">
        <v>11599</v>
      </c>
      <c r="AE588" t="s">
        <v>11600</v>
      </c>
      <c r="AF588" t="s">
        <v>74</v>
      </c>
      <c r="AG588">
        <v>77</v>
      </c>
      <c r="AH588">
        <v>5</v>
      </c>
      <c r="AI588">
        <v>5</v>
      </c>
      <c r="AJ588">
        <v>24</v>
      </c>
      <c r="AK588">
        <v>44</v>
      </c>
      <c r="AL588" t="s">
        <v>305</v>
      </c>
      <c r="AM588" t="s">
        <v>306</v>
      </c>
      <c r="AN588" t="s">
        <v>307</v>
      </c>
      <c r="AO588" t="s">
        <v>656</v>
      </c>
      <c r="AP588" t="s">
        <v>657</v>
      </c>
      <c r="AQ588" t="s">
        <v>74</v>
      </c>
      <c r="AR588" t="s">
        <v>658</v>
      </c>
      <c r="AS588" t="s">
        <v>659</v>
      </c>
      <c r="AT588" t="s">
        <v>11565</v>
      </c>
      <c r="AU588">
        <v>2023</v>
      </c>
      <c r="AV588">
        <v>50</v>
      </c>
      <c r="AW588">
        <v>4</v>
      </c>
      <c r="AX588" t="s">
        <v>74</v>
      </c>
      <c r="AY588" t="s">
        <v>74</v>
      </c>
      <c r="AZ588" t="s">
        <v>74</v>
      </c>
      <c r="BA588" t="s">
        <v>74</v>
      </c>
      <c r="BB588" t="s">
        <v>74</v>
      </c>
      <c r="BC588" t="s">
        <v>74</v>
      </c>
      <c r="BD588" t="s">
        <v>11601</v>
      </c>
      <c r="BE588" t="s">
        <v>11602</v>
      </c>
      <c r="BF588" t="str">
        <f>HYPERLINK("http://dx.doi.org/10.1029/2022GL102315","http://dx.doi.org/10.1029/2022GL102315")</f>
        <v>http://dx.doi.org/10.1029/2022GL102315</v>
      </c>
      <c r="BG588" t="s">
        <v>74</v>
      </c>
      <c r="BH588" t="s">
        <v>74</v>
      </c>
      <c r="BI588">
        <v>11</v>
      </c>
      <c r="BJ588" t="s">
        <v>261</v>
      </c>
      <c r="BK588" t="s">
        <v>103</v>
      </c>
      <c r="BL588" t="s">
        <v>262</v>
      </c>
      <c r="BM588" t="s">
        <v>11603</v>
      </c>
      <c r="BN588" t="s">
        <v>74</v>
      </c>
      <c r="BO588" t="s">
        <v>387</v>
      </c>
      <c r="BP588" t="s">
        <v>74</v>
      </c>
      <c r="BQ588" t="s">
        <v>74</v>
      </c>
      <c r="BR588" t="s">
        <v>106</v>
      </c>
      <c r="BS588" t="s">
        <v>11604</v>
      </c>
      <c r="BT588" t="str">
        <f>HYPERLINK("https%3A%2F%2Fwww.webofscience.com%2Fwos%2Fwoscc%2Ffull-record%2FWOS:000949586300001","View Full Record in Web of Science")</f>
        <v>View Full Record in Web of Science</v>
      </c>
    </row>
    <row r="589" spans="1:72" x14ac:dyDescent="0.15">
      <c r="A589" t="s">
        <v>72</v>
      </c>
      <c r="B589" t="s">
        <v>11605</v>
      </c>
      <c r="C589" t="s">
        <v>74</v>
      </c>
      <c r="D589" t="s">
        <v>74</v>
      </c>
      <c r="E589" t="s">
        <v>74</v>
      </c>
      <c r="F589" t="s">
        <v>11606</v>
      </c>
      <c r="G589" t="s">
        <v>74</v>
      </c>
      <c r="H589" t="s">
        <v>74</v>
      </c>
      <c r="I589" t="s">
        <v>11607</v>
      </c>
      <c r="J589" t="s">
        <v>11608</v>
      </c>
      <c r="K589" t="s">
        <v>74</v>
      </c>
      <c r="L589" t="s">
        <v>74</v>
      </c>
      <c r="M589" t="s">
        <v>78</v>
      </c>
      <c r="N589" t="s">
        <v>112</v>
      </c>
      <c r="O589" t="s">
        <v>74</v>
      </c>
      <c r="P589" t="s">
        <v>74</v>
      </c>
      <c r="Q589" t="s">
        <v>74</v>
      </c>
      <c r="R589" t="s">
        <v>74</v>
      </c>
      <c r="S589" t="s">
        <v>74</v>
      </c>
      <c r="T589" t="s">
        <v>11609</v>
      </c>
      <c r="U589" t="s">
        <v>11610</v>
      </c>
      <c r="V589" t="s">
        <v>11611</v>
      </c>
      <c r="W589" t="s">
        <v>11612</v>
      </c>
      <c r="X589" t="s">
        <v>11613</v>
      </c>
      <c r="Y589" t="s">
        <v>11614</v>
      </c>
      <c r="Z589" t="s">
        <v>11615</v>
      </c>
      <c r="AA589" t="s">
        <v>11616</v>
      </c>
      <c r="AB589" t="s">
        <v>11617</v>
      </c>
      <c r="AC589" t="s">
        <v>11618</v>
      </c>
      <c r="AD589" t="s">
        <v>11619</v>
      </c>
      <c r="AE589" t="s">
        <v>11620</v>
      </c>
      <c r="AF589" t="s">
        <v>74</v>
      </c>
      <c r="AG589">
        <v>123</v>
      </c>
      <c r="AH589">
        <v>0</v>
      </c>
      <c r="AI589">
        <v>0</v>
      </c>
      <c r="AJ589">
        <v>1</v>
      </c>
      <c r="AK589">
        <v>1</v>
      </c>
      <c r="AL589" t="s">
        <v>11621</v>
      </c>
      <c r="AM589" t="s">
        <v>179</v>
      </c>
      <c r="AN589" t="s">
        <v>11622</v>
      </c>
      <c r="AO589" t="s">
        <v>11623</v>
      </c>
      <c r="AP589" t="s">
        <v>11624</v>
      </c>
      <c r="AQ589" t="s">
        <v>74</v>
      </c>
      <c r="AR589" t="s">
        <v>11625</v>
      </c>
      <c r="AS589" t="s">
        <v>11626</v>
      </c>
      <c r="AT589" t="s">
        <v>131</v>
      </c>
      <c r="AU589">
        <v>2023</v>
      </c>
      <c r="AV589">
        <v>286</v>
      </c>
      <c r="AW589" t="s">
        <v>74</v>
      </c>
      <c r="AX589" t="s">
        <v>74</v>
      </c>
      <c r="AY589" t="s">
        <v>74</v>
      </c>
      <c r="AZ589" t="s">
        <v>74</v>
      </c>
      <c r="BA589" t="s">
        <v>74</v>
      </c>
      <c r="BB589" t="s">
        <v>74</v>
      </c>
      <c r="BC589" t="s">
        <v>74</v>
      </c>
      <c r="BD589">
        <v>106678</v>
      </c>
      <c r="BE589" t="s">
        <v>11627</v>
      </c>
      <c r="BF589" t="str">
        <f>HYPERLINK("http://dx.doi.org/10.1016/j.atmosres.2023.106678","http://dx.doi.org/10.1016/j.atmosres.2023.106678")</f>
        <v>http://dx.doi.org/10.1016/j.atmosres.2023.106678</v>
      </c>
      <c r="BG589" t="s">
        <v>74</v>
      </c>
      <c r="BH589" t="s">
        <v>11628</v>
      </c>
      <c r="BI589">
        <v>18</v>
      </c>
      <c r="BJ589" t="s">
        <v>102</v>
      </c>
      <c r="BK589" t="s">
        <v>103</v>
      </c>
      <c r="BL589" t="s">
        <v>102</v>
      </c>
      <c r="BM589" t="s">
        <v>11629</v>
      </c>
      <c r="BN589" t="s">
        <v>74</v>
      </c>
      <c r="BO589" t="s">
        <v>74</v>
      </c>
      <c r="BP589" t="s">
        <v>74</v>
      </c>
      <c r="BQ589" t="s">
        <v>74</v>
      </c>
      <c r="BR589" t="s">
        <v>106</v>
      </c>
      <c r="BS589" t="s">
        <v>11630</v>
      </c>
      <c r="BT589" t="str">
        <f>HYPERLINK("https%3A%2F%2Fwww.webofscience.com%2Fwos%2Fwoscc%2Ffull-record%2FWOS:000949704200001","View Full Record in Web of Science")</f>
        <v>View Full Record in Web of Science</v>
      </c>
    </row>
    <row r="590" spans="1:72" x14ac:dyDescent="0.15">
      <c r="A590" t="s">
        <v>72</v>
      </c>
      <c r="B590" t="s">
        <v>11631</v>
      </c>
      <c r="C590" t="s">
        <v>74</v>
      </c>
      <c r="D590" t="s">
        <v>74</v>
      </c>
      <c r="E590" t="s">
        <v>74</v>
      </c>
      <c r="F590" t="s">
        <v>11632</v>
      </c>
      <c r="G590" t="s">
        <v>74</v>
      </c>
      <c r="H590" t="s">
        <v>74</v>
      </c>
      <c r="I590" t="s">
        <v>11633</v>
      </c>
      <c r="J590" t="s">
        <v>1777</v>
      </c>
      <c r="K590" t="s">
        <v>74</v>
      </c>
      <c r="L590" t="s">
        <v>74</v>
      </c>
      <c r="M590" t="s">
        <v>78</v>
      </c>
      <c r="N590" t="s">
        <v>112</v>
      </c>
      <c r="O590" t="s">
        <v>74</v>
      </c>
      <c r="P590" t="s">
        <v>74</v>
      </c>
      <c r="Q590" t="s">
        <v>74</v>
      </c>
      <c r="R590" t="s">
        <v>74</v>
      </c>
      <c r="S590" t="s">
        <v>74</v>
      </c>
      <c r="T590" t="s">
        <v>11634</v>
      </c>
      <c r="U590" t="s">
        <v>11635</v>
      </c>
      <c r="V590" t="s">
        <v>11636</v>
      </c>
      <c r="W590" t="s">
        <v>11637</v>
      </c>
      <c r="X590" t="s">
        <v>11638</v>
      </c>
      <c r="Y590" t="s">
        <v>11639</v>
      </c>
      <c r="Z590" t="s">
        <v>11640</v>
      </c>
      <c r="AA590" t="s">
        <v>11641</v>
      </c>
      <c r="AB590" t="s">
        <v>11642</v>
      </c>
      <c r="AC590" t="s">
        <v>74</v>
      </c>
      <c r="AD590" t="s">
        <v>74</v>
      </c>
      <c r="AE590" t="s">
        <v>74</v>
      </c>
      <c r="AF590" t="s">
        <v>74</v>
      </c>
      <c r="AG590">
        <v>18</v>
      </c>
      <c r="AH590">
        <v>2</v>
      </c>
      <c r="AI590">
        <v>2</v>
      </c>
      <c r="AJ590">
        <v>3</v>
      </c>
      <c r="AK590">
        <v>13</v>
      </c>
      <c r="AL590" t="s">
        <v>1405</v>
      </c>
      <c r="AM590" t="s">
        <v>226</v>
      </c>
      <c r="AN590" t="s">
        <v>1406</v>
      </c>
      <c r="AO590" t="s">
        <v>1786</v>
      </c>
      <c r="AP590" t="s">
        <v>1787</v>
      </c>
      <c r="AQ590" t="s">
        <v>74</v>
      </c>
      <c r="AR590" t="s">
        <v>1788</v>
      </c>
      <c r="AS590" t="s">
        <v>1789</v>
      </c>
      <c r="AT590" t="s">
        <v>4546</v>
      </c>
      <c r="AU590">
        <v>2023</v>
      </c>
      <c r="AV590">
        <v>71</v>
      </c>
      <c r="AW590">
        <v>7</v>
      </c>
      <c r="AX590" t="s">
        <v>74</v>
      </c>
      <c r="AY590" t="s">
        <v>74</v>
      </c>
      <c r="AZ590" t="s">
        <v>74</v>
      </c>
      <c r="BA590" t="s">
        <v>74</v>
      </c>
      <c r="BB590">
        <v>2990</v>
      </c>
      <c r="BC590">
        <v>2995</v>
      </c>
      <c r="BD590" t="s">
        <v>74</v>
      </c>
      <c r="BE590" t="s">
        <v>11643</v>
      </c>
      <c r="BF590" t="str">
        <f>HYPERLINK("http://dx.doi.org/10.1016/j.asr.2022.11.057","http://dx.doi.org/10.1016/j.asr.2022.11.057")</f>
        <v>http://dx.doi.org/10.1016/j.asr.2022.11.057</v>
      </c>
      <c r="BG590" t="s">
        <v>74</v>
      </c>
      <c r="BH590" t="s">
        <v>11628</v>
      </c>
      <c r="BI590">
        <v>6</v>
      </c>
      <c r="BJ590" t="s">
        <v>1792</v>
      </c>
      <c r="BK590" t="s">
        <v>103</v>
      </c>
      <c r="BL590" t="s">
        <v>1793</v>
      </c>
      <c r="BM590" t="s">
        <v>11644</v>
      </c>
      <c r="BN590" t="s">
        <v>74</v>
      </c>
      <c r="BO590" t="s">
        <v>74</v>
      </c>
      <c r="BP590" t="s">
        <v>74</v>
      </c>
      <c r="BQ590" t="s">
        <v>74</v>
      </c>
      <c r="BR590" t="s">
        <v>106</v>
      </c>
      <c r="BS590" t="s">
        <v>11645</v>
      </c>
      <c r="BT590" t="str">
        <f>HYPERLINK("https%3A%2F%2Fwww.webofscience.com%2Fwos%2Fwoscc%2Ffull-record%2FWOS:000949638900001","View Full Record in Web of Science")</f>
        <v>View Full Record in Web of Science</v>
      </c>
    </row>
    <row r="591" spans="1:72" x14ac:dyDescent="0.15">
      <c r="A591" t="s">
        <v>72</v>
      </c>
      <c r="B591" t="s">
        <v>11646</v>
      </c>
      <c r="C591" t="s">
        <v>74</v>
      </c>
      <c r="D591" t="s">
        <v>74</v>
      </c>
      <c r="E591" t="s">
        <v>74</v>
      </c>
      <c r="F591" t="s">
        <v>11647</v>
      </c>
      <c r="G591" t="s">
        <v>74</v>
      </c>
      <c r="H591" t="s">
        <v>74</v>
      </c>
      <c r="I591" t="s">
        <v>11648</v>
      </c>
      <c r="J591" t="s">
        <v>3796</v>
      </c>
      <c r="K591" t="s">
        <v>74</v>
      </c>
      <c r="L591" t="s">
        <v>74</v>
      </c>
      <c r="M591" t="s">
        <v>78</v>
      </c>
      <c r="N591" t="s">
        <v>112</v>
      </c>
      <c r="O591" t="s">
        <v>74</v>
      </c>
      <c r="P591" t="s">
        <v>74</v>
      </c>
      <c r="Q591" t="s">
        <v>74</v>
      </c>
      <c r="R591" t="s">
        <v>74</v>
      </c>
      <c r="S591" t="s">
        <v>74</v>
      </c>
      <c r="T591" t="s">
        <v>11649</v>
      </c>
      <c r="U591" t="s">
        <v>11650</v>
      </c>
      <c r="V591" t="s">
        <v>11651</v>
      </c>
      <c r="W591" t="s">
        <v>11652</v>
      </c>
      <c r="X591" t="s">
        <v>11653</v>
      </c>
      <c r="Y591" t="s">
        <v>11654</v>
      </c>
      <c r="Z591" t="s">
        <v>11655</v>
      </c>
      <c r="AA591" t="s">
        <v>11656</v>
      </c>
      <c r="AB591" t="s">
        <v>11657</v>
      </c>
      <c r="AC591" t="s">
        <v>74</v>
      </c>
      <c r="AD591" t="s">
        <v>74</v>
      </c>
      <c r="AE591" t="s">
        <v>74</v>
      </c>
      <c r="AF591" t="s">
        <v>74</v>
      </c>
      <c r="AG591">
        <v>59</v>
      </c>
      <c r="AH591">
        <v>1</v>
      </c>
      <c r="AI591">
        <v>1</v>
      </c>
      <c r="AJ591">
        <v>4</v>
      </c>
      <c r="AK591">
        <v>13</v>
      </c>
      <c r="AL591" t="s">
        <v>2116</v>
      </c>
      <c r="AM591" t="s">
        <v>226</v>
      </c>
      <c r="AN591" t="s">
        <v>2117</v>
      </c>
      <c r="AO591" t="s">
        <v>3808</v>
      </c>
      <c r="AP591" t="s">
        <v>3809</v>
      </c>
      <c r="AQ591" t="s">
        <v>74</v>
      </c>
      <c r="AR591" t="s">
        <v>3810</v>
      </c>
      <c r="AS591" t="s">
        <v>3811</v>
      </c>
      <c r="AT591" t="s">
        <v>11565</v>
      </c>
      <c r="AU591">
        <v>2023</v>
      </c>
      <c r="AV591">
        <v>99</v>
      </c>
      <c r="AW591">
        <v>3</v>
      </c>
      <c r="AX591" t="s">
        <v>74</v>
      </c>
      <c r="AY591" t="s">
        <v>74</v>
      </c>
      <c r="AZ591" t="s">
        <v>74</v>
      </c>
      <c r="BA591" t="s">
        <v>74</v>
      </c>
      <c r="BB591" t="s">
        <v>74</v>
      </c>
      <c r="BC591" t="s">
        <v>74</v>
      </c>
      <c r="BD591" t="s">
        <v>11658</v>
      </c>
      <c r="BE591" t="s">
        <v>11659</v>
      </c>
      <c r="BF591" t="str">
        <f>HYPERLINK("http://dx.doi.org/10.1093/femsec/fiad015","http://dx.doi.org/10.1093/femsec/fiad015")</f>
        <v>http://dx.doi.org/10.1093/femsec/fiad015</v>
      </c>
      <c r="BG591" t="s">
        <v>74</v>
      </c>
      <c r="BH591" t="s">
        <v>74</v>
      </c>
      <c r="BI591">
        <v>11</v>
      </c>
      <c r="BJ591" t="s">
        <v>1387</v>
      </c>
      <c r="BK591" t="s">
        <v>103</v>
      </c>
      <c r="BL591" t="s">
        <v>1387</v>
      </c>
      <c r="BM591" t="s">
        <v>11660</v>
      </c>
      <c r="BN591">
        <v>36750176</v>
      </c>
      <c r="BO591" t="s">
        <v>430</v>
      </c>
      <c r="BP591" t="s">
        <v>74</v>
      </c>
      <c r="BQ591" t="s">
        <v>74</v>
      </c>
      <c r="BR591" t="s">
        <v>106</v>
      </c>
      <c r="BS591" t="s">
        <v>11661</v>
      </c>
      <c r="BT591" t="str">
        <f>HYPERLINK("https%3A%2F%2Fwww.webofscience.com%2Fwos%2Fwoscc%2Ffull-record%2FWOS:000941539200001","View Full Record in Web of Science")</f>
        <v>View Full Record in Web of Science</v>
      </c>
    </row>
    <row r="592" spans="1:72" x14ac:dyDescent="0.15">
      <c r="A592" t="s">
        <v>72</v>
      </c>
      <c r="B592" t="s">
        <v>11662</v>
      </c>
      <c r="C592" t="s">
        <v>74</v>
      </c>
      <c r="D592" t="s">
        <v>74</v>
      </c>
      <c r="E592" t="s">
        <v>74</v>
      </c>
      <c r="F592" t="s">
        <v>11663</v>
      </c>
      <c r="G592" t="s">
        <v>74</v>
      </c>
      <c r="H592" t="s">
        <v>74</v>
      </c>
      <c r="I592" t="s">
        <v>11664</v>
      </c>
      <c r="J592" t="s">
        <v>2461</v>
      </c>
      <c r="K592" t="s">
        <v>74</v>
      </c>
      <c r="L592" t="s">
        <v>74</v>
      </c>
      <c r="M592" t="s">
        <v>78</v>
      </c>
      <c r="N592" t="s">
        <v>112</v>
      </c>
      <c r="O592" t="s">
        <v>74</v>
      </c>
      <c r="P592" t="s">
        <v>74</v>
      </c>
      <c r="Q592" t="s">
        <v>74</v>
      </c>
      <c r="R592" t="s">
        <v>74</v>
      </c>
      <c r="S592" t="s">
        <v>74</v>
      </c>
      <c r="T592" t="s">
        <v>74</v>
      </c>
      <c r="U592" t="s">
        <v>11665</v>
      </c>
      <c r="V592" t="s">
        <v>11666</v>
      </c>
      <c r="W592" t="s">
        <v>11667</v>
      </c>
      <c r="X592" t="s">
        <v>11668</v>
      </c>
      <c r="Y592" t="s">
        <v>11669</v>
      </c>
      <c r="Z592" t="s">
        <v>674</v>
      </c>
      <c r="AA592" t="s">
        <v>74</v>
      </c>
      <c r="AB592" t="s">
        <v>11670</v>
      </c>
      <c r="AC592" t="s">
        <v>11671</v>
      </c>
      <c r="AD592" t="s">
        <v>11672</v>
      </c>
      <c r="AE592" t="s">
        <v>11673</v>
      </c>
      <c r="AF592" t="s">
        <v>74</v>
      </c>
      <c r="AG592">
        <v>57</v>
      </c>
      <c r="AH592">
        <v>1</v>
      </c>
      <c r="AI592">
        <v>1</v>
      </c>
      <c r="AJ592">
        <v>6</v>
      </c>
      <c r="AK592">
        <v>11</v>
      </c>
      <c r="AL592" t="s">
        <v>1357</v>
      </c>
      <c r="AM592" t="s">
        <v>525</v>
      </c>
      <c r="AN592" t="s">
        <v>1358</v>
      </c>
      <c r="AO592" t="s">
        <v>74</v>
      </c>
      <c r="AP592" t="s">
        <v>2470</v>
      </c>
      <c r="AQ592" t="s">
        <v>74</v>
      </c>
      <c r="AR592" t="s">
        <v>2471</v>
      </c>
      <c r="AS592" t="s">
        <v>2472</v>
      </c>
      <c r="AT592" t="s">
        <v>11565</v>
      </c>
      <c r="AU592">
        <v>2023</v>
      </c>
      <c r="AV592">
        <v>4</v>
      </c>
      <c r="AW592">
        <v>1</v>
      </c>
      <c r="AX592" t="s">
        <v>74</v>
      </c>
      <c r="AY592" t="s">
        <v>74</v>
      </c>
      <c r="AZ592" t="s">
        <v>74</v>
      </c>
      <c r="BA592" t="s">
        <v>74</v>
      </c>
      <c r="BB592" t="s">
        <v>74</v>
      </c>
      <c r="BC592" t="s">
        <v>74</v>
      </c>
      <c r="BD592">
        <v>54</v>
      </c>
      <c r="BE592" t="s">
        <v>11674</v>
      </c>
      <c r="BF592" t="str">
        <f>HYPERLINK("http://dx.doi.org/10.1038/s43247-023-00712-w","http://dx.doi.org/10.1038/s43247-023-00712-w")</f>
        <v>http://dx.doi.org/10.1038/s43247-023-00712-w</v>
      </c>
      <c r="BG592" t="s">
        <v>74</v>
      </c>
      <c r="BH592" t="s">
        <v>74</v>
      </c>
      <c r="BI592">
        <v>11</v>
      </c>
      <c r="BJ592" t="s">
        <v>2474</v>
      </c>
      <c r="BK592" t="s">
        <v>103</v>
      </c>
      <c r="BL592" t="s">
        <v>2475</v>
      </c>
      <c r="BM592" t="s">
        <v>11675</v>
      </c>
      <c r="BN592" t="s">
        <v>74</v>
      </c>
      <c r="BO592" t="s">
        <v>359</v>
      </c>
      <c r="BP592" t="s">
        <v>74</v>
      </c>
      <c r="BQ592" t="s">
        <v>74</v>
      </c>
      <c r="BR592" t="s">
        <v>106</v>
      </c>
      <c r="BS592" t="s">
        <v>11676</v>
      </c>
      <c r="BT592" t="str">
        <f>HYPERLINK("https%3A%2F%2Fwww.webofscience.com%2Fwos%2Fwoscc%2Ffull-record%2FWOS:000941223700002","View Full Record in Web of Science")</f>
        <v>View Full Record in Web of Science</v>
      </c>
    </row>
    <row r="593" spans="1:72" x14ac:dyDescent="0.15">
      <c r="A593" t="s">
        <v>72</v>
      </c>
      <c r="B593" t="s">
        <v>11677</v>
      </c>
      <c r="C593" t="s">
        <v>74</v>
      </c>
      <c r="D593" t="s">
        <v>74</v>
      </c>
      <c r="E593" t="s">
        <v>74</v>
      </c>
      <c r="F593" t="s">
        <v>11678</v>
      </c>
      <c r="G593" t="s">
        <v>74</v>
      </c>
      <c r="H593" t="s">
        <v>74</v>
      </c>
      <c r="I593" t="s">
        <v>11679</v>
      </c>
      <c r="J593" t="s">
        <v>11680</v>
      </c>
      <c r="K593" t="s">
        <v>74</v>
      </c>
      <c r="L593" t="s">
        <v>74</v>
      </c>
      <c r="M593" t="s">
        <v>78</v>
      </c>
      <c r="N593" t="s">
        <v>112</v>
      </c>
      <c r="O593" t="s">
        <v>74</v>
      </c>
      <c r="P593" t="s">
        <v>74</v>
      </c>
      <c r="Q593" t="s">
        <v>74</v>
      </c>
      <c r="R593" t="s">
        <v>74</v>
      </c>
      <c r="S593" t="s">
        <v>74</v>
      </c>
      <c r="T593" t="s">
        <v>11681</v>
      </c>
      <c r="U593" t="s">
        <v>11682</v>
      </c>
      <c r="V593" t="s">
        <v>11683</v>
      </c>
      <c r="W593" t="s">
        <v>11684</v>
      </c>
      <c r="X593" t="s">
        <v>10282</v>
      </c>
      <c r="Y593" t="s">
        <v>11685</v>
      </c>
      <c r="Z593" t="s">
        <v>11686</v>
      </c>
      <c r="AA593" t="s">
        <v>11687</v>
      </c>
      <c r="AB593" t="s">
        <v>74</v>
      </c>
      <c r="AC593" t="s">
        <v>10285</v>
      </c>
      <c r="AD593" t="s">
        <v>251</v>
      </c>
      <c r="AE593" t="s">
        <v>11688</v>
      </c>
      <c r="AF593" t="s">
        <v>74</v>
      </c>
      <c r="AG593">
        <v>24</v>
      </c>
      <c r="AH593">
        <v>2</v>
      </c>
      <c r="AI593">
        <v>2</v>
      </c>
      <c r="AJ593">
        <v>3</v>
      </c>
      <c r="AK593">
        <v>3</v>
      </c>
      <c r="AL593" t="s">
        <v>11689</v>
      </c>
      <c r="AM593" t="s">
        <v>11690</v>
      </c>
      <c r="AN593" t="s">
        <v>11691</v>
      </c>
      <c r="AO593" t="s">
        <v>11692</v>
      </c>
      <c r="AP593" t="s">
        <v>11693</v>
      </c>
      <c r="AQ593" t="s">
        <v>74</v>
      </c>
      <c r="AR593" t="s">
        <v>11694</v>
      </c>
      <c r="AS593" t="s">
        <v>11695</v>
      </c>
      <c r="AT593" t="s">
        <v>11565</v>
      </c>
      <c r="AU593">
        <v>2023</v>
      </c>
      <c r="AV593">
        <v>132</v>
      </c>
      <c r="AW593">
        <v>1</v>
      </c>
      <c r="AX593" t="s">
        <v>74</v>
      </c>
      <c r="AY593" t="s">
        <v>74</v>
      </c>
      <c r="AZ593" t="s">
        <v>74</v>
      </c>
      <c r="BA593" t="s">
        <v>74</v>
      </c>
      <c r="BB593" t="s">
        <v>74</v>
      </c>
      <c r="BC593" t="s">
        <v>74</v>
      </c>
      <c r="BD593">
        <v>39</v>
      </c>
      <c r="BE593" t="s">
        <v>11696</v>
      </c>
      <c r="BF593" t="str">
        <f>HYPERLINK("http://dx.doi.org/10.1007/s12040-023-02060-x","http://dx.doi.org/10.1007/s12040-023-02060-x")</f>
        <v>http://dx.doi.org/10.1007/s12040-023-02060-x</v>
      </c>
      <c r="BG593" t="s">
        <v>74</v>
      </c>
      <c r="BH593" t="s">
        <v>74</v>
      </c>
      <c r="BI593">
        <v>8</v>
      </c>
      <c r="BJ593" t="s">
        <v>11697</v>
      </c>
      <c r="BK593" t="s">
        <v>103</v>
      </c>
      <c r="BL593" t="s">
        <v>11698</v>
      </c>
      <c r="BM593" t="s">
        <v>11699</v>
      </c>
      <c r="BN593" t="s">
        <v>74</v>
      </c>
      <c r="BO593" t="s">
        <v>74</v>
      </c>
      <c r="BP593" t="s">
        <v>74</v>
      </c>
      <c r="BQ593" t="s">
        <v>74</v>
      </c>
      <c r="BR593" t="s">
        <v>106</v>
      </c>
      <c r="BS593" t="s">
        <v>11700</v>
      </c>
      <c r="BT593" t="str">
        <f>HYPERLINK("https%3A%2F%2Fwww.webofscience.com%2Fwos%2Fwoscc%2Ffull-record%2FWOS:000941146300002","View Full Record in Web of Science")</f>
        <v>View Full Record in Web of Science</v>
      </c>
    </row>
    <row r="594" spans="1:72" x14ac:dyDescent="0.15">
      <c r="A594" t="s">
        <v>72</v>
      </c>
      <c r="B594" t="s">
        <v>11701</v>
      </c>
      <c r="C594" t="s">
        <v>74</v>
      </c>
      <c r="D594" t="s">
        <v>74</v>
      </c>
      <c r="E594" t="s">
        <v>74</v>
      </c>
      <c r="F594" t="s">
        <v>11702</v>
      </c>
      <c r="G594" t="s">
        <v>74</v>
      </c>
      <c r="H594" t="s">
        <v>74</v>
      </c>
      <c r="I594" t="s">
        <v>11703</v>
      </c>
      <c r="J594" t="s">
        <v>11704</v>
      </c>
      <c r="K594" t="s">
        <v>74</v>
      </c>
      <c r="L594" t="s">
        <v>74</v>
      </c>
      <c r="M594" t="s">
        <v>78</v>
      </c>
      <c r="N594" t="s">
        <v>112</v>
      </c>
      <c r="O594" t="s">
        <v>74</v>
      </c>
      <c r="P594" t="s">
        <v>74</v>
      </c>
      <c r="Q594" t="s">
        <v>74</v>
      </c>
      <c r="R594" t="s">
        <v>74</v>
      </c>
      <c r="S594" t="s">
        <v>74</v>
      </c>
      <c r="T594" t="s">
        <v>11705</v>
      </c>
      <c r="U594" t="s">
        <v>11706</v>
      </c>
      <c r="V594" t="s">
        <v>11707</v>
      </c>
      <c r="W594" t="s">
        <v>11708</v>
      </c>
      <c r="X594" t="s">
        <v>11709</v>
      </c>
      <c r="Y594" t="s">
        <v>11710</v>
      </c>
      <c r="Z594" t="s">
        <v>11711</v>
      </c>
      <c r="AA594" t="s">
        <v>11712</v>
      </c>
      <c r="AB594" t="s">
        <v>11713</v>
      </c>
      <c r="AC594" t="s">
        <v>11714</v>
      </c>
      <c r="AD594" t="s">
        <v>11714</v>
      </c>
      <c r="AE594" t="s">
        <v>11715</v>
      </c>
      <c r="AF594" t="s">
        <v>74</v>
      </c>
      <c r="AG594">
        <v>73</v>
      </c>
      <c r="AH594">
        <v>0</v>
      </c>
      <c r="AI594">
        <v>0</v>
      </c>
      <c r="AJ594">
        <v>2</v>
      </c>
      <c r="AK594">
        <v>2</v>
      </c>
      <c r="AL594" t="s">
        <v>377</v>
      </c>
      <c r="AM594" t="s">
        <v>378</v>
      </c>
      <c r="AN594" t="s">
        <v>379</v>
      </c>
      <c r="AO594" t="s">
        <v>11716</v>
      </c>
      <c r="AP594" t="s">
        <v>11717</v>
      </c>
      <c r="AQ594" t="s">
        <v>74</v>
      </c>
      <c r="AR594" t="s">
        <v>11718</v>
      </c>
      <c r="AS594" t="s">
        <v>11719</v>
      </c>
      <c r="AT594" t="s">
        <v>8210</v>
      </c>
      <c r="AU594">
        <v>2023</v>
      </c>
      <c r="AV594">
        <v>73</v>
      </c>
      <c r="AW594">
        <v>2</v>
      </c>
      <c r="AX594" t="s">
        <v>74</v>
      </c>
      <c r="AY594" t="s">
        <v>74</v>
      </c>
      <c r="AZ594" t="s">
        <v>74</v>
      </c>
      <c r="BA594" t="s">
        <v>74</v>
      </c>
      <c r="BB594">
        <v>39</v>
      </c>
      <c r="BC594">
        <v>57</v>
      </c>
      <c r="BD594" t="s">
        <v>74</v>
      </c>
      <c r="BE594" t="s">
        <v>11720</v>
      </c>
      <c r="BF594" t="str">
        <f>HYPERLINK("http://dx.doi.org/10.1007/s10236-022-01529-5","http://dx.doi.org/10.1007/s10236-022-01529-5")</f>
        <v>http://dx.doi.org/10.1007/s10236-022-01529-5</v>
      </c>
      <c r="BG594" t="s">
        <v>74</v>
      </c>
      <c r="BH594" t="s">
        <v>11628</v>
      </c>
      <c r="BI594">
        <v>19</v>
      </c>
      <c r="BJ594" t="s">
        <v>863</v>
      </c>
      <c r="BK594" t="s">
        <v>103</v>
      </c>
      <c r="BL594" t="s">
        <v>863</v>
      </c>
      <c r="BM594" t="s">
        <v>11721</v>
      </c>
      <c r="BN594" t="s">
        <v>74</v>
      </c>
      <c r="BO594" t="s">
        <v>387</v>
      </c>
      <c r="BP594" t="s">
        <v>74</v>
      </c>
      <c r="BQ594" t="s">
        <v>74</v>
      </c>
      <c r="BR594" t="s">
        <v>106</v>
      </c>
      <c r="BS594" t="s">
        <v>11722</v>
      </c>
      <c r="BT594" t="str">
        <f>HYPERLINK("https%3A%2F%2Fwww.webofscience.com%2Fwos%2Fwoscc%2Ffull-record%2FWOS:000940219300001","View Full Record in Web of Science")</f>
        <v>View Full Record in Web of Science</v>
      </c>
    </row>
    <row r="595" spans="1:72" x14ac:dyDescent="0.15">
      <c r="A595" t="s">
        <v>72</v>
      </c>
      <c r="B595" t="s">
        <v>11723</v>
      </c>
      <c r="C595" t="s">
        <v>74</v>
      </c>
      <c r="D595" t="s">
        <v>74</v>
      </c>
      <c r="E595" t="s">
        <v>74</v>
      </c>
      <c r="F595" t="s">
        <v>11724</v>
      </c>
      <c r="G595" t="s">
        <v>74</v>
      </c>
      <c r="H595" t="s">
        <v>74</v>
      </c>
      <c r="I595" t="s">
        <v>11725</v>
      </c>
      <c r="J595" t="s">
        <v>9782</v>
      </c>
      <c r="K595" t="s">
        <v>74</v>
      </c>
      <c r="L595" t="s">
        <v>74</v>
      </c>
      <c r="M595" t="s">
        <v>78</v>
      </c>
      <c r="N595" t="s">
        <v>112</v>
      </c>
      <c r="O595" t="s">
        <v>74</v>
      </c>
      <c r="P595" t="s">
        <v>74</v>
      </c>
      <c r="Q595" t="s">
        <v>74</v>
      </c>
      <c r="R595" t="s">
        <v>74</v>
      </c>
      <c r="S595" t="s">
        <v>74</v>
      </c>
      <c r="T595" t="s">
        <v>11726</v>
      </c>
      <c r="U595" t="s">
        <v>11727</v>
      </c>
      <c r="V595" t="s">
        <v>11728</v>
      </c>
      <c r="W595" t="s">
        <v>11729</v>
      </c>
      <c r="X595" t="s">
        <v>11730</v>
      </c>
      <c r="Y595" t="s">
        <v>11731</v>
      </c>
      <c r="Z595" t="s">
        <v>11732</v>
      </c>
      <c r="AA595" t="s">
        <v>11733</v>
      </c>
      <c r="AB595" t="s">
        <v>11734</v>
      </c>
      <c r="AC595" t="s">
        <v>11735</v>
      </c>
      <c r="AD595" t="s">
        <v>11736</v>
      </c>
      <c r="AE595" t="s">
        <v>11737</v>
      </c>
      <c r="AF595" t="s">
        <v>74</v>
      </c>
      <c r="AG595">
        <v>78</v>
      </c>
      <c r="AH595">
        <v>4</v>
      </c>
      <c r="AI595">
        <v>4</v>
      </c>
      <c r="AJ595">
        <v>14</v>
      </c>
      <c r="AK595">
        <v>36</v>
      </c>
      <c r="AL595" t="s">
        <v>3119</v>
      </c>
      <c r="AM595" t="s">
        <v>306</v>
      </c>
      <c r="AN595" t="s">
        <v>3120</v>
      </c>
      <c r="AO595" t="s">
        <v>9795</v>
      </c>
      <c r="AP595" t="s">
        <v>74</v>
      </c>
      <c r="AQ595" t="s">
        <v>74</v>
      </c>
      <c r="AR595" t="s">
        <v>9796</v>
      </c>
      <c r="AS595" t="s">
        <v>9797</v>
      </c>
      <c r="AT595" t="s">
        <v>11738</v>
      </c>
      <c r="AU595">
        <v>2023</v>
      </c>
      <c r="AV595">
        <v>10</v>
      </c>
      <c r="AW595">
        <v>20</v>
      </c>
      <c r="AX595" t="s">
        <v>74</v>
      </c>
      <c r="AY595" t="s">
        <v>74</v>
      </c>
      <c r="AZ595" t="s">
        <v>74</v>
      </c>
      <c r="BA595" t="s">
        <v>74</v>
      </c>
      <c r="BB595">
        <v>3549</v>
      </c>
      <c r="BC595">
        <v>3562</v>
      </c>
      <c r="BD595" t="s">
        <v>74</v>
      </c>
      <c r="BE595" t="s">
        <v>11739</v>
      </c>
      <c r="BF595" t="str">
        <f>HYPERLINK("http://dx.doi.org/10.1021/acscatal.2c05160","http://dx.doi.org/10.1021/acscatal.2c05160")</f>
        <v>http://dx.doi.org/10.1021/acscatal.2c05160</v>
      </c>
      <c r="BG595" t="s">
        <v>74</v>
      </c>
      <c r="BH595" t="s">
        <v>11628</v>
      </c>
      <c r="BI595">
        <v>14</v>
      </c>
      <c r="BJ595" t="s">
        <v>9799</v>
      </c>
      <c r="BK595" t="s">
        <v>103</v>
      </c>
      <c r="BL595" t="s">
        <v>1940</v>
      </c>
      <c r="BM595" t="s">
        <v>11740</v>
      </c>
      <c r="BN595">
        <v>36970468</v>
      </c>
      <c r="BO595" t="s">
        <v>1748</v>
      </c>
      <c r="BP595" t="s">
        <v>74</v>
      </c>
      <c r="BQ595" t="s">
        <v>74</v>
      </c>
      <c r="BR595" t="s">
        <v>106</v>
      </c>
      <c r="BS595" t="s">
        <v>11741</v>
      </c>
      <c r="BT595" t="str">
        <f>HYPERLINK("https%3A%2F%2Fwww.webofscience.com%2Fwos%2Fwoscc%2Ffull-record%2FWOS:000939553800001","View Full Record in Web of Science")</f>
        <v>View Full Record in Web of Science</v>
      </c>
    </row>
    <row r="596" spans="1:72" x14ac:dyDescent="0.15">
      <c r="A596" t="s">
        <v>72</v>
      </c>
      <c r="B596" t="s">
        <v>11742</v>
      </c>
      <c r="C596" t="s">
        <v>74</v>
      </c>
      <c r="D596" t="s">
        <v>74</v>
      </c>
      <c r="E596" t="s">
        <v>74</v>
      </c>
      <c r="F596" t="s">
        <v>11743</v>
      </c>
      <c r="G596" t="s">
        <v>74</v>
      </c>
      <c r="H596" t="s">
        <v>74</v>
      </c>
      <c r="I596" t="s">
        <v>11744</v>
      </c>
      <c r="J596" t="s">
        <v>11745</v>
      </c>
      <c r="K596" t="s">
        <v>74</v>
      </c>
      <c r="L596" t="s">
        <v>74</v>
      </c>
      <c r="M596" t="s">
        <v>78</v>
      </c>
      <c r="N596" t="s">
        <v>112</v>
      </c>
      <c r="O596" t="s">
        <v>74</v>
      </c>
      <c r="P596" t="s">
        <v>74</v>
      </c>
      <c r="Q596" t="s">
        <v>74</v>
      </c>
      <c r="R596" t="s">
        <v>74</v>
      </c>
      <c r="S596" t="s">
        <v>74</v>
      </c>
      <c r="T596" t="s">
        <v>11746</v>
      </c>
      <c r="U596" t="s">
        <v>11747</v>
      </c>
      <c r="V596" t="s">
        <v>11748</v>
      </c>
      <c r="W596" t="s">
        <v>11749</v>
      </c>
      <c r="X596" t="s">
        <v>11750</v>
      </c>
      <c r="Y596" t="s">
        <v>11751</v>
      </c>
      <c r="Z596" t="s">
        <v>11752</v>
      </c>
      <c r="AA596" t="s">
        <v>11753</v>
      </c>
      <c r="AB596" t="s">
        <v>11754</v>
      </c>
      <c r="AC596" t="s">
        <v>11755</v>
      </c>
      <c r="AD596" t="s">
        <v>11756</v>
      </c>
      <c r="AE596" t="s">
        <v>11757</v>
      </c>
      <c r="AF596" t="s">
        <v>74</v>
      </c>
      <c r="AG596">
        <v>52</v>
      </c>
      <c r="AH596">
        <v>4</v>
      </c>
      <c r="AI596">
        <v>4</v>
      </c>
      <c r="AJ596">
        <v>5</v>
      </c>
      <c r="AK596">
        <v>18</v>
      </c>
      <c r="AL596" t="s">
        <v>1599</v>
      </c>
      <c r="AM596" t="s">
        <v>306</v>
      </c>
      <c r="AN596" t="s">
        <v>1600</v>
      </c>
      <c r="AO596" t="s">
        <v>11758</v>
      </c>
      <c r="AP596" t="s">
        <v>74</v>
      </c>
      <c r="AQ596" t="s">
        <v>74</v>
      </c>
      <c r="AR596" t="s">
        <v>11745</v>
      </c>
      <c r="AS596" t="s">
        <v>11759</v>
      </c>
      <c r="AT596" t="s">
        <v>886</v>
      </c>
      <c r="AU596">
        <v>2023</v>
      </c>
      <c r="AV596">
        <v>8</v>
      </c>
      <c r="AW596">
        <v>2</v>
      </c>
      <c r="AX596" t="s">
        <v>74</v>
      </c>
      <c r="AY596" t="s">
        <v>74</v>
      </c>
      <c r="AZ596" t="s">
        <v>74</v>
      </c>
      <c r="BA596" t="s">
        <v>74</v>
      </c>
      <c r="BB596" t="s">
        <v>74</v>
      </c>
      <c r="BC596" t="s">
        <v>74</v>
      </c>
      <c r="BD596" t="s">
        <v>74</v>
      </c>
      <c r="BE596" t="s">
        <v>11760</v>
      </c>
      <c r="BF596" t="str">
        <f>HYPERLINK("http://dx.doi.org/10.1128/msystems.01124-22","http://dx.doi.org/10.1128/msystems.01124-22")</f>
        <v>http://dx.doi.org/10.1128/msystems.01124-22</v>
      </c>
      <c r="BG596" t="s">
        <v>74</v>
      </c>
      <c r="BH596" t="s">
        <v>11628</v>
      </c>
      <c r="BI596">
        <v>16</v>
      </c>
      <c r="BJ596" t="s">
        <v>1387</v>
      </c>
      <c r="BK596" t="s">
        <v>103</v>
      </c>
      <c r="BL596" t="s">
        <v>1387</v>
      </c>
      <c r="BM596" t="s">
        <v>11761</v>
      </c>
      <c r="BN596">
        <v>36847563</v>
      </c>
      <c r="BO596" t="s">
        <v>614</v>
      </c>
      <c r="BP596" t="s">
        <v>74</v>
      </c>
      <c r="BQ596" t="s">
        <v>74</v>
      </c>
      <c r="BR596" t="s">
        <v>106</v>
      </c>
      <c r="BS596" t="s">
        <v>11762</v>
      </c>
      <c r="BT596" t="str">
        <f>HYPERLINK("https%3A%2F%2Fwww.webofscience.com%2Fwos%2Fwoscc%2Ffull-record%2FWOS:000939721500001","View Full Record in Web of Science")</f>
        <v>View Full Record in Web of Science</v>
      </c>
    </row>
    <row r="597" spans="1:72" x14ac:dyDescent="0.15">
      <c r="A597" t="s">
        <v>72</v>
      </c>
      <c r="B597" t="s">
        <v>11763</v>
      </c>
      <c r="C597" t="s">
        <v>74</v>
      </c>
      <c r="D597" t="s">
        <v>74</v>
      </c>
      <c r="E597" t="s">
        <v>74</v>
      </c>
      <c r="F597" t="s">
        <v>11764</v>
      </c>
      <c r="G597" t="s">
        <v>74</v>
      </c>
      <c r="H597" t="s">
        <v>74</v>
      </c>
      <c r="I597" t="s">
        <v>11765</v>
      </c>
      <c r="J597" t="s">
        <v>869</v>
      </c>
      <c r="K597" t="s">
        <v>74</v>
      </c>
      <c r="L597" t="s">
        <v>74</v>
      </c>
      <c r="M597" t="s">
        <v>78</v>
      </c>
      <c r="N597" t="s">
        <v>112</v>
      </c>
      <c r="O597" t="s">
        <v>74</v>
      </c>
      <c r="P597" t="s">
        <v>74</v>
      </c>
      <c r="Q597" t="s">
        <v>74</v>
      </c>
      <c r="R597" t="s">
        <v>74</v>
      </c>
      <c r="S597" t="s">
        <v>74</v>
      </c>
      <c r="T597" t="s">
        <v>11766</v>
      </c>
      <c r="U597" t="s">
        <v>74</v>
      </c>
      <c r="V597" t="s">
        <v>11767</v>
      </c>
      <c r="W597" t="s">
        <v>11768</v>
      </c>
      <c r="X597" t="s">
        <v>11769</v>
      </c>
      <c r="Y597" t="s">
        <v>11770</v>
      </c>
      <c r="Z597" t="s">
        <v>11771</v>
      </c>
      <c r="AA597" t="s">
        <v>11772</v>
      </c>
      <c r="AB597" t="s">
        <v>11773</v>
      </c>
      <c r="AC597" t="s">
        <v>11774</v>
      </c>
      <c r="AD597" t="s">
        <v>11775</v>
      </c>
      <c r="AE597" t="s">
        <v>11776</v>
      </c>
      <c r="AF597" t="s">
        <v>74</v>
      </c>
      <c r="AG597">
        <v>19</v>
      </c>
      <c r="AH597">
        <v>1</v>
      </c>
      <c r="AI597">
        <v>1</v>
      </c>
      <c r="AJ597">
        <v>1</v>
      </c>
      <c r="AK597">
        <v>1</v>
      </c>
      <c r="AL597" t="s">
        <v>305</v>
      </c>
      <c r="AM597" t="s">
        <v>306</v>
      </c>
      <c r="AN597" t="s">
        <v>307</v>
      </c>
      <c r="AO597" t="s">
        <v>882</v>
      </c>
      <c r="AP597" t="s">
        <v>883</v>
      </c>
      <c r="AQ597" t="s">
        <v>74</v>
      </c>
      <c r="AR597" t="s">
        <v>884</v>
      </c>
      <c r="AS597" t="s">
        <v>885</v>
      </c>
      <c r="AT597" t="s">
        <v>11777</v>
      </c>
      <c r="AU597">
        <v>2023</v>
      </c>
      <c r="AV597">
        <v>128</v>
      </c>
      <c r="AW597">
        <v>4</v>
      </c>
      <c r="AX597" t="s">
        <v>74</v>
      </c>
      <c r="AY597" t="s">
        <v>74</v>
      </c>
      <c r="AZ597" t="s">
        <v>74</v>
      </c>
      <c r="BA597" t="s">
        <v>74</v>
      </c>
      <c r="BB597" t="s">
        <v>74</v>
      </c>
      <c r="BC597" t="s">
        <v>74</v>
      </c>
      <c r="BD597" t="s">
        <v>11778</v>
      </c>
      <c r="BE597" t="s">
        <v>11779</v>
      </c>
      <c r="BF597" t="str">
        <f>HYPERLINK("http://dx.doi.org/10.1029/2022JD037509","http://dx.doi.org/10.1029/2022JD037509")</f>
        <v>http://dx.doi.org/10.1029/2022JD037509</v>
      </c>
      <c r="BG597" t="s">
        <v>74</v>
      </c>
      <c r="BH597" t="s">
        <v>74</v>
      </c>
      <c r="BI597">
        <v>14</v>
      </c>
      <c r="BJ597" t="s">
        <v>102</v>
      </c>
      <c r="BK597" t="s">
        <v>103</v>
      </c>
      <c r="BL597" t="s">
        <v>102</v>
      </c>
      <c r="BM597" t="s">
        <v>11780</v>
      </c>
      <c r="BN597" t="s">
        <v>74</v>
      </c>
      <c r="BO597" t="s">
        <v>74</v>
      </c>
      <c r="BP597" t="s">
        <v>74</v>
      </c>
      <c r="BQ597" t="s">
        <v>74</v>
      </c>
      <c r="BR597" t="s">
        <v>106</v>
      </c>
      <c r="BS597" t="s">
        <v>11781</v>
      </c>
      <c r="BT597" t="str">
        <f>HYPERLINK("https%3A%2F%2Fwww.webofscience.com%2Fwos%2Fwoscc%2Ffull-record%2FWOS:000949142800001","View Full Record in Web of Science")</f>
        <v>View Full Record in Web of Science</v>
      </c>
    </row>
    <row r="598" spans="1:72" x14ac:dyDescent="0.15">
      <c r="A598" t="s">
        <v>72</v>
      </c>
      <c r="B598" t="s">
        <v>11782</v>
      </c>
      <c r="C598" t="s">
        <v>74</v>
      </c>
      <c r="D598" t="s">
        <v>74</v>
      </c>
      <c r="E598" t="s">
        <v>74</v>
      </c>
      <c r="F598" t="s">
        <v>11783</v>
      </c>
      <c r="G598" t="s">
        <v>74</v>
      </c>
      <c r="H598" t="s">
        <v>74</v>
      </c>
      <c r="I598" t="s">
        <v>11784</v>
      </c>
      <c r="J598" t="s">
        <v>1146</v>
      </c>
      <c r="K598" t="s">
        <v>74</v>
      </c>
      <c r="L598" t="s">
        <v>74</v>
      </c>
      <c r="M598" t="s">
        <v>78</v>
      </c>
      <c r="N598" t="s">
        <v>112</v>
      </c>
      <c r="O598" t="s">
        <v>74</v>
      </c>
      <c r="P598" t="s">
        <v>74</v>
      </c>
      <c r="Q598" t="s">
        <v>74</v>
      </c>
      <c r="R598" t="s">
        <v>74</v>
      </c>
      <c r="S598" t="s">
        <v>74</v>
      </c>
      <c r="T598" t="s">
        <v>11785</v>
      </c>
      <c r="U598" t="s">
        <v>11786</v>
      </c>
      <c r="V598" t="s">
        <v>11787</v>
      </c>
      <c r="W598" t="s">
        <v>11788</v>
      </c>
      <c r="X598" t="s">
        <v>11789</v>
      </c>
      <c r="Y598" t="s">
        <v>11790</v>
      </c>
      <c r="Z598" t="s">
        <v>11791</v>
      </c>
      <c r="AA598" t="s">
        <v>11792</v>
      </c>
      <c r="AB598" t="s">
        <v>11793</v>
      </c>
      <c r="AC598" t="s">
        <v>11794</v>
      </c>
      <c r="AD598" t="s">
        <v>11795</v>
      </c>
      <c r="AE598" t="s">
        <v>11796</v>
      </c>
      <c r="AF598" t="s">
        <v>74</v>
      </c>
      <c r="AG598">
        <v>42</v>
      </c>
      <c r="AH598">
        <v>2</v>
      </c>
      <c r="AI598">
        <v>2</v>
      </c>
      <c r="AJ598">
        <v>3</v>
      </c>
      <c r="AK598">
        <v>7</v>
      </c>
      <c r="AL598" t="s">
        <v>225</v>
      </c>
      <c r="AM598" t="s">
        <v>226</v>
      </c>
      <c r="AN598" t="s">
        <v>227</v>
      </c>
      <c r="AO598" t="s">
        <v>1159</v>
      </c>
      <c r="AP598" t="s">
        <v>1160</v>
      </c>
      <c r="AQ598" t="s">
        <v>74</v>
      </c>
      <c r="AR598" t="s">
        <v>1146</v>
      </c>
      <c r="AS598" t="s">
        <v>1161</v>
      </c>
      <c r="AT598" t="s">
        <v>98</v>
      </c>
      <c r="AU598">
        <v>2023</v>
      </c>
      <c r="AV598">
        <v>322</v>
      </c>
      <c r="AW598" t="s">
        <v>74</v>
      </c>
      <c r="AX598" t="s">
        <v>74</v>
      </c>
      <c r="AY598" t="s">
        <v>74</v>
      </c>
      <c r="AZ598" t="s">
        <v>74</v>
      </c>
      <c r="BA598" t="s">
        <v>74</v>
      </c>
      <c r="BB598" t="s">
        <v>74</v>
      </c>
      <c r="BC598" t="s">
        <v>74</v>
      </c>
      <c r="BD598">
        <v>138218</v>
      </c>
      <c r="BE598" t="s">
        <v>11797</v>
      </c>
      <c r="BF598" t="str">
        <f>HYPERLINK("http://dx.doi.org/10.1016/j.chemosphere.2023.138218","http://dx.doi.org/10.1016/j.chemosphere.2023.138218")</f>
        <v>http://dx.doi.org/10.1016/j.chemosphere.2023.138218</v>
      </c>
      <c r="BG598" t="s">
        <v>74</v>
      </c>
      <c r="BH598" t="s">
        <v>11628</v>
      </c>
      <c r="BI598">
        <v>12</v>
      </c>
      <c r="BJ598" t="s">
        <v>1163</v>
      </c>
      <c r="BK598" t="s">
        <v>103</v>
      </c>
      <c r="BL598" t="s">
        <v>1164</v>
      </c>
      <c r="BM598" t="s">
        <v>11798</v>
      </c>
      <c r="BN598">
        <v>36841448</v>
      </c>
      <c r="BO598" t="s">
        <v>74</v>
      </c>
      <c r="BP598" t="s">
        <v>74</v>
      </c>
      <c r="BQ598" t="s">
        <v>74</v>
      </c>
      <c r="BR598" t="s">
        <v>106</v>
      </c>
      <c r="BS598" t="s">
        <v>11799</v>
      </c>
      <c r="BT598" t="str">
        <f>HYPERLINK("https%3A%2F%2Fwww.webofscience.com%2Fwos%2Fwoscc%2Ffull-record%2FWOS:000965787400001","View Full Record in Web of Science")</f>
        <v>View Full Record in Web of Science</v>
      </c>
    </row>
    <row r="599" spans="1:72" x14ac:dyDescent="0.15">
      <c r="A599" t="s">
        <v>72</v>
      </c>
      <c r="B599" t="s">
        <v>11800</v>
      </c>
      <c r="C599" t="s">
        <v>74</v>
      </c>
      <c r="D599" t="s">
        <v>74</v>
      </c>
      <c r="E599" t="s">
        <v>74</v>
      </c>
      <c r="F599" t="s">
        <v>11801</v>
      </c>
      <c r="G599" t="s">
        <v>74</v>
      </c>
      <c r="H599" t="s">
        <v>74</v>
      </c>
      <c r="I599" t="s">
        <v>11802</v>
      </c>
      <c r="J599" t="s">
        <v>11803</v>
      </c>
      <c r="K599" t="s">
        <v>74</v>
      </c>
      <c r="L599" t="s">
        <v>74</v>
      </c>
      <c r="M599" t="s">
        <v>78</v>
      </c>
      <c r="N599" t="s">
        <v>112</v>
      </c>
      <c r="O599" t="s">
        <v>74</v>
      </c>
      <c r="P599" t="s">
        <v>74</v>
      </c>
      <c r="Q599" t="s">
        <v>74</v>
      </c>
      <c r="R599" t="s">
        <v>74</v>
      </c>
      <c r="S599" t="s">
        <v>74</v>
      </c>
      <c r="T599" t="s">
        <v>11804</v>
      </c>
      <c r="U599" t="s">
        <v>11805</v>
      </c>
      <c r="V599" t="s">
        <v>11806</v>
      </c>
      <c r="W599" t="s">
        <v>11807</v>
      </c>
      <c r="X599" t="s">
        <v>11808</v>
      </c>
      <c r="Y599" t="s">
        <v>11809</v>
      </c>
      <c r="Z599" t="s">
        <v>11810</v>
      </c>
      <c r="AA599" t="s">
        <v>11811</v>
      </c>
      <c r="AB599" t="s">
        <v>11812</v>
      </c>
      <c r="AC599" t="s">
        <v>11813</v>
      </c>
      <c r="AD599" t="s">
        <v>11814</v>
      </c>
      <c r="AE599" t="s">
        <v>11815</v>
      </c>
      <c r="AF599" t="s">
        <v>74</v>
      </c>
      <c r="AG599">
        <v>70</v>
      </c>
      <c r="AH599">
        <v>5</v>
      </c>
      <c r="AI599">
        <v>5</v>
      </c>
      <c r="AJ599">
        <v>0</v>
      </c>
      <c r="AK599">
        <v>14</v>
      </c>
      <c r="AL599" t="s">
        <v>11816</v>
      </c>
      <c r="AM599" t="s">
        <v>11817</v>
      </c>
      <c r="AN599" t="s">
        <v>11818</v>
      </c>
      <c r="AO599" t="s">
        <v>11819</v>
      </c>
      <c r="AP599" t="s">
        <v>11820</v>
      </c>
      <c r="AQ599" t="s">
        <v>74</v>
      </c>
      <c r="AR599" t="s">
        <v>11821</v>
      </c>
      <c r="AS599" t="s">
        <v>11822</v>
      </c>
      <c r="AT599" t="s">
        <v>11777</v>
      </c>
      <c r="AU599">
        <v>2023</v>
      </c>
      <c r="AV599">
        <v>671</v>
      </c>
      <c r="AW599" t="s">
        <v>74</v>
      </c>
      <c r="AX599" t="s">
        <v>74</v>
      </c>
      <c r="AY599" t="s">
        <v>74</v>
      </c>
      <c r="AZ599" t="s">
        <v>74</v>
      </c>
      <c r="BA599" t="s">
        <v>74</v>
      </c>
      <c r="BB599" t="s">
        <v>74</v>
      </c>
      <c r="BC599" t="s">
        <v>74</v>
      </c>
      <c r="BD599" t="s">
        <v>11823</v>
      </c>
      <c r="BE599" t="s">
        <v>11824</v>
      </c>
      <c r="BF599" t="str">
        <f>HYPERLINK("http://dx.doi.org/10.1051/0004-6361/202244702","http://dx.doi.org/10.1051/0004-6361/202244702")</f>
        <v>http://dx.doi.org/10.1051/0004-6361/202244702</v>
      </c>
      <c r="BG599" t="s">
        <v>74</v>
      </c>
      <c r="BH599" t="s">
        <v>74</v>
      </c>
      <c r="BI599">
        <v>30</v>
      </c>
      <c r="BJ599" t="s">
        <v>159</v>
      </c>
      <c r="BK599" t="s">
        <v>103</v>
      </c>
      <c r="BL599" t="s">
        <v>159</v>
      </c>
      <c r="BM599" t="s">
        <v>11825</v>
      </c>
      <c r="BN599" t="s">
        <v>74</v>
      </c>
      <c r="BO599" t="s">
        <v>7454</v>
      </c>
      <c r="BP599" t="s">
        <v>74</v>
      </c>
      <c r="BQ599" t="s">
        <v>74</v>
      </c>
      <c r="BR599" t="s">
        <v>106</v>
      </c>
      <c r="BS599" t="s">
        <v>11826</v>
      </c>
      <c r="BT599" t="str">
        <f>HYPERLINK("https%3A%2F%2Fwww.webofscience.com%2Fwos%2Fwoscc%2Ffull-record%2FWOS:000942118200007","View Full Record in Web of Science")</f>
        <v>View Full Record in Web of Science</v>
      </c>
    </row>
    <row r="600" spans="1:72" x14ac:dyDescent="0.15">
      <c r="A600" t="s">
        <v>72</v>
      </c>
      <c r="B600" t="s">
        <v>11827</v>
      </c>
      <c r="C600" t="s">
        <v>74</v>
      </c>
      <c r="D600" t="s">
        <v>74</v>
      </c>
      <c r="E600" t="s">
        <v>74</v>
      </c>
      <c r="F600" t="s">
        <v>11828</v>
      </c>
      <c r="G600" t="s">
        <v>74</v>
      </c>
      <c r="H600" t="s">
        <v>74</v>
      </c>
      <c r="I600" t="s">
        <v>11829</v>
      </c>
      <c r="J600" t="s">
        <v>11830</v>
      </c>
      <c r="K600" t="s">
        <v>74</v>
      </c>
      <c r="L600" t="s">
        <v>74</v>
      </c>
      <c r="M600" t="s">
        <v>78</v>
      </c>
      <c r="N600" t="s">
        <v>112</v>
      </c>
      <c r="O600" t="s">
        <v>74</v>
      </c>
      <c r="P600" t="s">
        <v>74</v>
      </c>
      <c r="Q600" t="s">
        <v>74</v>
      </c>
      <c r="R600" t="s">
        <v>74</v>
      </c>
      <c r="S600" t="s">
        <v>74</v>
      </c>
      <c r="T600" t="s">
        <v>11831</v>
      </c>
      <c r="U600" t="s">
        <v>11832</v>
      </c>
      <c r="V600" t="s">
        <v>11833</v>
      </c>
      <c r="W600" t="s">
        <v>11834</v>
      </c>
      <c r="X600" t="s">
        <v>11835</v>
      </c>
      <c r="Y600" t="s">
        <v>11836</v>
      </c>
      <c r="Z600" t="s">
        <v>11837</v>
      </c>
      <c r="AA600" t="s">
        <v>74</v>
      </c>
      <c r="AB600" t="s">
        <v>11838</v>
      </c>
      <c r="AC600" t="s">
        <v>11839</v>
      </c>
      <c r="AD600" t="s">
        <v>11840</v>
      </c>
      <c r="AE600" t="s">
        <v>11841</v>
      </c>
      <c r="AF600" t="s">
        <v>74</v>
      </c>
      <c r="AG600">
        <v>52</v>
      </c>
      <c r="AH600">
        <v>1</v>
      </c>
      <c r="AI600">
        <v>1</v>
      </c>
      <c r="AJ600">
        <v>4</v>
      </c>
      <c r="AK600">
        <v>9</v>
      </c>
      <c r="AL600" t="s">
        <v>11842</v>
      </c>
      <c r="AM600" t="s">
        <v>6102</v>
      </c>
      <c r="AN600" t="s">
        <v>11843</v>
      </c>
      <c r="AO600" t="s">
        <v>11844</v>
      </c>
      <c r="AP600" t="s">
        <v>11845</v>
      </c>
      <c r="AQ600" t="s">
        <v>74</v>
      </c>
      <c r="AR600" t="s">
        <v>11846</v>
      </c>
      <c r="AS600" t="s">
        <v>11847</v>
      </c>
      <c r="AT600" t="s">
        <v>8210</v>
      </c>
      <c r="AU600">
        <v>2023</v>
      </c>
      <c r="AV600">
        <v>61</v>
      </c>
      <c r="AW600">
        <v>2</v>
      </c>
      <c r="AX600" t="s">
        <v>74</v>
      </c>
      <c r="AY600" t="s">
        <v>74</v>
      </c>
      <c r="AZ600" t="s">
        <v>74</v>
      </c>
      <c r="BA600" t="s">
        <v>74</v>
      </c>
      <c r="BB600">
        <v>159</v>
      </c>
      <c r="BC600">
        <v>173</v>
      </c>
      <c r="BD600" t="s">
        <v>74</v>
      </c>
      <c r="BE600" t="s">
        <v>11848</v>
      </c>
      <c r="BF600" t="str">
        <f>HYPERLINK("http://dx.doi.org/10.1007/s12275-023-00015-x","http://dx.doi.org/10.1007/s12275-023-00015-x")</f>
        <v>http://dx.doi.org/10.1007/s12275-023-00015-x</v>
      </c>
      <c r="BG600" t="s">
        <v>74</v>
      </c>
      <c r="BH600" t="s">
        <v>11628</v>
      </c>
      <c r="BI600">
        <v>15</v>
      </c>
      <c r="BJ600" t="s">
        <v>1387</v>
      </c>
      <c r="BK600" t="s">
        <v>103</v>
      </c>
      <c r="BL600" t="s">
        <v>1387</v>
      </c>
      <c r="BM600" t="s">
        <v>11849</v>
      </c>
      <c r="BN600">
        <v>36847971</v>
      </c>
      <c r="BO600" t="s">
        <v>430</v>
      </c>
      <c r="BP600" t="s">
        <v>74</v>
      </c>
      <c r="BQ600" t="s">
        <v>74</v>
      </c>
      <c r="BR600" t="s">
        <v>106</v>
      </c>
      <c r="BS600" t="s">
        <v>11850</v>
      </c>
      <c r="BT600" t="str">
        <f>HYPERLINK("https%3A%2F%2Fwww.webofscience.com%2Fwos%2Fwoscc%2Ffull-record%2FWOS:000940230400001","View Full Record in Web of Science")</f>
        <v>View Full Record in Web of Science</v>
      </c>
    </row>
    <row r="601" spans="1:72" x14ac:dyDescent="0.15">
      <c r="A601" t="s">
        <v>72</v>
      </c>
      <c r="B601" t="s">
        <v>11851</v>
      </c>
      <c r="C601" t="s">
        <v>74</v>
      </c>
      <c r="D601" t="s">
        <v>74</v>
      </c>
      <c r="E601" t="s">
        <v>74</v>
      </c>
      <c r="F601" t="s">
        <v>11852</v>
      </c>
      <c r="G601" t="s">
        <v>74</v>
      </c>
      <c r="H601" t="s">
        <v>74</v>
      </c>
      <c r="I601" t="s">
        <v>11853</v>
      </c>
      <c r="J601" t="s">
        <v>782</v>
      </c>
      <c r="K601" t="s">
        <v>74</v>
      </c>
      <c r="L601" t="s">
        <v>74</v>
      </c>
      <c r="M601" t="s">
        <v>78</v>
      </c>
      <c r="N601" t="s">
        <v>112</v>
      </c>
      <c r="O601" t="s">
        <v>74</v>
      </c>
      <c r="P601" t="s">
        <v>74</v>
      </c>
      <c r="Q601" t="s">
        <v>74</v>
      </c>
      <c r="R601" t="s">
        <v>74</v>
      </c>
      <c r="S601" t="s">
        <v>74</v>
      </c>
      <c r="T601" t="s">
        <v>74</v>
      </c>
      <c r="U601" t="s">
        <v>11854</v>
      </c>
      <c r="V601" t="s">
        <v>11855</v>
      </c>
      <c r="W601" t="s">
        <v>11856</v>
      </c>
      <c r="X601" t="s">
        <v>11857</v>
      </c>
      <c r="Y601" t="s">
        <v>11858</v>
      </c>
      <c r="Z601" t="s">
        <v>11859</v>
      </c>
      <c r="AA601" t="s">
        <v>11860</v>
      </c>
      <c r="AB601" t="s">
        <v>11861</v>
      </c>
      <c r="AC601" t="s">
        <v>11862</v>
      </c>
      <c r="AD601" t="s">
        <v>11863</v>
      </c>
      <c r="AE601" t="s">
        <v>11864</v>
      </c>
      <c r="AF601" t="s">
        <v>74</v>
      </c>
      <c r="AG601">
        <v>74</v>
      </c>
      <c r="AH601">
        <v>3</v>
      </c>
      <c r="AI601">
        <v>3</v>
      </c>
      <c r="AJ601">
        <v>11</v>
      </c>
      <c r="AK601">
        <v>17</v>
      </c>
      <c r="AL601" t="s">
        <v>794</v>
      </c>
      <c r="AM601" t="s">
        <v>795</v>
      </c>
      <c r="AN601" t="s">
        <v>796</v>
      </c>
      <c r="AO601" t="s">
        <v>797</v>
      </c>
      <c r="AP601" t="s">
        <v>798</v>
      </c>
      <c r="AQ601" t="s">
        <v>74</v>
      </c>
      <c r="AR601" t="s">
        <v>782</v>
      </c>
      <c r="AS601" t="s">
        <v>799</v>
      </c>
      <c r="AT601" t="s">
        <v>11777</v>
      </c>
      <c r="AU601">
        <v>2023</v>
      </c>
      <c r="AV601">
        <v>17</v>
      </c>
      <c r="AW601">
        <v>2</v>
      </c>
      <c r="AX601" t="s">
        <v>74</v>
      </c>
      <c r="AY601" t="s">
        <v>74</v>
      </c>
      <c r="AZ601" t="s">
        <v>74</v>
      </c>
      <c r="BA601" t="s">
        <v>74</v>
      </c>
      <c r="BB601">
        <v>917</v>
      </c>
      <c r="BC601">
        <v>937</v>
      </c>
      <c r="BD601" t="s">
        <v>74</v>
      </c>
      <c r="BE601" t="s">
        <v>11865</v>
      </c>
      <c r="BF601" t="str">
        <f>HYPERLINK("http://dx.doi.org/10.5194/tc-17-917-2023","http://dx.doi.org/10.5194/tc-17-917-2023")</f>
        <v>http://dx.doi.org/10.5194/tc-17-917-2023</v>
      </c>
      <c r="BG601" t="s">
        <v>74</v>
      </c>
      <c r="BH601" t="s">
        <v>74</v>
      </c>
      <c r="BI601">
        <v>21</v>
      </c>
      <c r="BJ601" t="s">
        <v>801</v>
      </c>
      <c r="BK601" t="s">
        <v>103</v>
      </c>
      <c r="BL601" t="s">
        <v>802</v>
      </c>
      <c r="BM601" t="s">
        <v>11866</v>
      </c>
      <c r="BN601" t="s">
        <v>74</v>
      </c>
      <c r="BO601" t="s">
        <v>3241</v>
      </c>
      <c r="BP601" t="s">
        <v>74</v>
      </c>
      <c r="BQ601" t="s">
        <v>74</v>
      </c>
      <c r="BR601" t="s">
        <v>106</v>
      </c>
      <c r="BS601" t="s">
        <v>11867</v>
      </c>
      <c r="BT601" t="str">
        <f>HYPERLINK("https%3A%2F%2Fwww.webofscience.com%2Fwos%2Fwoscc%2Ffull-record%2FWOS:000940524000001","View Full Record in Web of Science")</f>
        <v>View Full Record in Web of Science</v>
      </c>
    </row>
    <row r="602" spans="1:72" x14ac:dyDescent="0.15">
      <c r="A602" t="s">
        <v>72</v>
      </c>
      <c r="B602" t="s">
        <v>11868</v>
      </c>
      <c r="C602" t="s">
        <v>74</v>
      </c>
      <c r="D602" t="s">
        <v>74</v>
      </c>
      <c r="E602" t="s">
        <v>74</v>
      </c>
      <c r="F602" t="s">
        <v>11869</v>
      </c>
      <c r="G602" t="s">
        <v>74</v>
      </c>
      <c r="H602" t="s">
        <v>74</v>
      </c>
      <c r="I602" t="s">
        <v>11870</v>
      </c>
      <c r="J602" t="s">
        <v>9906</v>
      </c>
      <c r="K602" t="s">
        <v>74</v>
      </c>
      <c r="L602" t="s">
        <v>74</v>
      </c>
      <c r="M602" t="s">
        <v>78</v>
      </c>
      <c r="N602" t="s">
        <v>79</v>
      </c>
      <c r="O602" t="s">
        <v>74</v>
      </c>
      <c r="P602" t="s">
        <v>74</v>
      </c>
      <c r="Q602" t="s">
        <v>74</v>
      </c>
      <c r="R602" t="s">
        <v>74</v>
      </c>
      <c r="S602" t="s">
        <v>74</v>
      </c>
      <c r="T602" t="s">
        <v>74</v>
      </c>
      <c r="U602" t="s">
        <v>74</v>
      </c>
      <c r="V602" t="s">
        <v>11871</v>
      </c>
      <c r="W602" t="s">
        <v>11872</v>
      </c>
      <c r="X602" t="s">
        <v>11873</v>
      </c>
      <c r="Y602" t="s">
        <v>11874</v>
      </c>
      <c r="Z602" t="s">
        <v>74</v>
      </c>
      <c r="AA602" t="s">
        <v>74</v>
      </c>
      <c r="AB602" t="s">
        <v>11875</v>
      </c>
      <c r="AC602" t="s">
        <v>74</v>
      </c>
      <c r="AD602" t="s">
        <v>74</v>
      </c>
      <c r="AE602" t="s">
        <v>74</v>
      </c>
      <c r="AF602" t="s">
        <v>74</v>
      </c>
      <c r="AG602">
        <v>5</v>
      </c>
      <c r="AH602">
        <v>0</v>
      </c>
      <c r="AI602">
        <v>0</v>
      </c>
      <c r="AJ602">
        <v>0</v>
      </c>
      <c r="AK602">
        <v>2</v>
      </c>
      <c r="AL602" t="s">
        <v>203</v>
      </c>
      <c r="AM602" t="s">
        <v>204</v>
      </c>
      <c r="AN602" t="s">
        <v>205</v>
      </c>
      <c r="AO602" t="s">
        <v>9917</v>
      </c>
      <c r="AP602" t="s">
        <v>9918</v>
      </c>
      <c r="AQ602" t="s">
        <v>74</v>
      </c>
      <c r="AR602" t="s">
        <v>9919</v>
      </c>
      <c r="AS602" t="s">
        <v>9920</v>
      </c>
      <c r="AT602" t="s">
        <v>8042</v>
      </c>
      <c r="AU602">
        <v>2023</v>
      </c>
      <c r="AV602">
        <v>16</v>
      </c>
      <c r="AW602">
        <v>3</v>
      </c>
      <c r="AX602" t="s">
        <v>74</v>
      </c>
      <c r="AY602" t="s">
        <v>74</v>
      </c>
      <c r="AZ602" t="s">
        <v>74</v>
      </c>
      <c r="BA602" t="s">
        <v>74</v>
      </c>
      <c r="BB602">
        <v>196</v>
      </c>
      <c r="BC602">
        <v>197</v>
      </c>
      <c r="BD602" t="s">
        <v>74</v>
      </c>
      <c r="BE602" t="s">
        <v>11876</v>
      </c>
      <c r="BF602" t="str">
        <f>HYPERLINK("http://dx.doi.org/10.1038/s41561-023-01135-0","http://dx.doi.org/10.1038/s41561-023-01135-0")</f>
        <v>http://dx.doi.org/10.1038/s41561-023-01135-0</v>
      </c>
      <c r="BG602" t="s">
        <v>74</v>
      </c>
      <c r="BH602" t="s">
        <v>11628</v>
      </c>
      <c r="BI602">
        <v>2</v>
      </c>
      <c r="BJ602" t="s">
        <v>261</v>
      </c>
      <c r="BK602" t="s">
        <v>103</v>
      </c>
      <c r="BL602" t="s">
        <v>262</v>
      </c>
      <c r="BM602" t="s">
        <v>9922</v>
      </c>
      <c r="BN602" t="s">
        <v>74</v>
      </c>
      <c r="BO602" t="s">
        <v>74</v>
      </c>
      <c r="BP602" t="s">
        <v>74</v>
      </c>
      <c r="BQ602" t="s">
        <v>74</v>
      </c>
      <c r="BR602" t="s">
        <v>106</v>
      </c>
      <c r="BS602" t="s">
        <v>11877</v>
      </c>
      <c r="BT602" t="str">
        <f>HYPERLINK("https%3A%2F%2Fwww.webofscience.com%2Fwos%2Fwoscc%2Ffull-record%2FWOS:000940272900002","View Full Record in Web of Science")</f>
        <v>View Full Record in Web of Science</v>
      </c>
    </row>
    <row r="603" spans="1:72" x14ac:dyDescent="0.15">
      <c r="A603" t="s">
        <v>72</v>
      </c>
      <c r="B603" t="s">
        <v>11878</v>
      </c>
      <c r="C603" t="s">
        <v>74</v>
      </c>
      <c r="D603" t="s">
        <v>74</v>
      </c>
      <c r="E603" t="s">
        <v>74</v>
      </c>
      <c r="F603" t="s">
        <v>11879</v>
      </c>
      <c r="G603" t="s">
        <v>74</v>
      </c>
      <c r="H603" t="s">
        <v>74</v>
      </c>
      <c r="I603" t="s">
        <v>11880</v>
      </c>
      <c r="J603" t="s">
        <v>9906</v>
      </c>
      <c r="K603" t="s">
        <v>74</v>
      </c>
      <c r="L603" t="s">
        <v>74</v>
      </c>
      <c r="M603" t="s">
        <v>78</v>
      </c>
      <c r="N603" t="s">
        <v>112</v>
      </c>
      <c r="O603" t="s">
        <v>74</v>
      </c>
      <c r="P603" t="s">
        <v>74</v>
      </c>
      <c r="Q603" t="s">
        <v>74</v>
      </c>
      <c r="R603" t="s">
        <v>74</v>
      </c>
      <c r="S603" t="s">
        <v>74</v>
      </c>
      <c r="T603" t="s">
        <v>74</v>
      </c>
      <c r="U603" t="s">
        <v>11881</v>
      </c>
      <c r="V603" t="s">
        <v>11882</v>
      </c>
      <c r="W603" t="s">
        <v>11883</v>
      </c>
      <c r="X603" t="s">
        <v>11884</v>
      </c>
      <c r="Y603" t="s">
        <v>11885</v>
      </c>
      <c r="Z603" t="s">
        <v>11886</v>
      </c>
      <c r="AA603" t="s">
        <v>11887</v>
      </c>
      <c r="AB603" t="s">
        <v>11888</v>
      </c>
      <c r="AC603" t="s">
        <v>11889</v>
      </c>
      <c r="AD603" t="s">
        <v>11890</v>
      </c>
      <c r="AE603" t="s">
        <v>11891</v>
      </c>
      <c r="AF603" t="s">
        <v>74</v>
      </c>
      <c r="AG603">
        <v>82</v>
      </c>
      <c r="AH603">
        <v>5</v>
      </c>
      <c r="AI603">
        <v>5</v>
      </c>
      <c r="AJ603">
        <v>2</v>
      </c>
      <c r="AK603">
        <v>10</v>
      </c>
      <c r="AL603" t="s">
        <v>203</v>
      </c>
      <c r="AM603" t="s">
        <v>204</v>
      </c>
      <c r="AN603" t="s">
        <v>205</v>
      </c>
      <c r="AO603" t="s">
        <v>9917</v>
      </c>
      <c r="AP603" t="s">
        <v>9918</v>
      </c>
      <c r="AQ603" t="s">
        <v>74</v>
      </c>
      <c r="AR603" t="s">
        <v>9919</v>
      </c>
      <c r="AS603" t="s">
        <v>9920</v>
      </c>
      <c r="AT603" t="s">
        <v>8042</v>
      </c>
      <c r="AU603">
        <v>2023</v>
      </c>
      <c r="AV603">
        <v>16</v>
      </c>
      <c r="AW603">
        <v>3</v>
      </c>
      <c r="AX603" t="s">
        <v>74</v>
      </c>
      <c r="AY603" t="s">
        <v>74</v>
      </c>
      <c r="AZ603" t="s">
        <v>74</v>
      </c>
      <c r="BA603" t="s">
        <v>74</v>
      </c>
      <c r="BB603">
        <v>231</v>
      </c>
      <c r="BC603" t="s">
        <v>1385</v>
      </c>
      <c r="BD603" t="s">
        <v>74</v>
      </c>
      <c r="BE603" t="s">
        <v>11892</v>
      </c>
      <c r="BF603" t="str">
        <f>HYPERLINK("http://dx.doi.org/10.1038/s41561-023-01131-4","http://dx.doi.org/10.1038/s41561-023-01131-4")</f>
        <v>http://dx.doi.org/10.1038/s41561-023-01131-4</v>
      </c>
      <c r="BG603" t="s">
        <v>74</v>
      </c>
      <c r="BH603" t="s">
        <v>11628</v>
      </c>
      <c r="BI603">
        <v>16</v>
      </c>
      <c r="BJ603" t="s">
        <v>261</v>
      </c>
      <c r="BK603" t="s">
        <v>103</v>
      </c>
      <c r="BL603" t="s">
        <v>262</v>
      </c>
      <c r="BM603" t="s">
        <v>9922</v>
      </c>
      <c r="BN603" t="s">
        <v>74</v>
      </c>
      <c r="BO603" t="s">
        <v>11893</v>
      </c>
      <c r="BP603" t="s">
        <v>74</v>
      </c>
      <c r="BQ603" t="s">
        <v>74</v>
      </c>
      <c r="BR603" t="s">
        <v>106</v>
      </c>
      <c r="BS603" t="s">
        <v>11894</v>
      </c>
      <c r="BT603" t="str">
        <f>HYPERLINK("https%3A%2F%2Fwww.webofscience.com%2Fwos%2Fwoscc%2Ffull-record%2FWOS:000940272900001","View Full Record in Web of Science")</f>
        <v>View Full Record in Web of Science</v>
      </c>
    </row>
    <row r="604" spans="1:72" x14ac:dyDescent="0.15">
      <c r="A604" t="s">
        <v>72</v>
      </c>
      <c r="B604" t="s">
        <v>11895</v>
      </c>
      <c r="C604" t="s">
        <v>74</v>
      </c>
      <c r="D604" t="s">
        <v>74</v>
      </c>
      <c r="E604" t="s">
        <v>74</v>
      </c>
      <c r="F604" t="s">
        <v>11896</v>
      </c>
      <c r="G604" t="s">
        <v>74</v>
      </c>
      <c r="H604" t="s">
        <v>74</v>
      </c>
      <c r="I604" t="s">
        <v>11897</v>
      </c>
      <c r="J604" t="s">
        <v>6932</v>
      </c>
      <c r="K604" t="s">
        <v>74</v>
      </c>
      <c r="L604" t="s">
        <v>74</v>
      </c>
      <c r="M604" t="s">
        <v>78</v>
      </c>
      <c r="N604" t="s">
        <v>112</v>
      </c>
      <c r="O604" t="s">
        <v>74</v>
      </c>
      <c r="P604" t="s">
        <v>74</v>
      </c>
      <c r="Q604" t="s">
        <v>74</v>
      </c>
      <c r="R604" t="s">
        <v>74</v>
      </c>
      <c r="S604" t="s">
        <v>74</v>
      </c>
      <c r="T604" t="s">
        <v>11898</v>
      </c>
      <c r="U604" t="s">
        <v>74</v>
      </c>
      <c r="V604" t="s">
        <v>11899</v>
      </c>
      <c r="W604" t="s">
        <v>74</v>
      </c>
      <c r="X604" t="s">
        <v>74</v>
      </c>
      <c r="Y604" t="s">
        <v>74</v>
      </c>
      <c r="Z604" t="s">
        <v>11900</v>
      </c>
      <c r="AA604" t="s">
        <v>74</v>
      </c>
      <c r="AB604" t="s">
        <v>74</v>
      </c>
      <c r="AC604" t="s">
        <v>74</v>
      </c>
      <c r="AD604" t="s">
        <v>74</v>
      </c>
      <c r="AE604" t="s">
        <v>74</v>
      </c>
      <c r="AF604" t="s">
        <v>74</v>
      </c>
      <c r="AG604">
        <v>72</v>
      </c>
      <c r="AH604">
        <v>0</v>
      </c>
      <c r="AI604">
        <v>0</v>
      </c>
      <c r="AJ604">
        <v>1</v>
      </c>
      <c r="AK604">
        <v>1</v>
      </c>
      <c r="AL604" t="s">
        <v>1101</v>
      </c>
      <c r="AM604" t="s">
        <v>179</v>
      </c>
      <c r="AN604" t="s">
        <v>1543</v>
      </c>
      <c r="AO604" t="s">
        <v>6934</v>
      </c>
      <c r="AP604" t="s">
        <v>6935</v>
      </c>
      <c r="AQ604" t="s">
        <v>74</v>
      </c>
      <c r="AR604" t="s">
        <v>6936</v>
      </c>
      <c r="AS604" t="s">
        <v>6937</v>
      </c>
      <c r="AT604" t="s">
        <v>11777</v>
      </c>
      <c r="AU604">
        <v>2023</v>
      </c>
      <c r="AV604">
        <v>59</v>
      </c>
      <c r="AW604" t="s">
        <v>74</v>
      </c>
      <c r="AX604" t="s">
        <v>74</v>
      </c>
      <c r="AY604" t="s">
        <v>74</v>
      </c>
      <c r="AZ604" t="s">
        <v>74</v>
      </c>
      <c r="BA604" t="s">
        <v>74</v>
      </c>
      <c r="BB604" t="s">
        <v>74</v>
      </c>
      <c r="BC604" t="s">
        <v>74</v>
      </c>
      <c r="BD604" t="s">
        <v>11901</v>
      </c>
      <c r="BE604" t="s">
        <v>11902</v>
      </c>
      <c r="BF604" t="str">
        <f>HYPERLINK("http://dx.doi.org/10.1017/S0032247422000390","http://dx.doi.org/10.1017/S0032247422000390")</f>
        <v>http://dx.doi.org/10.1017/S0032247422000390</v>
      </c>
      <c r="BG604" t="s">
        <v>74</v>
      </c>
      <c r="BH604" t="s">
        <v>74</v>
      </c>
      <c r="BI604">
        <v>20</v>
      </c>
      <c r="BJ604" t="s">
        <v>3766</v>
      </c>
      <c r="BK604" t="s">
        <v>103</v>
      </c>
      <c r="BL604" t="s">
        <v>1164</v>
      </c>
      <c r="BM604" t="s">
        <v>11903</v>
      </c>
      <c r="BN604" t="s">
        <v>74</v>
      </c>
      <c r="BO604" t="s">
        <v>74</v>
      </c>
      <c r="BP604" t="s">
        <v>74</v>
      </c>
      <c r="BQ604" t="s">
        <v>74</v>
      </c>
      <c r="BR604" t="s">
        <v>106</v>
      </c>
      <c r="BS604" t="s">
        <v>11904</v>
      </c>
      <c r="BT604" t="str">
        <f>HYPERLINK("https%3A%2F%2Fwww.webofscience.com%2Fwos%2Fwoscc%2Ffull-record%2FWOS:000939684000001","View Full Record in Web of Science")</f>
        <v>View Full Record in Web of Science</v>
      </c>
    </row>
    <row r="605" spans="1:72" x14ac:dyDescent="0.15">
      <c r="A605" t="s">
        <v>72</v>
      </c>
      <c r="B605" t="s">
        <v>11905</v>
      </c>
      <c r="C605" t="s">
        <v>74</v>
      </c>
      <c r="D605" t="s">
        <v>74</v>
      </c>
      <c r="E605" t="s">
        <v>74</v>
      </c>
      <c r="F605" t="s">
        <v>11906</v>
      </c>
      <c r="G605" t="s">
        <v>74</v>
      </c>
      <c r="H605" t="s">
        <v>74</v>
      </c>
      <c r="I605" t="s">
        <v>11907</v>
      </c>
      <c r="J605" t="s">
        <v>9514</v>
      </c>
      <c r="K605" t="s">
        <v>74</v>
      </c>
      <c r="L605" t="s">
        <v>74</v>
      </c>
      <c r="M605" t="s">
        <v>78</v>
      </c>
      <c r="N605" t="s">
        <v>112</v>
      </c>
      <c r="O605" t="s">
        <v>74</v>
      </c>
      <c r="P605" t="s">
        <v>74</v>
      </c>
      <c r="Q605" t="s">
        <v>74</v>
      </c>
      <c r="R605" t="s">
        <v>74</v>
      </c>
      <c r="S605" t="s">
        <v>74</v>
      </c>
      <c r="T605" t="s">
        <v>11908</v>
      </c>
      <c r="U605" t="s">
        <v>11909</v>
      </c>
      <c r="V605" t="s">
        <v>74</v>
      </c>
      <c r="W605" t="s">
        <v>11910</v>
      </c>
      <c r="X605" t="s">
        <v>11911</v>
      </c>
      <c r="Y605" t="s">
        <v>11912</v>
      </c>
      <c r="Z605" t="s">
        <v>11913</v>
      </c>
      <c r="AA605" t="s">
        <v>11914</v>
      </c>
      <c r="AB605" t="s">
        <v>11915</v>
      </c>
      <c r="AC605" t="s">
        <v>11916</v>
      </c>
      <c r="AD605" t="s">
        <v>11917</v>
      </c>
      <c r="AE605" t="s">
        <v>11918</v>
      </c>
      <c r="AF605" t="s">
        <v>74</v>
      </c>
      <c r="AG605">
        <v>24</v>
      </c>
      <c r="AH605">
        <v>0</v>
      </c>
      <c r="AI605">
        <v>0</v>
      </c>
      <c r="AJ605">
        <v>3</v>
      </c>
      <c r="AK605">
        <v>5</v>
      </c>
      <c r="AL605" t="s">
        <v>2092</v>
      </c>
      <c r="AM605" t="s">
        <v>2093</v>
      </c>
      <c r="AN605" t="s">
        <v>2094</v>
      </c>
      <c r="AO605" t="s">
        <v>9526</v>
      </c>
      <c r="AP605" t="s">
        <v>9527</v>
      </c>
      <c r="AQ605" t="s">
        <v>74</v>
      </c>
      <c r="AR605" t="s">
        <v>9514</v>
      </c>
      <c r="AS605" t="s">
        <v>2101</v>
      </c>
      <c r="AT605" t="s">
        <v>1437</v>
      </c>
      <c r="AU605">
        <v>2023</v>
      </c>
      <c r="AV605">
        <v>104</v>
      </c>
      <c r="AW605">
        <v>4</v>
      </c>
      <c r="AX605" t="s">
        <v>74</v>
      </c>
      <c r="AY605" t="s">
        <v>74</v>
      </c>
      <c r="AZ605" t="s">
        <v>74</v>
      </c>
      <c r="BA605" t="s">
        <v>74</v>
      </c>
      <c r="BB605" t="s">
        <v>74</v>
      </c>
      <c r="BC605" t="s">
        <v>74</v>
      </c>
      <c r="BD605" t="s">
        <v>74</v>
      </c>
      <c r="BE605" t="s">
        <v>11919</v>
      </c>
      <c r="BF605" t="str">
        <f>HYPERLINK("http://dx.doi.org/10.1002/ecy.3992","http://dx.doi.org/10.1002/ecy.3992")</f>
        <v>http://dx.doi.org/10.1002/ecy.3992</v>
      </c>
      <c r="BG605" t="s">
        <v>74</v>
      </c>
      <c r="BH605" t="s">
        <v>11628</v>
      </c>
      <c r="BI605">
        <v>5</v>
      </c>
      <c r="BJ605" t="s">
        <v>2101</v>
      </c>
      <c r="BK605" t="s">
        <v>103</v>
      </c>
      <c r="BL605" t="s">
        <v>1164</v>
      </c>
      <c r="BM605" t="s">
        <v>9529</v>
      </c>
      <c r="BN605">
        <v>36787104</v>
      </c>
      <c r="BO605" t="s">
        <v>74</v>
      </c>
      <c r="BP605" t="s">
        <v>74</v>
      </c>
      <c r="BQ605" t="s">
        <v>74</v>
      </c>
      <c r="BR605" t="s">
        <v>106</v>
      </c>
      <c r="BS605" t="s">
        <v>11920</v>
      </c>
      <c r="BT605" t="str">
        <f>HYPERLINK("https%3A%2F%2Fwww.webofscience.com%2Fwos%2Fwoscc%2Ffull-record%2FWOS:000941087600001","View Full Record in Web of Science")</f>
        <v>View Full Record in Web of Science</v>
      </c>
    </row>
    <row r="606" spans="1:72" x14ac:dyDescent="0.15">
      <c r="A606" t="s">
        <v>72</v>
      </c>
      <c r="B606" t="s">
        <v>11921</v>
      </c>
      <c r="C606" t="s">
        <v>74</v>
      </c>
      <c r="D606" t="s">
        <v>74</v>
      </c>
      <c r="E606" t="s">
        <v>74</v>
      </c>
      <c r="F606" t="s">
        <v>11922</v>
      </c>
      <c r="G606" t="s">
        <v>74</v>
      </c>
      <c r="H606" t="s">
        <v>74</v>
      </c>
      <c r="I606" t="s">
        <v>11923</v>
      </c>
      <c r="J606" t="s">
        <v>11924</v>
      </c>
      <c r="K606" t="s">
        <v>74</v>
      </c>
      <c r="L606" t="s">
        <v>74</v>
      </c>
      <c r="M606" t="s">
        <v>78</v>
      </c>
      <c r="N606" t="s">
        <v>112</v>
      </c>
      <c r="O606" t="s">
        <v>74</v>
      </c>
      <c r="P606" t="s">
        <v>74</v>
      </c>
      <c r="Q606" t="s">
        <v>74</v>
      </c>
      <c r="R606" t="s">
        <v>74</v>
      </c>
      <c r="S606" t="s">
        <v>74</v>
      </c>
      <c r="T606" t="s">
        <v>74</v>
      </c>
      <c r="U606" t="s">
        <v>11925</v>
      </c>
      <c r="V606" t="s">
        <v>11926</v>
      </c>
      <c r="W606" t="s">
        <v>11927</v>
      </c>
      <c r="X606" t="s">
        <v>11928</v>
      </c>
      <c r="Y606" t="s">
        <v>11929</v>
      </c>
      <c r="Z606" t="s">
        <v>11930</v>
      </c>
      <c r="AA606" t="s">
        <v>11931</v>
      </c>
      <c r="AB606" t="s">
        <v>11932</v>
      </c>
      <c r="AC606" t="s">
        <v>11933</v>
      </c>
      <c r="AD606" t="s">
        <v>11934</v>
      </c>
      <c r="AE606" t="s">
        <v>11935</v>
      </c>
      <c r="AF606" t="s">
        <v>74</v>
      </c>
      <c r="AG606">
        <v>74</v>
      </c>
      <c r="AH606">
        <v>6</v>
      </c>
      <c r="AI606">
        <v>6</v>
      </c>
      <c r="AJ606">
        <v>5</v>
      </c>
      <c r="AK606">
        <v>10</v>
      </c>
      <c r="AL606" t="s">
        <v>225</v>
      </c>
      <c r="AM606" t="s">
        <v>226</v>
      </c>
      <c r="AN606" t="s">
        <v>227</v>
      </c>
      <c r="AO606" t="s">
        <v>11936</v>
      </c>
      <c r="AP606" t="s">
        <v>11937</v>
      </c>
      <c r="AQ606" t="s">
        <v>74</v>
      </c>
      <c r="AR606" t="s">
        <v>11938</v>
      </c>
      <c r="AS606" t="s">
        <v>11939</v>
      </c>
      <c r="AT606" t="s">
        <v>1437</v>
      </c>
      <c r="AU606">
        <v>2023</v>
      </c>
      <c r="AV606">
        <v>208</v>
      </c>
      <c r="AW606" t="s">
        <v>74</v>
      </c>
      <c r="AX606" t="s">
        <v>74</v>
      </c>
      <c r="AY606" t="s">
        <v>74</v>
      </c>
      <c r="AZ606" t="s">
        <v>74</v>
      </c>
      <c r="BA606" t="s">
        <v>74</v>
      </c>
      <c r="BB606" t="s">
        <v>74</v>
      </c>
      <c r="BC606" t="s">
        <v>74</v>
      </c>
      <c r="BD606">
        <v>105274</v>
      </c>
      <c r="BE606" t="s">
        <v>11940</v>
      </c>
      <c r="BF606" t="str">
        <f>HYPERLINK("http://dx.doi.org/10.1016/j.dsr2.2023.105274","http://dx.doi.org/10.1016/j.dsr2.2023.105274")</f>
        <v>http://dx.doi.org/10.1016/j.dsr2.2023.105274</v>
      </c>
      <c r="BG606" t="s">
        <v>74</v>
      </c>
      <c r="BH606" t="s">
        <v>11628</v>
      </c>
      <c r="BI606">
        <v>12</v>
      </c>
      <c r="BJ606" t="s">
        <v>863</v>
      </c>
      <c r="BK606" t="s">
        <v>103</v>
      </c>
      <c r="BL606" t="s">
        <v>863</v>
      </c>
      <c r="BM606" t="s">
        <v>11941</v>
      </c>
      <c r="BN606" t="s">
        <v>74</v>
      </c>
      <c r="BO606" t="s">
        <v>823</v>
      </c>
      <c r="BP606" t="s">
        <v>74</v>
      </c>
      <c r="BQ606" t="s">
        <v>74</v>
      </c>
      <c r="BR606" t="s">
        <v>106</v>
      </c>
      <c r="BS606" t="s">
        <v>11942</v>
      </c>
      <c r="BT606" t="str">
        <f>HYPERLINK("https%3A%2F%2Fwww.webofscience.com%2Fwos%2Fwoscc%2Ffull-record%2FWOS:000996120100001","View Full Record in Web of Science")</f>
        <v>View Full Record in Web of Science</v>
      </c>
    </row>
    <row r="607" spans="1:72" x14ac:dyDescent="0.15">
      <c r="A607" t="s">
        <v>72</v>
      </c>
      <c r="B607" t="s">
        <v>11943</v>
      </c>
      <c r="C607" t="s">
        <v>74</v>
      </c>
      <c r="D607" t="s">
        <v>74</v>
      </c>
      <c r="E607" t="s">
        <v>74</v>
      </c>
      <c r="F607" t="s">
        <v>11944</v>
      </c>
      <c r="G607" t="s">
        <v>74</v>
      </c>
      <c r="H607" t="s">
        <v>74</v>
      </c>
      <c r="I607" t="s">
        <v>11945</v>
      </c>
      <c r="J607" t="s">
        <v>11924</v>
      </c>
      <c r="K607" t="s">
        <v>74</v>
      </c>
      <c r="L607" t="s">
        <v>74</v>
      </c>
      <c r="M607" t="s">
        <v>78</v>
      </c>
      <c r="N607" t="s">
        <v>112</v>
      </c>
      <c r="O607" t="s">
        <v>74</v>
      </c>
      <c r="P607" t="s">
        <v>74</v>
      </c>
      <c r="Q607" t="s">
        <v>74</v>
      </c>
      <c r="R607" t="s">
        <v>74</v>
      </c>
      <c r="S607" t="s">
        <v>74</v>
      </c>
      <c r="T607" t="s">
        <v>11946</v>
      </c>
      <c r="U607" t="s">
        <v>11947</v>
      </c>
      <c r="V607" t="s">
        <v>11948</v>
      </c>
      <c r="W607" t="s">
        <v>11949</v>
      </c>
      <c r="X607" t="s">
        <v>11950</v>
      </c>
      <c r="Y607" t="s">
        <v>11951</v>
      </c>
      <c r="Z607" t="s">
        <v>11952</v>
      </c>
      <c r="AA607" t="s">
        <v>7803</v>
      </c>
      <c r="AB607" t="s">
        <v>11953</v>
      </c>
      <c r="AC607" t="s">
        <v>11954</v>
      </c>
      <c r="AD607" t="s">
        <v>11955</v>
      </c>
      <c r="AE607" t="s">
        <v>11956</v>
      </c>
      <c r="AF607" t="s">
        <v>74</v>
      </c>
      <c r="AG607">
        <v>144</v>
      </c>
      <c r="AH607">
        <v>2</v>
      </c>
      <c r="AI607">
        <v>2</v>
      </c>
      <c r="AJ607">
        <v>4</v>
      </c>
      <c r="AK607">
        <v>5</v>
      </c>
      <c r="AL607" t="s">
        <v>225</v>
      </c>
      <c r="AM607" t="s">
        <v>226</v>
      </c>
      <c r="AN607" t="s">
        <v>227</v>
      </c>
      <c r="AO607" t="s">
        <v>11936</v>
      </c>
      <c r="AP607" t="s">
        <v>11937</v>
      </c>
      <c r="AQ607" t="s">
        <v>74</v>
      </c>
      <c r="AR607" t="s">
        <v>11938</v>
      </c>
      <c r="AS607" t="s">
        <v>11939</v>
      </c>
      <c r="AT607" t="s">
        <v>1437</v>
      </c>
      <c r="AU607">
        <v>2023</v>
      </c>
      <c r="AV607">
        <v>208</v>
      </c>
      <c r="AW607" t="s">
        <v>74</v>
      </c>
      <c r="AX607" t="s">
        <v>74</v>
      </c>
      <c r="AY607" t="s">
        <v>74</v>
      </c>
      <c r="AZ607" t="s">
        <v>74</v>
      </c>
      <c r="BA607" t="s">
        <v>74</v>
      </c>
      <c r="BB607" t="s">
        <v>74</v>
      </c>
      <c r="BC607" t="s">
        <v>74</v>
      </c>
      <c r="BD607">
        <v>105271</v>
      </c>
      <c r="BE607" t="s">
        <v>11957</v>
      </c>
      <c r="BF607" t="str">
        <f>HYPERLINK("http://dx.doi.org/10.1016/j.dsr2.2023.105271","http://dx.doi.org/10.1016/j.dsr2.2023.105271")</f>
        <v>http://dx.doi.org/10.1016/j.dsr2.2023.105271</v>
      </c>
      <c r="BG607" t="s">
        <v>74</v>
      </c>
      <c r="BH607" t="s">
        <v>11628</v>
      </c>
      <c r="BI607">
        <v>18</v>
      </c>
      <c r="BJ607" t="s">
        <v>863</v>
      </c>
      <c r="BK607" t="s">
        <v>103</v>
      </c>
      <c r="BL607" t="s">
        <v>863</v>
      </c>
      <c r="BM607" t="s">
        <v>11958</v>
      </c>
      <c r="BN607" t="s">
        <v>74</v>
      </c>
      <c r="BO607" t="s">
        <v>387</v>
      </c>
      <c r="BP607" t="s">
        <v>74</v>
      </c>
      <c r="BQ607" t="s">
        <v>74</v>
      </c>
      <c r="BR607" t="s">
        <v>106</v>
      </c>
      <c r="BS607" t="s">
        <v>11959</v>
      </c>
      <c r="BT607" t="str">
        <f>HYPERLINK("https%3A%2F%2Fwww.webofscience.com%2Fwos%2Fwoscc%2Ffull-record%2FWOS:000996163900001","View Full Record in Web of Science")</f>
        <v>View Full Record in Web of Science</v>
      </c>
    </row>
    <row r="608" spans="1:72" x14ac:dyDescent="0.15">
      <c r="A608" t="s">
        <v>72</v>
      </c>
      <c r="B608" t="s">
        <v>11960</v>
      </c>
      <c r="C608" t="s">
        <v>74</v>
      </c>
      <c r="D608" t="s">
        <v>74</v>
      </c>
      <c r="E608" t="s">
        <v>74</v>
      </c>
      <c r="F608" t="s">
        <v>11961</v>
      </c>
      <c r="G608" t="s">
        <v>74</v>
      </c>
      <c r="H608" t="s">
        <v>74</v>
      </c>
      <c r="I608" t="s">
        <v>11962</v>
      </c>
      <c r="J608" t="s">
        <v>11963</v>
      </c>
      <c r="K608" t="s">
        <v>74</v>
      </c>
      <c r="L608" t="s">
        <v>74</v>
      </c>
      <c r="M608" t="s">
        <v>78</v>
      </c>
      <c r="N608" t="s">
        <v>112</v>
      </c>
      <c r="O608" t="s">
        <v>74</v>
      </c>
      <c r="P608" t="s">
        <v>74</v>
      </c>
      <c r="Q608" t="s">
        <v>74</v>
      </c>
      <c r="R608" t="s">
        <v>74</v>
      </c>
      <c r="S608" t="s">
        <v>74</v>
      </c>
      <c r="T608" t="s">
        <v>11964</v>
      </c>
      <c r="U608" t="s">
        <v>11965</v>
      </c>
      <c r="V608" t="s">
        <v>11966</v>
      </c>
      <c r="W608" t="s">
        <v>11967</v>
      </c>
      <c r="X608" t="s">
        <v>11968</v>
      </c>
      <c r="Y608" t="s">
        <v>11969</v>
      </c>
      <c r="Z608" t="s">
        <v>11970</v>
      </c>
      <c r="AA608" t="s">
        <v>11971</v>
      </c>
      <c r="AB608" t="s">
        <v>11972</v>
      </c>
      <c r="AC608" t="s">
        <v>11973</v>
      </c>
      <c r="AD608" t="s">
        <v>11974</v>
      </c>
      <c r="AE608" t="s">
        <v>11975</v>
      </c>
      <c r="AF608" t="s">
        <v>74</v>
      </c>
      <c r="AG608">
        <v>102</v>
      </c>
      <c r="AH608">
        <v>0</v>
      </c>
      <c r="AI608">
        <v>0</v>
      </c>
      <c r="AJ608">
        <v>4</v>
      </c>
      <c r="AK608">
        <v>11</v>
      </c>
      <c r="AL608" t="s">
        <v>447</v>
      </c>
      <c r="AM608" t="s">
        <v>448</v>
      </c>
      <c r="AN608" t="s">
        <v>449</v>
      </c>
      <c r="AO608" t="s">
        <v>11976</v>
      </c>
      <c r="AP608" t="s">
        <v>74</v>
      </c>
      <c r="AQ608" t="s">
        <v>74</v>
      </c>
      <c r="AR608" t="s">
        <v>11977</v>
      </c>
      <c r="AS608" t="s">
        <v>11978</v>
      </c>
      <c r="AT608" t="s">
        <v>232</v>
      </c>
      <c r="AU608">
        <v>2023</v>
      </c>
      <c r="AV608">
        <v>60</v>
      </c>
      <c r="AW608" t="s">
        <v>74</v>
      </c>
      <c r="AX608" t="s">
        <v>74</v>
      </c>
      <c r="AY608" t="s">
        <v>74</v>
      </c>
      <c r="AZ608" t="s">
        <v>74</v>
      </c>
      <c r="BA608" t="s">
        <v>74</v>
      </c>
      <c r="BB608" t="s">
        <v>74</v>
      </c>
      <c r="BC608" t="s">
        <v>74</v>
      </c>
      <c r="BD608">
        <v>102886</v>
      </c>
      <c r="BE608" t="s">
        <v>11979</v>
      </c>
      <c r="BF608" t="str">
        <f>HYPERLINK("http://dx.doi.org/10.1016/j.rsma.2023.102886","http://dx.doi.org/10.1016/j.rsma.2023.102886")</f>
        <v>http://dx.doi.org/10.1016/j.rsma.2023.102886</v>
      </c>
      <c r="BG608" t="s">
        <v>74</v>
      </c>
      <c r="BH608" t="s">
        <v>11628</v>
      </c>
      <c r="BI608">
        <v>12</v>
      </c>
      <c r="BJ608" t="s">
        <v>7947</v>
      </c>
      <c r="BK608" t="s">
        <v>103</v>
      </c>
      <c r="BL608" t="s">
        <v>637</v>
      </c>
      <c r="BM608" t="s">
        <v>11980</v>
      </c>
      <c r="BN608" t="s">
        <v>74</v>
      </c>
      <c r="BO608" t="s">
        <v>74</v>
      </c>
      <c r="BP608" t="s">
        <v>74</v>
      </c>
      <c r="BQ608" t="s">
        <v>74</v>
      </c>
      <c r="BR608" t="s">
        <v>106</v>
      </c>
      <c r="BS608" t="s">
        <v>11981</v>
      </c>
      <c r="BT608" t="str">
        <f>HYPERLINK("https%3A%2F%2Fwww.webofscience.com%2Fwos%2Fwoscc%2Ffull-record%2FWOS:000952512700001","View Full Record in Web of Science")</f>
        <v>View Full Record in Web of Science</v>
      </c>
    </row>
    <row r="609" spans="1:72" x14ac:dyDescent="0.15">
      <c r="A609" t="s">
        <v>72</v>
      </c>
      <c r="B609" t="s">
        <v>11982</v>
      </c>
      <c r="C609" t="s">
        <v>74</v>
      </c>
      <c r="D609" t="s">
        <v>74</v>
      </c>
      <c r="E609" t="s">
        <v>74</v>
      </c>
      <c r="F609" t="s">
        <v>11983</v>
      </c>
      <c r="G609" t="s">
        <v>74</v>
      </c>
      <c r="H609" t="s">
        <v>74</v>
      </c>
      <c r="I609" t="s">
        <v>11984</v>
      </c>
      <c r="J609" t="s">
        <v>11985</v>
      </c>
      <c r="K609" t="s">
        <v>74</v>
      </c>
      <c r="L609" t="s">
        <v>74</v>
      </c>
      <c r="M609" t="s">
        <v>78</v>
      </c>
      <c r="N609" t="s">
        <v>112</v>
      </c>
      <c r="O609" t="s">
        <v>74</v>
      </c>
      <c r="P609" t="s">
        <v>74</v>
      </c>
      <c r="Q609" t="s">
        <v>74</v>
      </c>
      <c r="R609" t="s">
        <v>74</v>
      </c>
      <c r="S609" t="s">
        <v>74</v>
      </c>
      <c r="T609" t="s">
        <v>11986</v>
      </c>
      <c r="U609" t="s">
        <v>11987</v>
      </c>
      <c r="V609" t="s">
        <v>11988</v>
      </c>
      <c r="W609" t="s">
        <v>11989</v>
      </c>
      <c r="X609" t="s">
        <v>11990</v>
      </c>
      <c r="Y609" t="s">
        <v>11991</v>
      </c>
      <c r="Z609" t="s">
        <v>11992</v>
      </c>
      <c r="AA609" t="s">
        <v>11993</v>
      </c>
      <c r="AB609" t="s">
        <v>11994</v>
      </c>
      <c r="AC609" t="s">
        <v>11995</v>
      </c>
      <c r="AD609" t="s">
        <v>11996</v>
      </c>
      <c r="AE609" t="s">
        <v>11997</v>
      </c>
      <c r="AF609" t="s">
        <v>74</v>
      </c>
      <c r="AG609">
        <v>66</v>
      </c>
      <c r="AH609">
        <v>1</v>
      </c>
      <c r="AI609">
        <v>1</v>
      </c>
      <c r="AJ609">
        <v>4</v>
      </c>
      <c r="AK609">
        <v>14</v>
      </c>
      <c r="AL609" t="s">
        <v>447</v>
      </c>
      <c r="AM609" t="s">
        <v>448</v>
      </c>
      <c r="AN609" t="s">
        <v>449</v>
      </c>
      <c r="AO609" t="s">
        <v>11998</v>
      </c>
      <c r="AP609" t="s">
        <v>11999</v>
      </c>
      <c r="AQ609" t="s">
        <v>74</v>
      </c>
      <c r="AR609" t="s">
        <v>12000</v>
      </c>
      <c r="AS609" t="s">
        <v>12001</v>
      </c>
      <c r="AT609" t="s">
        <v>12002</v>
      </c>
      <c r="AU609">
        <v>2023</v>
      </c>
      <c r="AV609">
        <v>328</v>
      </c>
      <c r="AW609" t="s">
        <v>74</v>
      </c>
      <c r="AX609" t="s">
        <v>74</v>
      </c>
      <c r="AY609" t="s">
        <v>74</v>
      </c>
      <c r="AZ609" t="s">
        <v>74</v>
      </c>
      <c r="BA609" t="s">
        <v>74</v>
      </c>
      <c r="BB609" t="s">
        <v>74</v>
      </c>
      <c r="BC609" t="s">
        <v>74</v>
      </c>
      <c r="BD609">
        <v>199072</v>
      </c>
      <c r="BE609" t="s">
        <v>12003</v>
      </c>
      <c r="BF609" t="str">
        <f>HYPERLINK("http://dx.doi.org/10.1016/j.virusres.2023.199072","http://dx.doi.org/10.1016/j.virusres.2023.199072")</f>
        <v>http://dx.doi.org/10.1016/j.virusres.2023.199072</v>
      </c>
      <c r="BG609" t="s">
        <v>74</v>
      </c>
      <c r="BH609" t="s">
        <v>11628</v>
      </c>
      <c r="BI609">
        <v>12</v>
      </c>
      <c r="BJ609" t="s">
        <v>12004</v>
      </c>
      <c r="BK609" t="s">
        <v>103</v>
      </c>
      <c r="BL609" t="s">
        <v>12004</v>
      </c>
      <c r="BM609" t="s">
        <v>12005</v>
      </c>
      <c r="BN609">
        <v>36781075</v>
      </c>
      <c r="BO609" t="s">
        <v>430</v>
      </c>
      <c r="BP609" t="s">
        <v>74</v>
      </c>
      <c r="BQ609" t="s">
        <v>74</v>
      </c>
      <c r="BR609" t="s">
        <v>106</v>
      </c>
      <c r="BS609" t="s">
        <v>12006</v>
      </c>
      <c r="BT609" t="str">
        <f>HYPERLINK("https%3A%2F%2Fwww.webofscience.com%2Fwos%2Fwoscc%2Ffull-record%2FWOS:000949651500001","View Full Record in Web of Science")</f>
        <v>View Full Record in Web of Science</v>
      </c>
    </row>
    <row r="610" spans="1:72" x14ac:dyDescent="0.15">
      <c r="A610" t="s">
        <v>72</v>
      </c>
      <c r="B610" t="s">
        <v>12007</v>
      </c>
      <c r="C610" t="s">
        <v>74</v>
      </c>
      <c r="D610" t="s">
        <v>74</v>
      </c>
      <c r="E610" t="s">
        <v>74</v>
      </c>
      <c r="F610" t="s">
        <v>12008</v>
      </c>
      <c r="G610" t="s">
        <v>74</v>
      </c>
      <c r="H610" t="s">
        <v>74</v>
      </c>
      <c r="I610" t="s">
        <v>12009</v>
      </c>
      <c r="J610" t="s">
        <v>8799</v>
      </c>
      <c r="K610" t="s">
        <v>74</v>
      </c>
      <c r="L610" t="s">
        <v>74</v>
      </c>
      <c r="M610" t="s">
        <v>78</v>
      </c>
      <c r="N610" t="s">
        <v>112</v>
      </c>
      <c r="O610" t="s">
        <v>74</v>
      </c>
      <c r="P610" t="s">
        <v>74</v>
      </c>
      <c r="Q610" t="s">
        <v>74</v>
      </c>
      <c r="R610" t="s">
        <v>74</v>
      </c>
      <c r="S610" t="s">
        <v>74</v>
      </c>
      <c r="T610" t="s">
        <v>12010</v>
      </c>
      <c r="U610" t="s">
        <v>12011</v>
      </c>
      <c r="V610" t="s">
        <v>12012</v>
      </c>
      <c r="W610" t="s">
        <v>12013</v>
      </c>
      <c r="X610" t="s">
        <v>12014</v>
      </c>
      <c r="Y610" t="s">
        <v>12015</v>
      </c>
      <c r="Z610" t="s">
        <v>12016</v>
      </c>
      <c r="AA610" t="s">
        <v>12017</v>
      </c>
      <c r="AB610" t="s">
        <v>74</v>
      </c>
      <c r="AC610" t="s">
        <v>12018</v>
      </c>
      <c r="AD610" t="s">
        <v>12019</v>
      </c>
      <c r="AE610" t="s">
        <v>12020</v>
      </c>
      <c r="AF610" t="s">
        <v>74</v>
      </c>
      <c r="AG610">
        <v>37</v>
      </c>
      <c r="AH610">
        <v>3</v>
      </c>
      <c r="AI610">
        <v>4</v>
      </c>
      <c r="AJ610">
        <v>11</v>
      </c>
      <c r="AK610">
        <v>15</v>
      </c>
      <c r="AL610" t="s">
        <v>447</v>
      </c>
      <c r="AM610" t="s">
        <v>448</v>
      </c>
      <c r="AN610" t="s">
        <v>449</v>
      </c>
      <c r="AO610" t="s">
        <v>8811</v>
      </c>
      <c r="AP610" t="s">
        <v>8812</v>
      </c>
      <c r="AQ610" t="s">
        <v>74</v>
      </c>
      <c r="AR610" t="s">
        <v>8813</v>
      </c>
      <c r="AS610" t="s">
        <v>8814</v>
      </c>
      <c r="AT610" t="s">
        <v>8107</v>
      </c>
      <c r="AU610">
        <v>2023</v>
      </c>
      <c r="AV610">
        <v>178</v>
      </c>
      <c r="AW610" t="s">
        <v>74</v>
      </c>
      <c r="AX610" t="s">
        <v>74</v>
      </c>
      <c r="AY610" t="s">
        <v>74</v>
      </c>
      <c r="AZ610" t="s">
        <v>74</v>
      </c>
      <c r="BA610" t="s">
        <v>74</v>
      </c>
      <c r="BB610" t="s">
        <v>74</v>
      </c>
      <c r="BC610" t="s">
        <v>74</v>
      </c>
      <c r="BD610">
        <v>114613</v>
      </c>
      <c r="BE610" t="s">
        <v>12021</v>
      </c>
      <c r="BF610" t="str">
        <f>HYPERLINK("http://dx.doi.org/10.1016/j.lwt.2023.114613","http://dx.doi.org/10.1016/j.lwt.2023.114613")</f>
        <v>http://dx.doi.org/10.1016/j.lwt.2023.114613</v>
      </c>
      <c r="BG610" t="s">
        <v>74</v>
      </c>
      <c r="BH610" t="s">
        <v>11628</v>
      </c>
      <c r="BI610">
        <v>10</v>
      </c>
      <c r="BJ610" t="s">
        <v>1528</v>
      </c>
      <c r="BK610" t="s">
        <v>103</v>
      </c>
      <c r="BL610" t="s">
        <v>1528</v>
      </c>
      <c r="BM610" t="s">
        <v>12022</v>
      </c>
      <c r="BN610" t="s">
        <v>74</v>
      </c>
      <c r="BO610" t="s">
        <v>359</v>
      </c>
      <c r="BP610" t="s">
        <v>74</v>
      </c>
      <c r="BQ610" t="s">
        <v>74</v>
      </c>
      <c r="BR610" t="s">
        <v>106</v>
      </c>
      <c r="BS610" t="s">
        <v>12023</v>
      </c>
      <c r="BT610" t="str">
        <f>HYPERLINK("https%3A%2F%2Fwww.webofscience.com%2Fwos%2Fwoscc%2Ffull-record%2FWOS:001018862900001","View Full Record in Web of Science")</f>
        <v>View Full Record in Web of Science</v>
      </c>
    </row>
    <row r="611" spans="1:72" x14ac:dyDescent="0.15">
      <c r="A611" t="s">
        <v>72</v>
      </c>
      <c r="B611" t="s">
        <v>12024</v>
      </c>
      <c r="C611" t="s">
        <v>74</v>
      </c>
      <c r="D611" t="s">
        <v>74</v>
      </c>
      <c r="E611" t="s">
        <v>74</v>
      </c>
      <c r="F611" t="s">
        <v>12025</v>
      </c>
      <c r="G611" t="s">
        <v>74</v>
      </c>
      <c r="H611" t="s">
        <v>74</v>
      </c>
      <c r="I611" t="s">
        <v>12026</v>
      </c>
      <c r="J611" t="s">
        <v>3772</v>
      </c>
      <c r="K611" t="s">
        <v>74</v>
      </c>
      <c r="L611" t="s">
        <v>74</v>
      </c>
      <c r="M611" t="s">
        <v>78</v>
      </c>
      <c r="N611" t="s">
        <v>112</v>
      </c>
      <c r="O611" t="s">
        <v>74</v>
      </c>
      <c r="P611" t="s">
        <v>74</v>
      </c>
      <c r="Q611" t="s">
        <v>74</v>
      </c>
      <c r="R611" t="s">
        <v>74</v>
      </c>
      <c r="S611" t="s">
        <v>74</v>
      </c>
      <c r="T611" t="s">
        <v>12027</v>
      </c>
      <c r="U611" t="s">
        <v>12028</v>
      </c>
      <c r="V611" t="s">
        <v>12029</v>
      </c>
      <c r="W611" t="s">
        <v>12030</v>
      </c>
      <c r="X611" t="s">
        <v>12031</v>
      </c>
      <c r="Y611" t="s">
        <v>12032</v>
      </c>
      <c r="Z611" t="s">
        <v>12033</v>
      </c>
      <c r="AA611" t="s">
        <v>12034</v>
      </c>
      <c r="AB611" t="s">
        <v>12035</v>
      </c>
      <c r="AC611" t="s">
        <v>74</v>
      </c>
      <c r="AD611" t="s">
        <v>74</v>
      </c>
      <c r="AE611" t="s">
        <v>74</v>
      </c>
      <c r="AF611" t="s">
        <v>74</v>
      </c>
      <c r="AG611">
        <v>156</v>
      </c>
      <c r="AH611">
        <v>1</v>
      </c>
      <c r="AI611">
        <v>1</v>
      </c>
      <c r="AJ611">
        <v>12</v>
      </c>
      <c r="AK611">
        <v>38</v>
      </c>
      <c r="AL611" t="s">
        <v>2116</v>
      </c>
      <c r="AM611" t="s">
        <v>226</v>
      </c>
      <c r="AN611" t="s">
        <v>2117</v>
      </c>
      <c r="AO611" t="s">
        <v>3784</v>
      </c>
      <c r="AP611" t="s">
        <v>3785</v>
      </c>
      <c r="AQ611" t="s">
        <v>74</v>
      </c>
      <c r="AR611" t="s">
        <v>3786</v>
      </c>
      <c r="AS611" t="s">
        <v>3787</v>
      </c>
      <c r="AT611" t="s">
        <v>12036</v>
      </c>
      <c r="AU611">
        <v>2023</v>
      </c>
      <c r="AV611">
        <v>80</v>
      </c>
      <c r="AW611">
        <v>4</v>
      </c>
      <c r="AX611" t="s">
        <v>74</v>
      </c>
      <c r="AY611" t="s">
        <v>74</v>
      </c>
      <c r="AZ611" t="s">
        <v>74</v>
      </c>
      <c r="BA611" t="s">
        <v>74</v>
      </c>
      <c r="BB611">
        <v>953</v>
      </c>
      <c r="BC611">
        <v>971</v>
      </c>
      <c r="BD611" t="s">
        <v>74</v>
      </c>
      <c r="BE611" t="s">
        <v>12037</v>
      </c>
      <c r="BF611" t="str">
        <f>HYPERLINK("http://dx.doi.org/10.1093/icesjms/fsad017","http://dx.doi.org/10.1093/icesjms/fsad017")</f>
        <v>http://dx.doi.org/10.1093/icesjms/fsad017</v>
      </c>
      <c r="BG611" t="s">
        <v>74</v>
      </c>
      <c r="BH611" t="s">
        <v>11628</v>
      </c>
      <c r="BI611">
        <v>19</v>
      </c>
      <c r="BJ611" t="s">
        <v>3790</v>
      </c>
      <c r="BK611" t="s">
        <v>103</v>
      </c>
      <c r="BL611" t="s">
        <v>3790</v>
      </c>
      <c r="BM611" t="s">
        <v>12038</v>
      </c>
      <c r="BN611" t="s">
        <v>74</v>
      </c>
      <c r="BO611" t="s">
        <v>359</v>
      </c>
      <c r="BP611" t="s">
        <v>74</v>
      </c>
      <c r="BQ611" t="s">
        <v>74</v>
      </c>
      <c r="BR611" t="s">
        <v>106</v>
      </c>
      <c r="BS611" t="s">
        <v>12039</v>
      </c>
      <c r="BT611" t="str">
        <f>HYPERLINK("https%3A%2F%2Fwww.webofscience.com%2Fwos%2Fwoscc%2Ffull-record%2FWOS:000939211200001","View Full Record in Web of Science")</f>
        <v>View Full Record in Web of Science</v>
      </c>
    </row>
    <row r="612" spans="1:72" x14ac:dyDescent="0.15">
      <c r="A612" t="s">
        <v>72</v>
      </c>
      <c r="B612" t="s">
        <v>12040</v>
      </c>
      <c r="C612" t="s">
        <v>74</v>
      </c>
      <c r="D612" t="s">
        <v>74</v>
      </c>
      <c r="E612" t="s">
        <v>74</v>
      </c>
      <c r="F612" t="s">
        <v>12041</v>
      </c>
      <c r="G612" t="s">
        <v>74</v>
      </c>
      <c r="H612" t="s">
        <v>74</v>
      </c>
      <c r="I612" t="s">
        <v>12042</v>
      </c>
      <c r="J612" t="s">
        <v>3772</v>
      </c>
      <c r="K612" t="s">
        <v>74</v>
      </c>
      <c r="L612" t="s">
        <v>74</v>
      </c>
      <c r="M612" t="s">
        <v>78</v>
      </c>
      <c r="N612" t="s">
        <v>112</v>
      </c>
      <c r="O612" t="s">
        <v>74</v>
      </c>
      <c r="P612" t="s">
        <v>74</v>
      </c>
      <c r="Q612" t="s">
        <v>74</v>
      </c>
      <c r="R612" t="s">
        <v>74</v>
      </c>
      <c r="S612" t="s">
        <v>74</v>
      </c>
      <c r="T612" t="s">
        <v>12043</v>
      </c>
      <c r="U612" t="s">
        <v>12044</v>
      </c>
      <c r="V612" t="s">
        <v>12045</v>
      </c>
      <c r="W612" t="s">
        <v>12046</v>
      </c>
      <c r="X612" t="s">
        <v>12047</v>
      </c>
      <c r="Y612" t="s">
        <v>12048</v>
      </c>
      <c r="Z612" t="s">
        <v>12049</v>
      </c>
      <c r="AA612" t="s">
        <v>12050</v>
      </c>
      <c r="AB612" t="s">
        <v>12051</v>
      </c>
      <c r="AC612" t="s">
        <v>74</v>
      </c>
      <c r="AD612" t="s">
        <v>74</v>
      </c>
      <c r="AE612" t="s">
        <v>74</v>
      </c>
      <c r="AF612" t="s">
        <v>74</v>
      </c>
      <c r="AG612">
        <v>79</v>
      </c>
      <c r="AH612">
        <v>3</v>
      </c>
      <c r="AI612">
        <v>3</v>
      </c>
      <c r="AJ612">
        <v>7</v>
      </c>
      <c r="AK612">
        <v>10</v>
      </c>
      <c r="AL612" t="s">
        <v>2116</v>
      </c>
      <c r="AM612" t="s">
        <v>226</v>
      </c>
      <c r="AN612" t="s">
        <v>2117</v>
      </c>
      <c r="AO612" t="s">
        <v>3784</v>
      </c>
      <c r="AP612" t="s">
        <v>3785</v>
      </c>
      <c r="AQ612" t="s">
        <v>74</v>
      </c>
      <c r="AR612" t="s">
        <v>3786</v>
      </c>
      <c r="AS612" t="s">
        <v>3787</v>
      </c>
      <c r="AT612" t="s">
        <v>12036</v>
      </c>
      <c r="AU612">
        <v>2023</v>
      </c>
      <c r="AV612">
        <v>80</v>
      </c>
      <c r="AW612">
        <v>4</v>
      </c>
      <c r="AX612" t="s">
        <v>74</v>
      </c>
      <c r="AY612" t="s">
        <v>74</v>
      </c>
      <c r="AZ612" t="s">
        <v>74</v>
      </c>
      <c r="BA612" t="s">
        <v>74</v>
      </c>
      <c r="BB612">
        <v>972</v>
      </c>
      <c r="BC612">
        <v>986</v>
      </c>
      <c r="BD612" t="s">
        <v>74</v>
      </c>
      <c r="BE612" t="s">
        <v>12052</v>
      </c>
      <c r="BF612" t="str">
        <f>HYPERLINK("http://dx.doi.org/10.1093/icesjms/fsad021","http://dx.doi.org/10.1093/icesjms/fsad021")</f>
        <v>http://dx.doi.org/10.1093/icesjms/fsad021</v>
      </c>
      <c r="BG612" t="s">
        <v>74</v>
      </c>
      <c r="BH612" t="s">
        <v>11628</v>
      </c>
      <c r="BI612">
        <v>15</v>
      </c>
      <c r="BJ612" t="s">
        <v>3790</v>
      </c>
      <c r="BK612" t="s">
        <v>103</v>
      </c>
      <c r="BL612" t="s">
        <v>3790</v>
      </c>
      <c r="BM612" t="s">
        <v>12038</v>
      </c>
      <c r="BN612" t="s">
        <v>74</v>
      </c>
      <c r="BO612" t="s">
        <v>162</v>
      </c>
      <c r="BP612" t="s">
        <v>74</v>
      </c>
      <c r="BQ612" t="s">
        <v>74</v>
      </c>
      <c r="BR612" t="s">
        <v>106</v>
      </c>
      <c r="BS612" t="s">
        <v>12053</v>
      </c>
      <c r="BT612" t="str">
        <f>HYPERLINK("https%3A%2F%2Fwww.webofscience.com%2Fwos%2Fwoscc%2Ffull-record%2FWOS:000939214100001","View Full Record in Web of Science")</f>
        <v>View Full Record in Web of Science</v>
      </c>
    </row>
    <row r="613" spans="1:72" x14ac:dyDescent="0.15">
      <c r="A613" t="s">
        <v>72</v>
      </c>
      <c r="B613" t="s">
        <v>12054</v>
      </c>
      <c r="C613" t="s">
        <v>74</v>
      </c>
      <c r="D613" t="s">
        <v>74</v>
      </c>
      <c r="E613" t="s">
        <v>74</v>
      </c>
      <c r="F613" t="s">
        <v>12055</v>
      </c>
      <c r="G613" t="s">
        <v>74</v>
      </c>
      <c r="H613" t="s">
        <v>74</v>
      </c>
      <c r="I613" t="s">
        <v>12056</v>
      </c>
      <c r="J613" t="s">
        <v>1832</v>
      </c>
      <c r="K613" t="s">
        <v>74</v>
      </c>
      <c r="L613" t="s">
        <v>74</v>
      </c>
      <c r="M613" t="s">
        <v>78</v>
      </c>
      <c r="N613" t="s">
        <v>112</v>
      </c>
      <c r="O613" t="s">
        <v>74</v>
      </c>
      <c r="P613" t="s">
        <v>74</v>
      </c>
      <c r="Q613" t="s">
        <v>74</v>
      </c>
      <c r="R613" t="s">
        <v>74</v>
      </c>
      <c r="S613" t="s">
        <v>74</v>
      </c>
      <c r="T613" t="s">
        <v>74</v>
      </c>
      <c r="U613" t="s">
        <v>12057</v>
      </c>
      <c r="V613" t="s">
        <v>12058</v>
      </c>
      <c r="W613" t="s">
        <v>12059</v>
      </c>
      <c r="X613" t="s">
        <v>12060</v>
      </c>
      <c r="Y613" t="s">
        <v>12061</v>
      </c>
      <c r="Z613" t="s">
        <v>12062</v>
      </c>
      <c r="AA613" t="s">
        <v>12063</v>
      </c>
      <c r="AB613" t="s">
        <v>12064</v>
      </c>
      <c r="AC613" t="s">
        <v>12065</v>
      </c>
      <c r="AD613" t="s">
        <v>12066</v>
      </c>
      <c r="AE613" t="s">
        <v>74</v>
      </c>
      <c r="AF613" t="s">
        <v>74</v>
      </c>
      <c r="AG613">
        <v>73</v>
      </c>
      <c r="AH613">
        <v>22</v>
      </c>
      <c r="AI613">
        <v>23</v>
      </c>
      <c r="AJ613">
        <v>14</v>
      </c>
      <c r="AK613">
        <v>28</v>
      </c>
      <c r="AL613" t="s">
        <v>1841</v>
      </c>
      <c r="AM613" t="s">
        <v>306</v>
      </c>
      <c r="AN613" t="s">
        <v>1842</v>
      </c>
      <c r="AO613" t="s">
        <v>1843</v>
      </c>
      <c r="AP613" t="s">
        <v>1844</v>
      </c>
      <c r="AQ613" t="s">
        <v>74</v>
      </c>
      <c r="AR613" t="s">
        <v>1832</v>
      </c>
      <c r="AS613" t="s">
        <v>1845</v>
      </c>
      <c r="AT613" t="s">
        <v>12067</v>
      </c>
      <c r="AU613">
        <v>2023</v>
      </c>
      <c r="AV613">
        <v>379</v>
      </c>
      <c r="AW613">
        <v>6634</v>
      </c>
      <c r="AX613" t="s">
        <v>74</v>
      </c>
      <c r="AY613" t="s">
        <v>74</v>
      </c>
      <c r="AZ613" t="s">
        <v>185</v>
      </c>
      <c r="BA613" t="s">
        <v>74</v>
      </c>
      <c r="BB613">
        <v>788</v>
      </c>
      <c r="BC613" t="s">
        <v>12068</v>
      </c>
      <c r="BD613" t="s">
        <v>12069</v>
      </c>
      <c r="BE613" t="s">
        <v>12070</v>
      </c>
      <c r="BF613" t="str">
        <f>HYPERLINK("http://dx.doi.org/10.1126/science.abo0431","http://dx.doi.org/10.1126/science.abo0431")</f>
        <v>http://dx.doi.org/10.1126/science.abo0431</v>
      </c>
      <c r="BG613" t="s">
        <v>74</v>
      </c>
      <c r="BH613" t="s">
        <v>74</v>
      </c>
      <c r="BI613">
        <v>10</v>
      </c>
      <c r="BJ613" t="s">
        <v>210</v>
      </c>
      <c r="BK613" t="s">
        <v>103</v>
      </c>
      <c r="BL613" t="s">
        <v>211</v>
      </c>
      <c r="BM613" t="s">
        <v>12071</v>
      </c>
      <c r="BN613">
        <v>36264828</v>
      </c>
      <c r="BO613" t="s">
        <v>1389</v>
      </c>
      <c r="BP613" t="s">
        <v>1849</v>
      </c>
      <c r="BQ613" t="s">
        <v>1850</v>
      </c>
      <c r="BR613" t="s">
        <v>106</v>
      </c>
      <c r="BS613" t="s">
        <v>12072</v>
      </c>
      <c r="BT613" t="str">
        <f>HYPERLINK("https%3A%2F%2Fwww.webofscience.com%2Fwos%2Fwoscc%2Ffull-record%2FWOS:000981616600006","View Full Record in Web of Science")</f>
        <v>View Full Record in Web of Science</v>
      </c>
    </row>
    <row r="614" spans="1:72" x14ac:dyDescent="0.15">
      <c r="A614" t="s">
        <v>72</v>
      </c>
      <c r="B614" t="s">
        <v>12073</v>
      </c>
      <c r="C614" t="s">
        <v>74</v>
      </c>
      <c r="D614" t="s">
        <v>74</v>
      </c>
      <c r="E614" t="s">
        <v>74</v>
      </c>
      <c r="F614" t="s">
        <v>12074</v>
      </c>
      <c r="G614" t="s">
        <v>74</v>
      </c>
      <c r="H614" t="s">
        <v>74</v>
      </c>
      <c r="I614" t="s">
        <v>12075</v>
      </c>
      <c r="J614" t="s">
        <v>1832</v>
      </c>
      <c r="K614" t="s">
        <v>74</v>
      </c>
      <c r="L614" t="s">
        <v>74</v>
      </c>
      <c r="M614" t="s">
        <v>78</v>
      </c>
      <c r="N614" t="s">
        <v>112</v>
      </c>
      <c r="O614" t="s">
        <v>74</v>
      </c>
      <c r="P614" t="s">
        <v>74</v>
      </c>
      <c r="Q614" t="s">
        <v>74</v>
      </c>
      <c r="R614" t="s">
        <v>74</v>
      </c>
      <c r="S614" t="s">
        <v>74</v>
      </c>
      <c r="T614" t="s">
        <v>74</v>
      </c>
      <c r="U614" t="s">
        <v>12076</v>
      </c>
      <c r="V614" t="s">
        <v>12077</v>
      </c>
      <c r="W614" t="s">
        <v>12078</v>
      </c>
      <c r="X614" t="s">
        <v>12079</v>
      </c>
      <c r="Y614" t="s">
        <v>12080</v>
      </c>
      <c r="Z614" t="s">
        <v>12081</v>
      </c>
      <c r="AA614" t="s">
        <v>12082</v>
      </c>
      <c r="AB614" t="s">
        <v>12083</v>
      </c>
      <c r="AC614" t="s">
        <v>12084</v>
      </c>
      <c r="AD614" t="s">
        <v>12085</v>
      </c>
      <c r="AE614" t="s">
        <v>12086</v>
      </c>
      <c r="AF614" t="s">
        <v>74</v>
      </c>
      <c r="AG614">
        <v>61</v>
      </c>
      <c r="AH614">
        <v>11</v>
      </c>
      <c r="AI614">
        <v>11</v>
      </c>
      <c r="AJ614">
        <v>13</v>
      </c>
      <c r="AK614">
        <v>31</v>
      </c>
      <c r="AL614" t="s">
        <v>1841</v>
      </c>
      <c r="AM614" t="s">
        <v>306</v>
      </c>
      <c r="AN614" t="s">
        <v>1842</v>
      </c>
      <c r="AO614" t="s">
        <v>1843</v>
      </c>
      <c r="AP614" t="s">
        <v>1844</v>
      </c>
      <c r="AQ614" t="s">
        <v>74</v>
      </c>
      <c r="AR614" t="s">
        <v>1832</v>
      </c>
      <c r="AS614" t="s">
        <v>1845</v>
      </c>
      <c r="AT614" t="s">
        <v>12067</v>
      </c>
      <c r="AU614">
        <v>2023</v>
      </c>
      <c r="AV614">
        <v>379</v>
      </c>
      <c r="AW614">
        <v>6634</v>
      </c>
      <c r="AX614" t="s">
        <v>74</v>
      </c>
      <c r="AY614" t="s">
        <v>74</v>
      </c>
      <c r="AZ614" t="s">
        <v>185</v>
      </c>
      <c r="BA614" t="s">
        <v>74</v>
      </c>
      <c r="BB614">
        <v>834</v>
      </c>
      <c r="BC614" t="s">
        <v>1385</v>
      </c>
      <c r="BD614" t="s">
        <v>12087</v>
      </c>
      <c r="BE614" t="s">
        <v>12088</v>
      </c>
      <c r="BF614" t="str">
        <f>HYPERLINK("http://dx.doi.org/10.1126/science.abl5237","http://dx.doi.org/10.1126/science.abl5237")</f>
        <v>http://dx.doi.org/10.1126/science.abl5237</v>
      </c>
      <c r="BG614" t="s">
        <v>74</v>
      </c>
      <c r="BH614" t="s">
        <v>74</v>
      </c>
      <c r="BI614">
        <v>7</v>
      </c>
      <c r="BJ614" t="s">
        <v>210</v>
      </c>
      <c r="BK614" t="s">
        <v>103</v>
      </c>
      <c r="BL614" t="s">
        <v>211</v>
      </c>
      <c r="BM614" t="s">
        <v>12071</v>
      </c>
      <c r="BN614">
        <v>36821685</v>
      </c>
      <c r="BO614" t="s">
        <v>74</v>
      </c>
      <c r="BP614" t="s">
        <v>1849</v>
      </c>
      <c r="BQ614" t="s">
        <v>1850</v>
      </c>
      <c r="BR614" t="s">
        <v>106</v>
      </c>
      <c r="BS614" t="s">
        <v>12089</v>
      </c>
      <c r="BT614" t="str">
        <f>HYPERLINK("https%3A%2F%2Fwww.webofscience.com%2Fwos%2Fwoscc%2Ffull-record%2FWOS:000981616600001","View Full Record in Web of Science")</f>
        <v>View Full Record in Web of Science</v>
      </c>
    </row>
    <row r="615" spans="1:72" x14ac:dyDescent="0.15">
      <c r="A615" t="s">
        <v>72</v>
      </c>
      <c r="B615" t="s">
        <v>12090</v>
      </c>
      <c r="C615" t="s">
        <v>74</v>
      </c>
      <c r="D615" t="s">
        <v>74</v>
      </c>
      <c r="E615" t="s">
        <v>74</v>
      </c>
      <c r="F615" t="s">
        <v>12091</v>
      </c>
      <c r="G615" t="s">
        <v>74</v>
      </c>
      <c r="H615" t="s">
        <v>74</v>
      </c>
      <c r="I615" t="s">
        <v>12092</v>
      </c>
      <c r="J615" t="s">
        <v>10257</v>
      </c>
      <c r="K615" t="s">
        <v>74</v>
      </c>
      <c r="L615" t="s">
        <v>74</v>
      </c>
      <c r="M615" t="s">
        <v>78</v>
      </c>
      <c r="N615" t="s">
        <v>112</v>
      </c>
      <c r="O615" t="s">
        <v>74</v>
      </c>
      <c r="P615" t="s">
        <v>74</v>
      </c>
      <c r="Q615" t="s">
        <v>74</v>
      </c>
      <c r="R615" t="s">
        <v>74</v>
      </c>
      <c r="S615" t="s">
        <v>74</v>
      </c>
      <c r="T615" t="s">
        <v>74</v>
      </c>
      <c r="U615" t="s">
        <v>12093</v>
      </c>
      <c r="V615" t="s">
        <v>12094</v>
      </c>
      <c r="W615" t="s">
        <v>12095</v>
      </c>
      <c r="X615" t="s">
        <v>12096</v>
      </c>
      <c r="Y615" t="s">
        <v>12097</v>
      </c>
      <c r="Z615" t="s">
        <v>12098</v>
      </c>
      <c r="AA615" t="s">
        <v>74</v>
      </c>
      <c r="AB615" t="s">
        <v>12099</v>
      </c>
      <c r="AC615" t="s">
        <v>74</v>
      </c>
      <c r="AD615" t="s">
        <v>74</v>
      </c>
      <c r="AE615" t="s">
        <v>74</v>
      </c>
      <c r="AF615" t="s">
        <v>74</v>
      </c>
      <c r="AG615">
        <v>53</v>
      </c>
      <c r="AH615">
        <v>0</v>
      </c>
      <c r="AI615">
        <v>0</v>
      </c>
      <c r="AJ615">
        <v>0</v>
      </c>
      <c r="AK615">
        <v>3</v>
      </c>
      <c r="AL615" t="s">
        <v>3160</v>
      </c>
      <c r="AM615" t="s">
        <v>3161</v>
      </c>
      <c r="AN615" t="s">
        <v>3162</v>
      </c>
      <c r="AO615" t="s">
        <v>10267</v>
      </c>
      <c r="AP615" t="s">
        <v>10268</v>
      </c>
      <c r="AQ615" t="s">
        <v>74</v>
      </c>
      <c r="AR615" t="s">
        <v>10269</v>
      </c>
      <c r="AS615" t="s">
        <v>10270</v>
      </c>
      <c r="AT615" t="s">
        <v>12100</v>
      </c>
      <c r="AU615">
        <v>2023</v>
      </c>
      <c r="AV615">
        <v>135</v>
      </c>
      <c r="AW615" t="s">
        <v>12101</v>
      </c>
      <c r="AX615" t="s">
        <v>74</v>
      </c>
      <c r="AY615" t="s">
        <v>74</v>
      </c>
      <c r="AZ615" t="s">
        <v>74</v>
      </c>
      <c r="BA615" t="s">
        <v>74</v>
      </c>
      <c r="BB615">
        <v>2868</v>
      </c>
      <c r="BC615">
        <v>2879</v>
      </c>
      <c r="BD615" t="s">
        <v>74</v>
      </c>
      <c r="BE615" t="s">
        <v>12102</v>
      </c>
      <c r="BF615" t="str">
        <f>HYPERLINK("http://dx.doi.org/10.1130/B36674.1","http://dx.doi.org/10.1130/B36674.1")</f>
        <v>http://dx.doi.org/10.1130/B36674.1</v>
      </c>
      <c r="BG615" t="s">
        <v>74</v>
      </c>
      <c r="BH615" t="s">
        <v>11628</v>
      </c>
      <c r="BI615">
        <v>12</v>
      </c>
      <c r="BJ615" t="s">
        <v>261</v>
      </c>
      <c r="BK615" t="s">
        <v>103</v>
      </c>
      <c r="BL615" t="s">
        <v>262</v>
      </c>
      <c r="BM615" t="s">
        <v>12103</v>
      </c>
      <c r="BN615" t="s">
        <v>74</v>
      </c>
      <c r="BO615" t="s">
        <v>74</v>
      </c>
      <c r="BP615" t="s">
        <v>74</v>
      </c>
      <c r="BQ615" t="s">
        <v>74</v>
      </c>
      <c r="BR615" t="s">
        <v>106</v>
      </c>
      <c r="BS615" t="s">
        <v>12104</v>
      </c>
      <c r="BT615" t="str">
        <f>HYPERLINK("https%3A%2F%2Fwww.webofscience.com%2Fwos%2Fwoscc%2Ffull-record%2FWOS:000982534800001","View Full Record in Web of Science")</f>
        <v>View Full Record in Web of Science</v>
      </c>
    </row>
    <row r="616" spans="1:72" x14ac:dyDescent="0.15">
      <c r="A616" t="s">
        <v>72</v>
      </c>
      <c r="B616" t="s">
        <v>12105</v>
      </c>
      <c r="C616" t="s">
        <v>74</v>
      </c>
      <c r="D616" t="s">
        <v>74</v>
      </c>
      <c r="E616" t="s">
        <v>74</v>
      </c>
      <c r="F616" t="s">
        <v>12106</v>
      </c>
      <c r="G616" t="s">
        <v>74</v>
      </c>
      <c r="H616" t="s">
        <v>74</v>
      </c>
      <c r="I616" t="s">
        <v>12107</v>
      </c>
      <c r="J616" t="s">
        <v>12108</v>
      </c>
      <c r="K616" t="s">
        <v>74</v>
      </c>
      <c r="L616" t="s">
        <v>74</v>
      </c>
      <c r="M616" t="s">
        <v>78</v>
      </c>
      <c r="N616" t="s">
        <v>112</v>
      </c>
      <c r="O616" t="s">
        <v>74</v>
      </c>
      <c r="P616" t="s">
        <v>74</v>
      </c>
      <c r="Q616" t="s">
        <v>74</v>
      </c>
      <c r="R616" t="s">
        <v>74</v>
      </c>
      <c r="S616" t="s">
        <v>74</v>
      </c>
      <c r="T616" t="s">
        <v>12109</v>
      </c>
      <c r="U616" t="s">
        <v>12110</v>
      </c>
      <c r="V616" t="s">
        <v>12111</v>
      </c>
      <c r="W616" t="s">
        <v>12112</v>
      </c>
      <c r="X616" t="s">
        <v>12113</v>
      </c>
      <c r="Y616" t="s">
        <v>12114</v>
      </c>
      <c r="Z616" t="s">
        <v>12115</v>
      </c>
      <c r="AA616" t="s">
        <v>12116</v>
      </c>
      <c r="AB616" t="s">
        <v>12117</v>
      </c>
      <c r="AC616" t="s">
        <v>12118</v>
      </c>
      <c r="AD616" t="s">
        <v>12119</v>
      </c>
      <c r="AE616" t="s">
        <v>12120</v>
      </c>
      <c r="AF616" t="s">
        <v>74</v>
      </c>
      <c r="AG616">
        <v>90</v>
      </c>
      <c r="AH616">
        <v>3</v>
      </c>
      <c r="AI616">
        <v>3</v>
      </c>
      <c r="AJ616">
        <v>4</v>
      </c>
      <c r="AK616">
        <v>12</v>
      </c>
      <c r="AL616" t="s">
        <v>447</v>
      </c>
      <c r="AM616" t="s">
        <v>448</v>
      </c>
      <c r="AN616" t="s">
        <v>449</v>
      </c>
      <c r="AO616" t="s">
        <v>12121</v>
      </c>
      <c r="AP616" t="s">
        <v>12122</v>
      </c>
      <c r="AQ616" t="s">
        <v>74</v>
      </c>
      <c r="AR616" t="s">
        <v>12123</v>
      </c>
      <c r="AS616" t="s">
        <v>12124</v>
      </c>
      <c r="AT616" t="s">
        <v>4073</v>
      </c>
      <c r="AU616">
        <v>2023</v>
      </c>
      <c r="AV616">
        <v>622</v>
      </c>
      <c r="AW616" t="s">
        <v>74</v>
      </c>
      <c r="AX616" t="s">
        <v>74</v>
      </c>
      <c r="AY616" t="s">
        <v>74</v>
      </c>
      <c r="AZ616" t="s">
        <v>74</v>
      </c>
      <c r="BA616" t="s">
        <v>74</v>
      </c>
      <c r="BB616" t="s">
        <v>74</v>
      </c>
      <c r="BC616" t="s">
        <v>74</v>
      </c>
      <c r="BD616">
        <v>121355</v>
      </c>
      <c r="BE616" t="s">
        <v>12125</v>
      </c>
      <c r="BF616" t="str">
        <f>HYPERLINK("http://dx.doi.org/10.1016/j.chemgeo.2023.121355","http://dx.doi.org/10.1016/j.chemgeo.2023.121355")</f>
        <v>http://dx.doi.org/10.1016/j.chemgeo.2023.121355</v>
      </c>
      <c r="BG616" t="s">
        <v>74</v>
      </c>
      <c r="BH616" t="s">
        <v>11628</v>
      </c>
      <c r="BI616">
        <v>15</v>
      </c>
      <c r="BJ616" t="s">
        <v>313</v>
      </c>
      <c r="BK616" t="s">
        <v>103</v>
      </c>
      <c r="BL616" t="s">
        <v>313</v>
      </c>
      <c r="BM616" t="s">
        <v>12126</v>
      </c>
      <c r="BN616" t="s">
        <v>74</v>
      </c>
      <c r="BO616" t="s">
        <v>12127</v>
      </c>
      <c r="BP616" t="s">
        <v>74</v>
      </c>
      <c r="BQ616" t="s">
        <v>74</v>
      </c>
      <c r="BR616" t="s">
        <v>106</v>
      </c>
      <c r="BS616" t="s">
        <v>12128</v>
      </c>
      <c r="BT616" t="str">
        <f>HYPERLINK("https%3A%2F%2Fwww.webofscience.com%2Fwos%2Fwoscc%2Ffull-record%2FWOS:000965895900001","View Full Record in Web of Science")</f>
        <v>View Full Record in Web of Science</v>
      </c>
    </row>
    <row r="617" spans="1:72" x14ac:dyDescent="0.15">
      <c r="A617" t="s">
        <v>72</v>
      </c>
      <c r="B617" t="s">
        <v>12129</v>
      </c>
      <c r="C617" t="s">
        <v>74</v>
      </c>
      <c r="D617" t="s">
        <v>74</v>
      </c>
      <c r="E617" t="s">
        <v>74</v>
      </c>
      <c r="F617" t="s">
        <v>12130</v>
      </c>
      <c r="G617" t="s">
        <v>74</v>
      </c>
      <c r="H617" t="s">
        <v>74</v>
      </c>
      <c r="I617" t="s">
        <v>12131</v>
      </c>
      <c r="J617" t="s">
        <v>194</v>
      </c>
      <c r="K617" t="s">
        <v>74</v>
      </c>
      <c r="L617" t="s">
        <v>74</v>
      </c>
      <c r="M617" t="s">
        <v>78</v>
      </c>
      <c r="N617" t="s">
        <v>112</v>
      </c>
      <c r="O617" t="s">
        <v>74</v>
      </c>
      <c r="P617" t="s">
        <v>74</v>
      </c>
      <c r="Q617" t="s">
        <v>74</v>
      </c>
      <c r="R617" t="s">
        <v>74</v>
      </c>
      <c r="S617" t="s">
        <v>74</v>
      </c>
      <c r="T617" t="s">
        <v>74</v>
      </c>
      <c r="U617" t="s">
        <v>12132</v>
      </c>
      <c r="V617" t="s">
        <v>12133</v>
      </c>
      <c r="W617" t="s">
        <v>12134</v>
      </c>
      <c r="X617" t="s">
        <v>12135</v>
      </c>
      <c r="Y617" t="s">
        <v>12136</v>
      </c>
      <c r="Z617" t="s">
        <v>12137</v>
      </c>
      <c r="AA617" t="s">
        <v>12138</v>
      </c>
      <c r="AB617" t="s">
        <v>12139</v>
      </c>
      <c r="AC617" t="s">
        <v>12140</v>
      </c>
      <c r="AD617" t="s">
        <v>12141</v>
      </c>
      <c r="AE617" t="s">
        <v>12142</v>
      </c>
      <c r="AF617" t="s">
        <v>74</v>
      </c>
      <c r="AG617">
        <v>81</v>
      </c>
      <c r="AH617">
        <v>4</v>
      </c>
      <c r="AI617">
        <v>4</v>
      </c>
      <c r="AJ617">
        <v>0</v>
      </c>
      <c r="AK617">
        <v>3</v>
      </c>
      <c r="AL617" t="s">
        <v>203</v>
      </c>
      <c r="AM617" t="s">
        <v>204</v>
      </c>
      <c r="AN617" t="s">
        <v>205</v>
      </c>
      <c r="AO617" t="s">
        <v>206</v>
      </c>
      <c r="AP617" t="s">
        <v>74</v>
      </c>
      <c r="AQ617" t="s">
        <v>74</v>
      </c>
      <c r="AR617" t="s">
        <v>207</v>
      </c>
      <c r="AS617" t="s">
        <v>208</v>
      </c>
      <c r="AT617" t="s">
        <v>12067</v>
      </c>
      <c r="AU617">
        <v>2023</v>
      </c>
      <c r="AV617">
        <v>13</v>
      </c>
      <c r="AW617">
        <v>1</v>
      </c>
      <c r="AX617" t="s">
        <v>74</v>
      </c>
      <c r="AY617" t="s">
        <v>74</v>
      </c>
      <c r="AZ617" t="s">
        <v>74</v>
      </c>
      <c r="BA617" t="s">
        <v>74</v>
      </c>
      <c r="BB617" t="s">
        <v>74</v>
      </c>
      <c r="BC617" t="s">
        <v>74</v>
      </c>
      <c r="BD617">
        <v>3228</v>
      </c>
      <c r="BE617" t="s">
        <v>12143</v>
      </c>
      <c r="BF617" t="str">
        <f>HYPERLINK("http://dx.doi.org/10.1038/s41598-023-30238-2","http://dx.doi.org/10.1038/s41598-023-30238-2")</f>
        <v>http://dx.doi.org/10.1038/s41598-023-30238-2</v>
      </c>
      <c r="BG617" t="s">
        <v>74</v>
      </c>
      <c r="BH617" t="s">
        <v>74</v>
      </c>
      <c r="BI617">
        <v>10</v>
      </c>
      <c r="BJ617" t="s">
        <v>210</v>
      </c>
      <c r="BK617" t="s">
        <v>103</v>
      </c>
      <c r="BL617" t="s">
        <v>211</v>
      </c>
      <c r="BM617" t="s">
        <v>12144</v>
      </c>
      <c r="BN617">
        <v>36828886</v>
      </c>
      <c r="BO617" t="s">
        <v>533</v>
      </c>
      <c r="BP617" t="s">
        <v>74</v>
      </c>
      <c r="BQ617" t="s">
        <v>74</v>
      </c>
      <c r="BR617" t="s">
        <v>106</v>
      </c>
      <c r="BS617" t="s">
        <v>12145</v>
      </c>
      <c r="BT617" t="str">
        <f>HYPERLINK("https%3A%2F%2Fwww.webofscience.com%2Fwos%2Fwoscc%2Ffull-record%2FWOS:000942280900048","View Full Record in Web of Science")</f>
        <v>View Full Record in Web of Science</v>
      </c>
    </row>
    <row r="618" spans="1:72" x14ac:dyDescent="0.15">
      <c r="A618" t="s">
        <v>72</v>
      </c>
      <c r="B618" t="s">
        <v>12146</v>
      </c>
      <c r="C618" t="s">
        <v>74</v>
      </c>
      <c r="D618" t="s">
        <v>74</v>
      </c>
      <c r="E618" t="s">
        <v>74</v>
      </c>
      <c r="F618" t="s">
        <v>12147</v>
      </c>
      <c r="G618" t="s">
        <v>74</v>
      </c>
      <c r="H618" t="s">
        <v>74</v>
      </c>
      <c r="I618" t="s">
        <v>12148</v>
      </c>
      <c r="J618" t="s">
        <v>12149</v>
      </c>
      <c r="K618" t="s">
        <v>74</v>
      </c>
      <c r="L618" t="s">
        <v>74</v>
      </c>
      <c r="M618" t="s">
        <v>78</v>
      </c>
      <c r="N618" t="s">
        <v>112</v>
      </c>
      <c r="O618" t="s">
        <v>74</v>
      </c>
      <c r="P618" t="s">
        <v>74</v>
      </c>
      <c r="Q618" t="s">
        <v>74</v>
      </c>
      <c r="R618" t="s">
        <v>74</v>
      </c>
      <c r="S618" t="s">
        <v>74</v>
      </c>
      <c r="T618" t="s">
        <v>74</v>
      </c>
      <c r="U618" t="s">
        <v>12150</v>
      </c>
      <c r="V618" t="s">
        <v>12151</v>
      </c>
      <c r="W618" t="s">
        <v>12152</v>
      </c>
      <c r="X618" t="s">
        <v>12153</v>
      </c>
      <c r="Y618" t="s">
        <v>12154</v>
      </c>
      <c r="Z618" t="s">
        <v>12155</v>
      </c>
      <c r="AA618" t="s">
        <v>12156</v>
      </c>
      <c r="AB618" t="s">
        <v>12157</v>
      </c>
      <c r="AC618" t="s">
        <v>12158</v>
      </c>
      <c r="AD618" t="s">
        <v>12159</v>
      </c>
      <c r="AE618" t="s">
        <v>12160</v>
      </c>
      <c r="AF618" t="s">
        <v>74</v>
      </c>
      <c r="AG618">
        <v>97</v>
      </c>
      <c r="AH618">
        <v>10</v>
      </c>
      <c r="AI618">
        <v>11</v>
      </c>
      <c r="AJ618">
        <v>12</v>
      </c>
      <c r="AK618">
        <v>33</v>
      </c>
      <c r="AL618" t="s">
        <v>1841</v>
      </c>
      <c r="AM618" t="s">
        <v>306</v>
      </c>
      <c r="AN618" t="s">
        <v>1842</v>
      </c>
      <c r="AO618" t="s">
        <v>12161</v>
      </c>
      <c r="AP618" t="s">
        <v>74</v>
      </c>
      <c r="AQ618" t="s">
        <v>74</v>
      </c>
      <c r="AR618" t="s">
        <v>12162</v>
      </c>
      <c r="AS618" t="s">
        <v>12163</v>
      </c>
      <c r="AT618" t="s">
        <v>12067</v>
      </c>
      <c r="AU618">
        <v>2023</v>
      </c>
      <c r="AV618">
        <v>9</v>
      </c>
      <c r="AW618">
        <v>8</v>
      </c>
      <c r="AX618" t="s">
        <v>74</v>
      </c>
      <c r="AY618" t="s">
        <v>74</v>
      </c>
      <c r="AZ618" t="s">
        <v>74</v>
      </c>
      <c r="BA618" t="s">
        <v>74</v>
      </c>
      <c r="BB618" t="s">
        <v>74</v>
      </c>
      <c r="BC618" t="s">
        <v>74</v>
      </c>
      <c r="BD618" t="s">
        <v>12164</v>
      </c>
      <c r="BE618" t="s">
        <v>12165</v>
      </c>
      <c r="BF618" t="str">
        <f>HYPERLINK("http://dx.doi.org/10.1126/sciadv.add1467","http://dx.doi.org/10.1126/sciadv.add1467")</f>
        <v>http://dx.doi.org/10.1126/sciadv.add1467</v>
      </c>
      <c r="BG618" t="s">
        <v>74</v>
      </c>
      <c r="BH618" t="s">
        <v>74</v>
      </c>
      <c r="BI618">
        <v>11</v>
      </c>
      <c r="BJ618" t="s">
        <v>210</v>
      </c>
      <c r="BK618" t="s">
        <v>103</v>
      </c>
      <c r="BL618" t="s">
        <v>211</v>
      </c>
      <c r="BM618" t="s">
        <v>12166</v>
      </c>
      <c r="BN618">
        <v>36827375</v>
      </c>
      <c r="BO618" t="s">
        <v>136</v>
      </c>
      <c r="BP618" t="s">
        <v>74</v>
      </c>
      <c r="BQ618" t="s">
        <v>74</v>
      </c>
      <c r="BR618" t="s">
        <v>106</v>
      </c>
      <c r="BS618" t="s">
        <v>12167</v>
      </c>
      <c r="BT618" t="str">
        <f>HYPERLINK("https%3A%2F%2Fwww.webofscience.com%2Fwos%2Fwoscc%2Ffull-record%2FWOS:000948176900017","View Full Record in Web of Science")</f>
        <v>View Full Record in Web of Science</v>
      </c>
    </row>
    <row r="619" spans="1:72" x14ac:dyDescent="0.15">
      <c r="A619" t="s">
        <v>72</v>
      </c>
      <c r="B619" t="s">
        <v>12168</v>
      </c>
      <c r="C619" t="s">
        <v>74</v>
      </c>
      <c r="D619" t="s">
        <v>74</v>
      </c>
      <c r="E619" t="s">
        <v>74</v>
      </c>
      <c r="F619" t="s">
        <v>12169</v>
      </c>
      <c r="G619" t="s">
        <v>74</v>
      </c>
      <c r="H619" t="s">
        <v>12170</v>
      </c>
      <c r="I619" t="s">
        <v>12171</v>
      </c>
      <c r="J619" t="s">
        <v>12172</v>
      </c>
      <c r="K619" t="s">
        <v>74</v>
      </c>
      <c r="L619" t="s">
        <v>74</v>
      </c>
      <c r="M619" t="s">
        <v>78</v>
      </c>
      <c r="N619" t="s">
        <v>112</v>
      </c>
      <c r="O619" t="s">
        <v>74</v>
      </c>
      <c r="P619" t="s">
        <v>74</v>
      </c>
      <c r="Q619" t="s">
        <v>74</v>
      </c>
      <c r="R619" t="s">
        <v>74</v>
      </c>
      <c r="S619" t="s">
        <v>74</v>
      </c>
      <c r="T619" t="s">
        <v>12173</v>
      </c>
      <c r="U619" t="s">
        <v>12174</v>
      </c>
      <c r="V619" t="s">
        <v>12175</v>
      </c>
      <c r="W619" t="s">
        <v>12176</v>
      </c>
      <c r="X619" t="s">
        <v>12177</v>
      </c>
      <c r="Y619" t="s">
        <v>12178</v>
      </c>
      <c r="Z619" t="s">
        <v>12179</v>
      </c>
      <c r="AA619" t="s">
        <v>12180</v>
      </c>
      <c r="AB619" t="s">
        <v>12181</v>
      </c>
      <c r="AC619" t="s">
        <v>12182</v>
      </c>
      <c r="AD619" t="s">
        <v>12183</v>
      </c>
      <c r="AE619" t="s">
        <v>12184</v>
      </c>
      <c r="AF619" t="s">
        <v>74</v>
      </c>
      <c r="AG619">
        <v>68</v>
      </c>
      <c r="AH619">
        <v>0</v>
      </c>
      <c r="AI619">
        <v>0</v>
      </c>
      <c r="AJ619">
        <v>2</v>
      </c>
      <c r="AK619">
        <v>4</v>
      </c>
      <c r="AL619" t="s">
        <v>2092</v>
      </c>
      <c r="AM619" t="s">
        <v>2093</v>
      </c>
      <c r="AN619" t="s">
        <v>2094</v>
      </c>
      <c r="AO619" t="s">
        <v>12185</v>
      </c>
      <c r="AP619" t="s">
        <v>12186</v>
      </c>
      <c r="AQ619" t="s">
        <v>74</v>
      </c>
      <c r="AR619" t="s">
        <v>12187</v>
      </c>
      <c r="AS619" t="s">
        <v>12188</v>
      </c>
      <c r="AT619" t="s">
        <v>12189</v>
      </c>
      <c r="AU619">
        <v>2023</v>
      </c>
      <c r="AV619">
        <v>34</v>
      </c>
      <c r="AW619">
        <v>9</v>
      </c>
      <c r="AX619" t="s">
        <v>74</v>
      </c>
      <c r="AY619" t="s">
        <v>74</v>
      </c>
      <c r="AZ619" t="s">
        <v>74</v>
      </c>
      <c r="BA619" t="s">
        <v>74</v>
      </c>
      <c r="BB619">
        <v>2589</v>
      </c>
      <c r="BC619">
        <v>2606</v>
      </c>
      <c r="BD619" t="s">
        <v>74</v>
      </c>
      <c r="BE619" t="s">
        <v>12190</v>
      </c>
      <c r="BF619" t="str">
        <f>HYPERLINK("http://dx.doi.org/10.1002/ldr.4633","http://dx.doi.org/10.1002/ldr.4633")</f>
        <v>http://dx.doi.org/10.1002/ldr.4633</v>
      </c>
      <c r="BG619" t="s">
        <v>74</v>
      </c>
      <c r="BH619" t="s">
        <v>11628</v>
      </c>
      <c r="BI619">
        <v>18</v>
      </c>
      <c r="BJ619" t="s">
        <v>12191</v>
      </c>
      <c r="BK619" t="s">
        <v>103</v>
      </c>
      <c r="BL619" t="s">
        <v>12192</v>
      </c>
      <c r="BM619" t="s">
        <v>12193</v>
      </c>
      <c r="BN619" t="s">
        <v>74</v>
      </c>
      <c r="BO619" t="s">
        <v>1748</v>
      </c>
      <c r="BP619" t="s">
        <v>74</v>
      </c>
      <c r="BQ619" t="s">
        <v>74</v>
      </c>
      <c r="BR619" t="s">
        <v>106</v>
      </c>
      <c r="BS619" t="s">
        <v>12194</v>
      </c>
      <c r="BT619" t="str">
        <f>HYPERLINK("https%3A%2F%2Fwww.webofscience.com%2Fwos%2Fwoscc%2Ffull-record%2FWOS:000939647900001","View Full Record in Web of Science")</f>
        <v>View Full Record in Web of Science</v>
      </c>
    </row>
    <row r="620" spans="1:72" x14ac:dyDescent="0.15">
      <c r="A620" t="s">
        <v>72</v>
      </c>
      <c r="B620" t="s">
        <v>12195</v>
      </c>
      <c r="C620" t="s">
        <v>74</v>
      </c>
      <c r="D620" t="s">
        <v>74</v>
      </c>
      <c r="E620" t="s">
        <v>74</v>
      </c>
      <c r="F620" t="s">
        <v>12196</v>
      </c>
      <c r="G620" t="s">
        <v>74</v>
      </c>
      <c r="H620" t="s">
        <v>74</v>
      </c>
      <c r="I620" t="s">
        <v>12197</v>
      </c>
      <c r="J620" t="s">
        <v>12198</v>
      </c>
      <c r="K620" t="s">
        <v>74</v>
      </c>
      <c r="L620" t="s">
        <v>74</v>
      </c>
      <c r="M620" t="s">
        <v>78</v>
      </c>
      <c r="N620" t="s">
        <v>112</v>
      </c>
      <c r="O620" t="s">
        <v>74</v>
      </c>
      <c r="P620" t="s">
        <v>74</v>
      </c>
      <c r="Q620" t="s">
        <v>74</v>
      </c>
      <c r="R620" t="s">
        <v>74</v>
      </c>
      <c r="S620" t="s">
        <v>74</v>
      </c>
      <c r="T620" t="s">
        <v>12199</v>
      </c>
      <c r="U620" t="s">
        <v>12200</v>
      </c>
      <c r="V620" t="s">
        <v>12201</v>
      </c>
      <c r="W620" t="s">
        <v>12202</v>
      </c>
      <c r="X620" t="s">
        <v>12203</v>
      </c>
      <c r="Y620" t="s">
        <v>12204</v>
      </c>
      <c r="Z620" t="s">
        <v>12205</v>
      </c>
      <c r="AA620" t="s">
        <v>12206</v>
      </c>
      <c r="AB620" t="s">
        <v>12207</v>
      </c>
      <c r="AC620" t="s">
        <v>12208</v>
      </c>
      <c r="AD620" t="s">
        <v>12209</v>
      </c>
      <c r="AE620" t="s">
        <v>12210</v>
      </c>
      <c r="AF620" t="s">
        <v>74</v>
      </c>
      <c r="AG620">
        <v>26</v>
      </c>
      <c r="AH620">
        <v>1</v>
      </c>
      <c r="AI620">
        <v>2</v>
      </c>
      <c r="AJ620">
        <v>5</v>
      </c>
      <c r="AK620">
        <v>9</v>
      </c>
      <c r="AL620" t="s">
        <v>4405</v>
      </c>
      <c r="AM620" t="s">
        <v>4171</v>
      </c>
      <c r="AN620" t="s">
        <v>4406</v>
      </c>
      <c r="AO620" t="s">
        <v>12211</v>
      </c>
      <c r="AP620" t="s">
        <v>12212</v>
      </c>
      <c r="AQ620" t="s">
        <v>74</v>
      </c>
      <c r="AR620" t="s">
        <v>12213</v>
      </c>
      <c r="AS620" t="s">
        <v>12214</v>
      </c>
      <c r="AT620" t="s">
        <v>232</v>
      </c>
      <c r="AU620">
        <v>2023</v>
      </c>
      <c r="AV620">
        <v>28</v>
      </c>
      <c r="AW620">
        <v>2</v>
      </c>
      <c r="AX620" t="s">
        <v>74</v>
      </c>
      <c r="AY620" t="s">
        <v>74</v>
      </c>
      <c r="AZ620" t="s">
        <v>74</v>
      </c>
      <c r="BA620" t="s">
        <v>74</v>
      </c>
      <c r="BB620">
        <v>399</v>
      </c>
      <c r="BC620">
        <v>409</v>
      </c>
      <c r="BD620" t="s">
        <v>74</v>
      </c>
      <c r="BE620" t="s">
        <v>12215</v>
      </c>
      <c r="BF620" t="str">
        <f>HYPERLINK("http://dx.doi.org/10.1007/s00773-023-00930-z","http://dx.doi.org/10.1007/s00773-023-00930-z")</f>
        <v>http://dx.doi.org/10.1007/s00773-023-00930-z</v>
      </c>
      <c r="BG620" t="s">
        <v>74</v>
      </c>
      <c r="BH620" t="s">
        <v>11628</v>
      </c>
      <c r="BI620">
        <v>11</v>
      </c>
      <c r="BJ620" t="s">
        <v>12216</v>
      </c>
      <c r="BK620" t="s">
        <v>103</v>
      </c>
      <c r="BL620" t="s">
        <v>1348</v>
      </c>
      <c r="BM620" t="s">
        <v>12217</v>
      </c>
      <c r="BN620" t="s">
        <v>74</v>
      </c>
      <c r="BO620" t="s">
        <v>74</v>
      </c>
      <c r="BP620" t="s">
        <v>74</v>
      </c>
      <c r="BQ620" t="s">
        <v>74</v>
      </c>
      <c r="BR620" t="s">
        <v>106</v>
      </c>
      <c r="BS620" t="s">
        <v>12218</v>
      </c>
      <c r="BT620" t="str">
        <f>HYPERLINK("https%3A%2F%2Fwww.webofscience.com%2Fwos%2Fwoscc%2Ffull-record%2FWOS:000939199700002","View Full Record in Web of Science")</f>
        <v>View Full Record in Web of Science</v>
      </c>
    </row>
    <row r="621" spans="1:72" x14ac:dyDescent="0.15">
      <c r="A621" t="s">
        <v>72</v>
      </c>
      <c r="B621" t="s">
        <v>12219</v>
      </c>
      <c r="C621" t="s">
        <v>74</v>
      </c>
      <c r="D621" t="s">
        <v>74</v>
      </c>
      <c r="E621" t="s">
        <v>74</v>
      </c>
      <c r="F621" t="s">
        <v>12220</v>
      </c>
      <c r="G621" t="s">
        <v>74</v>
      </c>
      <c r="H621" t="s">
        <v>74</v>
      </c>
      <c r="I621" t="s">
        <v>12221</v>
      </c>
      <c r="J621" t="s">
        <v>12222</v>
      </c>
      <c r="K621" t="s">
        <v>74</v>
      </c>
      <c r="L621" t="s">
        <v>74</v>
      </c>
      <c r="M621" t="s">
        <v>78</v>
      </c>
      <c r="N621" t="s">
        <v>365</v>
      </c>
      <c r="O621" t="s">
        <v>74</v>
      </c>
      <c r="P621" t="s">
        <v>74</v>
      </c>
      <c r="Q621" t="s">
        <v>74</v>
      </c>
      <c r="R621" t="s">
        <v>74</v>
      </c>
      <c r="S621" t="s">
        <v>74</v>
      </c>
      <c r="T621" t="s">
        <v>12223</v>
      </c>
      <c r="U621" t="s">
        <v>12224</v>
      </c>
      <c r="V621" t="s">
        <v>12225</v>
      </c>
      <c r="W621" t="s">
        <v>12226</v>
      </c>
      <c r="X621" t="s">
        <v>12227</v>
      </c>
      <c r="Y621" t="s">
        <v>12228</v>
      </c>
      <c r="Z621" t="s">
        <v>12229</v>
      </c>
      <c r="AA621" t="s">
        <v>12230</v>
      </c>
      <c r="AB621" t="s">
        <v>12231</v>
      </c>
      <c r="AC621" t="s">
        <v>12232</v>
      </c>
      <c r="AD621" t="s">
        <v>12233</v>
      </c>
      <c r="AE621" t="s">
        <v>12234</v>
      </c>
      <c r="AF621" t="s">
        <v>74</v>
      </c>
      <c r="AG621">
        <v>124</v>
      </c>
      <c r="AH621">
        <v>14</v>
      </c>
      <c r="AI621">
        <v>14</v>
      </c>
      <c r="AJ621">
        <v>30</v>
      </c>
      <c r="AK621">
        <v>44</v>
      </c>
      <c r="AL621" t="s">
        <v>7167</v>
      </c>
      <c r="AM621" t="s">
        <v>7168</v>
      </c>
      <c r="AN621" t="s">
        <v>7169</v>
      </c>
      <c r="AO621" t="s">
        <v>12235</v>
      </c>
      <c r="AP621" t="s">
        <v>74</v>
      </c>
      <c r="AQ621" t="s">
        <v>74</v>
      </c>
      <c r="AR621" t="s">
        <v>12222</v>
      </c>
      <c r="AS621" t="s">
        <v>12236</v>
      </c>
      <c r="AT621" t="s">
        <v>12237</v>
      </c>
      <c r="AU621">
        <v>2023</v>
      </c>
      <c r="AV621">
        <v>8</v>
      </c>
      <c r="AW621">
        <v>8</v>
      </c>
      <c r="AX621" t="s">
        <v>74</v>
      </c>
      <c r="AY621" t="s">
        <v>74</v>
      </c>
      <c r="AZ621" t="s">
        <v>74</v>
      </c>
      <c r="BA621" t="s">
        <v>74</v>
      </c>
      <c r="BB621" t="s">
        <v>74</v>
      </c>
      <c r="BC621" t="s">
        <v>74</v>
      </c>
      <c r="BD621" t="s">
        <v>12238</v>
      </c>
      <c r="BE621" t="s">
        <v>12239</v>
      </c>
      <c r="BF621" t="str">
        <f>HYPERLINK("http://dx.doi.org/10.1002/slct.202203176","http://dx.doi.org/10.1002/slct.202203176")</f>
        <v>http://dx.doi.org/10.1002/slct.202203176</v>
      </c>
      <c r="BG621" t="s">
        <v>74</v>
      </c>
      <c r="BH621" t="s">
        <v>74</v>
      </c>
      <c r="BI621">
        <v>19</v>
      </c>
      <c r="BJ621" t="s">
        <v>7175</v>
      </c>
      <c r="BK621" t="s">
        <v>103</v>
      </c>
      <c r="BL621" t="s">
        <v>1940</v>
      </c>
      <c r="BM621" t="s">
        <v>12240</v>
      </c>
      <c r="BN621" t="s">
        <v>74</v>
      </c>
      <c r="BO621" t="s">
        <v>334</v>
      </c>
      <c r="BP621" t="s">
        <v>74</v>
      </c>
      <c r="BQ621" t="s">
        <v>74</v>
      </c>
      <c r="BR621" t="s">
        <v>106</v>
      </c>
      <c r="BS621" t="s">
        <v>12241</v>
      </c>
      <c r="BT621" t="str">
        <f>HYPERLINK("https%3A%2F%2Fwww.webofscience.com%2Fwos%2Fwoscc%2Ffull-record%2FWOS:000935199000001","View Full Record in Web of Science")</f>
        <v>View Full Record in Web of Science</v>
      </c>
    </row>
    <row r="622" spans="1:72" x14ac:dyDescent="0.15">
      <c r="A622" t="s">
        <v>72</v>
      </c>
      <c r="B622" t="s">
        <v>12242</v>
      </c>
      <c r="C622" t="s">
        <v>74</v>
      </c>
      <c r="D622" t="s">
        <v>74</v>
      </c>
      <c r="E622" t="s">
        <v>74</v>
      </c>
      <c r="F622" t="s">
        <v>12243</v>
      </c>
      <c r="G622" t="s">
        <v>74</v>
      </c>
      <c r="H622" t="s">
        <v>74</v>
      </c>
      <c r="I622" t="s">
        <v>12244</v>
      </c>
      <c r="J622" t="s">
        <v>1215</v>
      </c>
      <c r="K622" t="s">
        <v>74</v>
      </c>
      <c r="L622" t="s">
        <v>74</v>
      </c>
      <c r="M622" t="s">
        <v>78</v>
      </c>
      <c r="N622" t="s">
        <v>112</v>
      </c>
      <c r="O622" t="s">
        <v>74</v>
      </c>
      <c r="P622" t="s">
        <v>74</v>
      </c>
      <c r="Q622" t="s">
        <v>74</v>
      </c>
      <c r="R622" t="s">
        <v>74</v>
      </c>
      <c r="S622" t="s">
        <v>74</v>
      </c>
      <c r="T622" t="s">
        <v>12245</v>
      </c>
      <c r="U622" t="s">
        <v>12246</v>
      </c>
      <c r="V622" t="s">
        <v>12247</v>
      </c>
      <c r="W622" t="s">
        <v>12248</v>
      </c>
      <c r="X622" t="s">
        <v>12249</v>
      </c>
      <c r="Y622" t="s">
        <v>12250</v>
      </c>
      <c r="Z622" t="s">
        <v>12251</v>
      </c>
      <c r="AA622" t="s">
        <v>74</v>
      </c>
      <c r="AB622" t="s">
        <v>74</v>
      </c>
      <c r="AC622" t="s">
        <v>12252</v>
      </c>
      <c r="AD622" t="s">
        <v>12253</v>
      </c>
      <c r="AE622" t="s">
        <v>12254</v>
      </c>
      <c r="AF622" t="s">
        <v>74</v>
      </c>
      <c r="AG622">
        <v>54</v>
      </c>
      <c r="AH622">
        <v>1</v>
      </c>
      <c r="AI622">
        <v>1</v>
      </c>
      <c r="AJ622">
        <v>1</v>
      </c>
      <c r="AK622">
        <v>6</v>
      </c>
      <c r="AL622" t="s">
        <v>700</v>
      </c>
      <c r="AM622" t="s">
        <v>701</v>
      </c>
      <c r="AN622" t="s">
        <v>702</v>
      </c>
      <c r="AO622" t="s">
        <v>74</v>
      </c>
      <c r="AP622" t="s">
        <v>1228</v>
      </c>
      <c r="AQ622" t="s">
        <v>74</v>
      </c>
      <c r="AR622" t="s">
        <v>1229</v>
      </c>
      <c r="AS622" t="s">
        <v>1230</v>
      </c>
      <c r="AT622" t="s">
        <v>12237</v>
      </c>
      <c r="AU622">
        <v>2023</v>
      </c>
      <c r="AV622">
        <v>10</v>
      </c>
      <c r="AW622" t="s">
        <v>74</v>
      </c>
      <c r="AX622" t="s">
        <v>74</v>
      </c>
      <c r="AY622" t="s">
        <v>74</v>
      </c>
      <c r="AZ622" t="s">
        <v>74</v>
      </c>
      <c r="BA622" t="s">
        <v>74</v>
      </c>
      <c r="BB622" t="s">
        <v>74</v>
      </c>
      <c r="BC622" t="s">
        <v>74</v>
      </c>
      <c r="BD622">
        <v>1103740</v>
      </c>
      <c r="BE622" t="s">
        <v>12255</v>
      </c>
      <c r="BF622" t="str">
        <f>HYPERLINK("http://dx.doi.org/10.3389/fmars.2023.1103740","http://dx.doi.org/10.3389/fmars.2023.1103740")</f>
        <v>http://dx.doi.org/10.3389/fmars.2023.1103740</v>
      </c>
      <c r="BG622" t="s">
        <v>74</v>
      </c>
      <c r="BH622" t="s">
        <v>74</v>
      </c>
      <c r="BI622">
        <v>15</v>
      </c>
      <c r="BJ622" t="s">
        <v>636</v>
      </c>
      <c r="BK622" t="s">
        <v>103</v>
      </c>
      <c r="BL622" t="s">
        <v>637</v>
      </c>
      <c r="BM622" t="s">
        <v>12256</v>
      </c>
      <c r="BN622" t="s">
        <v>74</v>
      </c>
      <c r="BO622" t="s">
        <v>359</v>
      </c>
      <c r="BP622" t="s">
        <v>74</v>
      </c>
      <c r="BQ622" t="s">
        <v>74</v>
      </c>
      <c r="BR622" t="s">
        <v>106</v>
      </c>
      <c r="BS622" t="s">
        <v>12257</v>
      </c>
      <c r="BT622" t="str">
        <f>HYPERLINK("https%3A%2F%2Fwww.webofscience.com%2Fwos%2Fwoscc%2Ffull-record%2FWOS:000945767100001","View Full Record in Web of Science")</f>
        <v>View Full Record in Web of Science</v>
      </c>
    </row>
    <row r="623" spans="1:72" x14ac:dyDescent="0.15">
      <c r="A623" t="s">
        <v>72</v>
      </c>
      <c r="B623" t="s">
        <v>12258</v>
      </c>
      <c r="C623" t="s">
        <v>74</v>
      </c>
      <c r="D623" t="s">
        <v>74</v>
      </c>
      <c r="E623" t="s">
        <v>74</v>
      </c>
      <c r="F623" t="s">
        <v>12259</v>
      </c>
      <c r="G623" t="s">
        <v>74</v>
      </c>
      <c r="H623" t="s">
        <v>74</v>
      </c>
      <c r="I623" t="s">
        <v>12260</v>
      </c>
      <c r="J623" t="s">
        <v>7181</v>
      </c>
      <c r="K623" t="s">
        <v>74</v>
      </c>
      <c r="L623" t="s">
        <v>74</v>
      </c>
      <c r="M623" t="s">
        <v>78</v>
      </c>
      <c r="N623" t="s">
        <v>112</v>
      </c>
      <c r="O623" t="s">
        <v>74</v>
      </c>
      <c r="P623" t="s">
        <v>74</v>
      </c>
      <c r="Q623" t="s">
        <v>74</v>
      </c>
      <c r="R623" t="s">
        <v>74</v>
      </c>
      <c r="S623" t="s">
        <v>74</v>
      </c>
      <c r="T623" t="s">
        <v>12261</v>
      </c>
      <c r="U623" t="s">
        <v>12262</v>
      </c>
      <c r="V623" t="s">
        <v>12263</v>
      </c>
      <c r="W623" t="s">
        <v>12264</v>
      </c>
      <c r="X623" t="s">
        <v>12265</v>
      </c>
      <c r="Y623" t="s">
        <v>12266</v>
      </c>
      <c r="Z623" t="s">
        <v>12267</v>
      </c>
      <c r="AA623" t="s">
        <v>74</v>
      </c>
      <c r="AB623" t="s">
        <v>12268</v>
      </c>
      <c r="AC623" t="s">
        <v>12269</v>
      </c>
      <c r="AD623" t="s">
        <v>12270</v>
      </c>
      <c r="AE623" t="s">
        <v>12271</v>
      </c>
      <c r="AF623" t="s">
        <v>74</v>
      </c>
      <c r="AG623">
        <v>94</v>
      </c>
      <c r="AH623">
        <v>4</v>
      </c>
      <c r="AI623">
        <v>5</v>
      </c>
      <c r="AJ623">
        <v>6</v>
      </c>
      <c r="AK623">
        <v>16</v>
      </c>
      <c r="AL623" t="s">
        <v>7192</v>
      </c>
      <c r="AM623" t="s">
        <v>7193</v>
      </c>
      <c r="AN623" t="s">
        <v>7194</v>
      </c>
      <c r="AO623" t="s">
        <v>7195</v>
      </c>
      <c r="AP623" t="s">
        <v>7196</v>
      </c>
      <c r="AQ623" t="s">
        <v>74</v>
      </c>
      <c r="AR623" t="s">
        <v>7197</v>
      </c>
      <c r="AS623" t="s">
        <v>7198</v>
      </c>
      <c r="AT623" t="s">
        <v>12237</v>
      </c>
      <c r="AU623">
        <v>2023</v>
      </c>
      <c r="AV623">
        <v>706</v>
      </c>
      <c r="AW623" t="s">
        <v>74</v>
      </c>
      <c r="AX623" t="s">
        <v>74</v>
      </c>
      <c r="AY623" t="s">
        <v>74</v>
      </c>
      <c r="AZ623" t="s">
        <v>74</v>
      </c>
      <c r="BA623" t="s">
        <v>74</v>
      </c>
      <c r="BB623">
        <v>17</v>
      </c>
      <c r="BC623">
        <v>32</v>
      </c>
      <c r="BD623" t="s">
        <v>74</v>
      </c>
      <c r="BE623" t="s">
        <v>12272</v>
      </c>
      <c r="BF623" t="str">
        <f>HYPERLINK("http://dx.doi.org/10.3354/meps14256","http://dx.doi.org/10.3354/meps14256")</f>
        <v>http://dx.doi.org/10.3354/meps14256</v>
      </c>
      <c r="BG623" t="s">
        <v>74</v>
      </c>
      <c r="BH623" t="s">
        <v>74</v>
      </c>
      <c r="BI623">
        <v>16</v>
      </c>
      <c r="BJ623" t="s">
        <v>7201</v>
      </c>
      <c r="BK623" t="s">
        <v>103</v>
      </c>
      <c r="BL623" t="s">
        <v>7202</v>
      </c>
      <c r="BM623" t="s">
        <v>12273</v>
      </c>
      <c r="BN623" t="s">
        <v>74</v>
      </c>
      <c r="BO623" t="s">
        <v>387</v>
      </c>
      <c r="BP623" t="s">
        <v>74</v>
      </c>
      <c r="BQ623" t="s">
        <v>74</v>
      </c>
      <c r="BR623" t="s">
        <v>106</v>
      </c>
      <c r="BS623" t="s">
        <v>12274</v>
      </c>
      <c r="BT623" t="str">
        <f>HYPERLINK("https%3A%2F%2Fwww.webofscience.com%2Fwos%2Fwoscc%2Ffull-record%2FWOS:000946221000002","View Full Record in Web of Science")</f>
        <v>View Full Record in Web of Science</v>
      </c>
    </row>
    <row r="624" spans="1:72" x14ac:dyDescent="0.15">
      <c r="A624" t="s">
        <v>72</v>
      </c>
      <c r="B624" t="s">
        <v>12275</v>
      </c>
      <c r="C624" t="s">
        <v>74</v>
      </c>
      <c r="D624" t="s">
        <v>74</v>
      </c>
      <c r="E624" t="s">
        <v>74</v>
      </c>
      <c r="F624" t="s">
        <v>12276</v>
      </c>
      <c r="G624" t="s">
        <v>74</v>
      </c>
      <c r="H624" t="s">
        <v>74</v>
      </c>
      <c r="I624" t="s">
        <v>12277</v>
      </c>
      <c r="J624" t="s">
        <v>3089</v>
      </c>
      <c r="K624" t="s">
        <v>74</v>
      </c>
      <c r="L624" t="s">
        <v>74</v>
      </c>
      <c r="M624" t="s">
        <v>78</v>
      </c>
      <c r="N624" t="s">
        <v>112</v>
      </c>
      <c r="O624" t="s">
        <v>74</v>
      </c>
      <c r="P624" t="s">
        <v>74</v>
      </c>
      <c r="Q624" t="s">
        <v>74</v>
      </c>
      <c r="R624" t="s">
        <v>74</v>
      </c>
      <c r="S624" t="s">
        <v>74</v>
      </c>
      <c r="T624" t="s">
        <v>12278</v>
      </c>
      <c r="U624" t="s">
        <v>12279</v>
      </c>
      <c r="V624" t="s">
        <v>12280</v>
      </c>
      <c r="W624" t="s">
        <v>12281</v>
      </c>
      <c r="X624" t="s">
        <v>12282</v>
      </c>
      <c r="Y624" t="s">
        <v>12283</v>
      </c>
      <c r="Z624" t="s">
        <v>12284</v>
      </c>
      <c r="AA624" t="s">
        <v>12285</v>
      </c>
      <c r="AB624" t="s">
        <v>12286</v>
      </c>
      <c r="AC624" t="s">
        <v>12287</v>
      </c>
      <c r="AD624" t="s">
        <v>12288</v>
      </c>
      <c r="AE624" t="s">
        <v>12289</v>
      </c>
      <c r="AF624" t="s">
        <v>74</v>
      </c>
      <c r="AG624">
        <v>90</v>
      </c>
      <c r="AH624">
        <v>1</v>
      </c>
      <c r="AI624">
        <v>1</v>
      </c>
      <c r="AJ624">
        <v>3</v>
      </c>
      <c r="AK624">
        <v>9</v>
      </c>
      <c r="AL624" t="s">
        <v>700</v>
      </c>
      <c r="AM624" t="s">
        <v>701</v>
      </c>
      <c r="AN624" t="s">
        <v>702</v>
      </c>
      <c r="AO624" t="s">
        <v>74</v>
      </c>
      <c r="AP624" t="s">
        <v>3098</v>
      </c>
      <c r="AQ624" t="s">
        <v>74</v>
      </c>
      <c r="AR624" t="s">
        <v>3099</v>
      </c>
      <c r="AS624" t="s">
        <v>3100</v>
      </c>
      <c r="AT624" t="s">
        <v>12237</v>
      </c>
      <c r="AU624">
        <v>2023</v>
      </c>
      <c r="AV624">
        <v>14</v>
      </c>
      <c r="AW624" t="s">
        <v>74</v>
      </c>
      <c r="AX624" t="s">
        <v>74</v>
      </c>
      <c r="AY624" t="s">
        <v>74</v>
      </c>
      <c r="AZ624" t="s">
        <v>74</v>
      </c>
      <c r="BA624" t="s">
        <v>74</v>
      </c>
      <c r="BB624" t="s">
        <v>74</v>
      </c>
      <c r="BC624" t="s">
        <v>74</v>
      </c>
      <c r="BD624">
        <v>1078469</v>
      </c>
      <c r="BE624" t="s">
        <v>12290</v>
      </c>
      <c r="BF624" t="str">
        <f>HYPERLINK("http://dx.doi.org/10.3389/fmicb.2023.1078469","http://dx.doi.org/10.3389/fmicb.2023.1078469")</f>
        <v>http://dx.doi.org/10.3389/fmicb.2023.1078469</v>
      </c>
      <c r="BG624" t="s">
        <v>74</v>
      </c>
      <c r="BH624" t="s">
        <v>74</v>
      </c>
      <c r="BI624">
        <v>13</v>
      </c>
      <c r="BJ624" t="s">
        <v>1387</v>
      </c>
      <c r="BK624" t="s">
        <v>103</v>
      </c>
      <c r="BL624" t="s">
        <v>1387</v>
      </c>
      <c r="BM624" t="s">
        <v>12291</v>
      </c>
      <c r="BN624">
        <v>36910225</v>
      </c>
      <c r="BO624" t="s">
        <v>136</v>
      </c>
      <c r="BP624" t="s">
        <v>74</v>
      </c>
      <c r="BQ624" t="s">
        <v>74</v>
      </c>
      <c r="BR624" t="s">
        <v>106</v>
      </c>
      <c r="BS624" t="s">
        <v>12292</v>
      </c>
      <c r="BT624" t="str">
        <f>HYPERLINK("https%3A%2F%2Fwww.webofscience.com%2Fwos%2Fwoscc%2Ffull-record%2FWOS:000945804200001","View Full Record in Web of Science")</f>
        <v>View Full Record in Web of Science</v>
      </c>
    </row>
    <row r="625" spans="1:72" x14ac:dyDescent="0.15">
      <c r="A625" t="s">
        <v>72</v>
      </c>
      <c r="B625" t="s">
        <v>12293</v>
      </c>
      <c r="C625" t="s">
        <v>74</v>
      </c>
      <c r="D625" t="s">
        <v>74</v>
      </c>
      <c r="E625" t="s">
        <v>74</v>
      </c>
      <c r="F625" t="s">
        <v>12294</v>
      </c>
      <c r="G625" t="s">
        <v>74</v>
      </c>
      <c r="H625" t="s">
        <v>74</v>
      </c>
      <c r="I625" t="s">
        <v>12295</v>
      </c>
      <c r="J625" t="s">
        <v>12296</v>
      </c>
      <c r="K625" t="s">
        <v>74</v>
      </c>
      <c r="L625" t="s">
        <v>74</v>
      </c>
      <c r="M625" t="s">
        <v>78</v>
      </c>
      <c r="N625" t="s">
        <v>112</v>
      </c>
      <c r="O625" t="s">
        <v>74</v>
      </c>
      <c r="P625" t="s">
        <v>74</v>
      </c>
      <c r="Q625" t="s">
        <v>74</v>
      </c>
      <c r="R625" t="s">
        <v>74</v>
      </c>
      <c r="S625" t="s">
        <v>74</v>
      </c>
      <c r="T625" t="s">
        <v>12297</v>
      </c>
      <c r="U625" t="s">
        <v>12298</v>
      </c>
      <c r="V625" t="s">
        <v>12299</v>
      </c>
      <c r="W625" t="s">
        <v>12300</v>
      </c>
      <c r="X625" t="s">
        <v>12301</v>
      </c>
      <c r="Y625" t="s">
        <v>12302</v>
      </c>
      <c r="Z625" t="s">
        <v>12303</v>
      </c>
      <c r="AA625" t="s">
        <v>12304</v>
      </c>
      <c r="AB625" t="s">
        <v>12305</v>
      </c>
      <c r="AC625" t="s">
        <v>12306</v>
      </c>
      <c r="AD625" t="s">
        <v>12307</v>
      </c>
      <c r="AE625" t="s">
        <v>12308</v>
      </c>
      <c r="AF625" t="s">
        <v>74</v>
      </c>
      <c r="AG625">
        <v>43</v>
      </c>
      <c r="AH625">
        <v>0</v>
      </c>
      <c r="AI625">
        <v>0</v>
      </c>
      <c r="AJ625">
        <v>6</v>
      </c>
      <c r="AK625">
        <v>10</v>
      </c>
      <c r="AL625" t="s">
        <v>700</v>
      </c>
      <c r="AM625" t="s">
        <v>701</v>
      </c>
      <c r="AN625" t="s">
        <v>702</v>
      </c>
      <c r="AO625" t="s">
        <v>12309</v>
      </c>
      <c r="AP625" t="s">
        <v>74</v>
      </c>
      <c r="AQ625" t="s">
        <v>74</v>
      </c>
      <c r="AR625" t="s">
        <v>12310</v>
      </c>
      <c r="AS625" t="s">
        <v>12311</v>
      </c>
      <c r="AT625" t="s">
        <v>12237</v>
      </c>
      <c r="AU625">
        <v>2023</v>
      </c>
      <c r="AV625">
        <v>10</v>
      </c>
      <c r="AW625" t="s">
        <v>74</v>
      </c>
      <c r="AX625" t="s">
        <v>74</v>
      </c>
      <c r="AY625" t="s">
        <v>74</v>
      </c>
      <c r="AZ625" t="s">
        <v>74</v>
      </c>
      <c r="BA625" t="s">
        <v>74</v>
      </c>
      <c r="BB625" t="s">
        <v>74</v>
      </c>
      <c r="BC625" t="s">
        <v>74</v>
      </c>
      <c r="BD625">
        <v>1135509</v>
      </c>
      <c r="BE625" t="s">
        <v>12312</v>
      </c>
      <c r="BF625" t="str">
        <f>HYPERLINK("http://dx.doi.org/10.3389/fspas.2023.1135509","http://dx.doi.org/10.3389/fspas.2023.1135509")</f>
        <v>http://dx.doi.org/10.3389/fspas.2023.1135509</v>
      </c>
      <c r="BG625" t="s">
        <v>74</v>
      </c>
      <c r="BH625" t="s">
        <v>74</v>
      </c>
      <c r="BI625">
        <v>9</v>
      </c>
      <c r="BJ625" t="s">
        <v>159</v>
      </c>
      <c r="BK625" t="s">
        <v>103</v>
      </c>
      <c r="BL625" t="s">
        <v>159</v>
      </c>
      <c r="BM625" t="s">
        <v>12313</v>
      </c>
      <c r="BN625" t="s">
        <v>74</v>
      </c>
      <c r="BO625" t="s">
        <v>162</v>
      </c>
      <c r="BP625" t="s">
        <v>74</v>
      </c>
      <c r="BQ625" t="s">
        <v>74</v>
      </c>
      <c r="BR625" t="s">
        <v>106</v>
      </c>
      <c r="BS625" t="s">
        <v>12314</v>
      </c>
      <c r="BT625" t="str">
        <f>HYPERLINK("https%3A%2F%2Fwww.webofscience.com%2Fwos%2Fwoscc%2Ffull-record%2FWOS:000946226300001","View Full Record in Web of Science")</f>
        <v>View Full Record in Web of Science</v>
      </c>
    </row>
    <row r="626" spans="1:72" x14ac:dyDescent="0.15">
      <c r="A626" t="s">
        <v>72</v>
      </c>
      <c r="B626" t="s">
        <v>12315</v>
      </c>
      <c r="C626" t="s">
        <v>74</v>
      </c>
      <c r="D626" t="s">
        <v>74</v>
      </c>
      <c r="E626" t="s">
        <v>74</v>
      </c>
      <c r="F626" t="s">
        <v>12316</v>
      </c>
      <c r="G626" t="s">
        <v>74</v>
      </c>
      <c r="H626" t="s">
        <v>74</v>
      </c>
      <c r="I626" t="s">
        <v>12317</v>
      </c>
      <c r="J626" t="s">
        <v>11745</v>
      </c>
      <c r="K626" t="s">
        <v>74</v>
      </c>
      <c r="L626" t="s">
        <v>74</v>
      </c>
      <c r="M626" t="s">
        <v>78</v>
      </c>
      <c r="N626" t="s">
        <v>112</v>
      </c>
      <c r="O626" t="s">
        <v>74</v>
      </c>
      <c r="P626" t="s">
        <v>74</v>
      </c>
      <c r="Q626" t="s">
        <v>74</v>
      </c>
      <c r="R626" t="s">
        <v>74</v>
      </c>
      <c r="S626" t="s">
        <v>74</v>
      </c>
      <c r="T626" t="s">
        <v>12318</v>
      </c>
      <c r="U626" t="s">
        <v>12319</v>
      </c>
      <c r="V626" t="s">
        <v>12320</v>
      </c>
      <c r="W626" t="s">
        <v>12321</v>
      </c>
      <c r="X626" t="s">
        <v>12322</v>
      </c>
      <c r="Y626" t="s">
        <v>12323</v>
      </c>
      <c r="Z626" t="s">
        <v>12324</v>
      </c>
      <c r="AA626" t="s">
        <v>12325</v>
      </c>
      <c r="AB626" t="s">
        <v>12326</v>
      </c>
      <c r="AC626" t="s">
        <v>12327</v>
      </c>
      <c r="AD626" t="s">
        <v>12328</v>
      </c>
      <c r="AE626" t="s">
        <v>12329</v>
      </c>
      <c r="AF626" t="s">
        <v>74</v>
      </c>
      <c r="AG626">
        <v>83</v>
      </c>
      <c r="AH626">
        <v>2</v>
      </c>
      <c r="AI626">
        <v>3</v>
      </c>
      <c r="AJ626">
        <v>16</v>
      </c>
      <c r="AK626">
        <v>39</v>
      </c>
      <c r="AL626" t="s">
        <v>1599</v>
      </c>
      <c r="AM626" t="s">
        <v>306</v>
      </c>
      <c r="AN626" t="s">
        <v>1600</v>
      </c>
      <c r="AO626" t="s">
        <v>11758</v>
      </c>
      <c r="AP626" t="s">
        <v>74</v>
      </c>
      <c r="AQ626" t="s">
        <v>74</v>
      </c>
      <c r="AR626" t="s">
        <v>11745</v>
      </c>
      <c r="AS626" t="s">
        <v>11759</v>
      </c>
      <c r="AT626" t="s">
        <v>886</v>
      </c>
      <c r="AU626">
        <v>2023</v>
      </c>
      <c r="AV626">
        <v>8</v>
      </c>
      <c r="AW626">
        <v>2</v>
      </c>
      <c r="AX626" t="s">
        <v>74</v>
      </c>
      <c r="AY626" t="s">
        <v>74</v>
      </c>
      <c r="AZ626" t="s">
        <v>74</v>
      </c>
      <c r="BA626" t="s">
        <v>74</v>
      </c>
      <c r="BB626" t="s">
        <v>74</v>
      </c>
      <c r="BC626" t="s">
        <v>74</v>
      </c>
      <c r="BD626" t="s">
        <v>74</v>
      </c>
      <c r="BE626" t="s">
        <v>12330</v>
      </c>
      <c r="BF626" t="str">
        <f>HYPERLINK("http://dx.doi.org/10.1128/msystems.01211-22","http://dx.doi.org/10.1128/msystems.01211-22")</f>
        <v>http://dx.doi.org/10.1128/msystems.01211-22</v>
      </c>
      <c r="BG626" t="s">
        <v>74</v>
      </c>
      <c r="BH626" t="s">
        <v>11628</v>
      </c>
      <c r="BI626">
        <v>14</v>
      </c>
      <c r="BJ626" t="s">
        <v>1387</v>
      </c>
      <c r="BK626" t="s">
        <v>103</v>
      </c>
      <c r="BL626" t="s">
        <v>1387</v>
      </c>
      <c r="BM626" t="s">
        <v>11761</v>
      </c>
      <c r="BN626">
        <v>36815859</v>
      </c>
      <c r="BO626" t="s">
        <v>136</v>
      </c>
      <c r="BP626" t="s">
        <v>74</v>
      </c>
      <c r="BQ626" t="s">
        <v>74</v>
      </c>
      <c r="BR626" t="s">
        <v>106</v>
      </c>
      <c r="BS626" t="s">
        <v>12331</v>
      </c>
      <c r="BT626" t="str">
        <f>HYPERLINK("https%3A%2F%2Fwww.webofscience.com%2Fwos%2Fwoscc%2Ffull-record%2FWOS:000937495400001","View Full Record in Web of Science")</f>
        <v>View Full Record in Web of Science</v>
      </c>
    </row>
    <row r="627" spans="1:72" x14ac:dyDescent="0.15">
      <c r="A627" t="s">
        <v>72</v>
      </c>
      <c r="B627" t="s">
        <v>12332</v>
      </c>
      <c r="C627" t="s">
        <v>74</v>
      </c>
      <c r="D627" t="s">
        <v>74</v>
      </c>
      <c r="E627" t="s">
        <v>74</v>
      </c>
      <c r="F627" t="s">
        <v>12333</v>
      </c>
      <c r="G627" t="s">
        <v>74</v>
      </c>
      <c r="H627" t="s">
        <v>74</v>
      </c>
      <c r="I627" t="s">
        <v>12334</v>
      </c>
      <c r="J627" t="s">
        <v>9947</v>
      </c>
      <c r="K627" t="s">
        <v>74</v>
      </c>
      <c r="L627" t="s">
        <v>74</v>
      </c>
      <c r="M627" t="s">
        <v>78</v>
      </c>
      <c r="N627" t="s">
        <v>112</v>
      </c>
      <c r="O627" t="s">
        <v>74</v>
      </c>
      <c r="P627" t="s">
        <v>74</v>
      </c>
      <c r="Q627" t="s">
        <v>74</v>
      </c>
      <c r="R627" t="s">
        <v>74</v>
      </c>
      <c r="S627" t="s">
        <v>74</v>
      </c>
      <c r="T627" t="s">
        <v>74</v>
      </c>
      <c r="U627" t="s">
        <v>12335</v>
      </c>
      <c r="V627" t="s">
        <v>12336</v>
      </c>
      <c r="W627" t="s">
        <v>12337</v>
      </c>
      <c r="X627" t="s">
        <v>12338</v>
      </c>
      <c r="Y627" t="s">
        <v>12339</v>
      </c>
      <c r="Z627" t="s">
        <v>12340</v>
      </c>
      <c r="AA627" t="s">
        <v>12341</v>
      </c>
      <c r="AB627" t="s">
        <v>12342</v>
      </c>
      <c r="AC627" t="s">
        <v>12343</v>
      </c>
      <c r="AD627" t="s">
        <v>12344</v>
      </c>
      <c r="AE627" t="s">
        <v>12345</v>
      </c>
      <c r="AF627" t="s">
        <v>74</v>
      </c>
      <c r="AG627">
        <v>75</v>
      </c>
      <c r="AH627">
        <v>2</v>
      </c>
      <c r="AI627">
        <v>2</v>
      </c>
      <c r="AJ627">
        <v>1</v>
      </c>
      <c r="AK627">
        <v>1</v>
      </c>
      <c r="AL627" t="s">
        <v>794</v>
      </c>
      <c r="AM627" t="s">
        <v>795</v>
      </c>
      <c r="AN627" t="s">
        <v>796</v>
      </c>
      <c r="AO627" t="s">
        <v>9956</v>
      </c>
      <c r="AP627" t="s">
        <v>9957</v>
      </c>
      <c r="AQ627" t="s">
        <v>74</v>
      </c>
      <c r="AR627" t="s">
        <v>9958</v>
      </c>
      <c r="AS627" t="s">
        <v>9959</v>
      </c>
      <c r="AT627" t="s">
        <v>12237</v>
      </c>
      <c r="AU627">
        <v>2023</v>
      </c>
      <c r="AV627">
        <v>16</v>
      </c>
      <c r="AW627">
        <v>4</v>
      </c>
      <c r="AX627" t="s">
        <v>74</v>
      </c>
      <c r="AY627" t="s">
        <v>74</v>
      </c>
      <c r="AZ627" t="s">
        <v>74</v>
      </c>
      <c r="BA627" t="s">
        <v>74</v>
      </c>
      <c r="BB627">
        <v>1297</v>
      </c>
      <c r="BC627">
        <v>1314</v>
      </c>
      <c r="BD627" t="s">
        <v>74</v>
      </c>
      <c r="BE627" t="s">
        <v>12346</v>
      </c>
      <c r="BF627" t="str">
        <f>HYPERLINK("http://dx.doi.org/10.5194/gmd-16-1297-2023","http://dx.doi.org/10.5194/gmd-16-1297-2023")</f>
        <v>http://dx.doi.org/10.5194/gmd-16-1297-2023</v>
      </c>
      <c r="BG627" t="s">
        <v>74</v>
      </c>
      <c r="BH627" t="s">
        <v>74</v>
      </c>
      <c r="BI627">
        <v>18</v>
      </c>
      <c r="BJ627" t="s">
        <v>261</v>
      </c>
      <c r="BK627" t="s">
        <v>103</v>
      </c>
      <c r="BL627" t="s">
        <v>262</v>
      </c>
      <c r="BM627" t="s">
        <v>12347</v>
      </c>
      <c r="BN627" t="s">
        <v>74</v>
      </c>
      <c r="BO627" t="s">
        <v>2600</v>
      </c>
      <c r="BP627" t="s">
        <v>74</v>
      </c>
      <c r="BQ627" t="s">
        <v>74</v>
      </c>
      <c r="BR627" t="s">
        <v>106</v>
      </c>
      <c r="BS627" t="s">
        <v>12348</v>
      </c>
      <c r="BT627" t="str">
        <f>HYPERLINK("https%3A%2F%2Fwww.webofscience.com%2Fwos%2Fwoscc%2Ffull-record%2FWOS:000937129900001","View Full Record in Web of Science")</f>
        <v>View Full Record in Web of Science</v>
      </c>
    </row>
    <row r="628" spans="1:72" x14ac:dyDescent="0.15">
      <c r="A628" t="s">
        <v>72</v>
      </c>
      <c r="B628" t="s">
        <v>12349</v>
      </c>
      <c r="C628" t="s">
        <v>74</v>
      </c>
      <c r="D628" t="s">
        <v>74</v>
      </c>
      <c r="E628" t="s">
        <v>74</v>
      </c>
      <c r="F628" t="s">
        <v>12350</v>
      </c>
      <c r="G628" t="s">
        <v>74</v>
      </c>
      <c r="H628" t="s">
        <v>74</v>
      </c>
      <c r="I628" t="s">
        <v>12351</v>
      </c>
      <c r="J628" t="s">
        <v>435</v>
      </c>
      <c r="K628" t="s">
        <v>74</v>
      </c>
      <c r="L628" t="s">
        <v>74</v>
      </c>
      <c r="M628" t="s">
        <v>78</v>
      </c>
      <c r="N628" t="s">
        <v>112</v>
      </c>
      <c r="O628" t="s">
        <v>74</v>
      </c>
      <c r="P628" t="s">
        <v>74</v>
      </c>
      <c r="Q628" t="s">
        <v>74</v>
      </c>
      <c r="R628" t="s">
        <v>74</v>
      </c>
      <c r="S628" t="s">
        <v>74</v>
      </c>
      <c r="T628" t="s">
        <v>12352</v>
      </c>
      <c r="U628" t="s">
        <v>12353</v>
      </c>
      <c r="V628" t="s">
        <v>12354</v>
      </c>
      <c r="W628" t="s">
        <v>12355</v>
      </c>
      <c r="X628" t="s">
        <v>12356</v>
      </c>
      <c r="Y628" t="s">
        <v>12357</v>
      </c>
      <c r="Z628" t="s">
        <v>12358</v>
      </c>
      <c r="AA628" t="s">
        <v>12359</v>
      </c>
      <c r="AB628" t="s">
        <v>12360</v>
      </c>
      <c r="AC628" t="s">
        <v>12361</v>
      </c>
      <c r="AD628" t="s">
        <v>12362</v>
      </c>
      <c r="AE628" t="s">
        <v>12363</v>
      </c>
      <c r="AF628" t="s">
        <v>74</v>
      </c>
      <c r="AG628">
        <v>99</v>
      </c>
      <c r="AH628">
        <v>5</v>
      </c>
      <c r="AI628">
        <v>5</v>
      </c>
      <c r="AJ628">
        <v>18</v>
      </c>
      <c r="AK628">
        <v>31</v>
      </c>
      <c r="AL628" t="s">
        <v>447</v>
      </c>
      <c r="AM628" t="s">
        <v>448</v>
      </c>
      <c r="AN628" t="s">
        <v>449</v>
      </c>
      <c r="AO628" t="s">
        <v>450</v>
      </c>
      <c r="AP628" t="s">
        <v>451</v>
      </c>
      <c r="AQ628" t="s">
        <v>74</v>
      </c>
      <c r="AR628" t="s">
        <v>452</v>
      </c>
      <c r="AS628" t="s">
        <v>453</v>
      </c>
      <c r="AT628" t="s">
        <v>4546</v>
      </c>
      <c r="AU628">
        <v>2023</v>
      </c>
      <c r="AV628">
        <v>615</v>
      </c>
      <c r="AW628" t="s">
        <v>74</v>
      </c>
      <c r="AX628" t="s">
        <v>74</v>
      </c>
      <c r="AY628" t="s">
        <v>74</v>
      </c>
      <c r="AZ628" t="s">
        <v>74</v>
      </c>
      <c r="BA628" t="s">
        <v>74</v>
      </c>
      <c r="BB628" t="s">
        <v>74</v>
      </c>
      <c r="BC628" t="s">
        <v>74</v>
      </c>
      <c r="BD628">
        <v>111436</v>
      </c>
      <c r="BE628" t="s">
        <v>12364</v>
      </c>
      <c r="BF628" t="str">
        <f>HYPERLINK("http://dx.doi.org/10.1016/j.palaeo.2023.111436","http://dx.doi.org/10.1016/j.palaeo.2023.111436")</f>
        <v>http://dx.doi.org/10.1016/j.palaeo.2023.111436</v>
      </c>
      <c r="BG628" t="s">
        <v>74</v>
      </c>
      <c r="BH628" t="s">
        <v>11628</v>
      </c>
      <c r="BI628">
        <v>15</v>
      </c>
      <c r="BJ628" t="s">
        <v>456</v>
      </c>
      <c r="BK628" t="s">
        <v>103</v>
      </c>
      <c r="BL628" t="s">
        <v>457</v>
      </c>
      <c r="BM628" t="s">
        <v>12365</v>
      </c>
      <c r="BN628" t="s">
        <v>74</v>
      </c>
      <c r="BO628" t="s">
        <v>74</v>
      </c>
      <c r="BP628" t="s">
        <v>74</v>
      </c>
      <c r="BQ628" t="s">
        <v>74</v>
      </c>
      <c r="BR628" t="s">
        <v>106</v>
      </c>
      <c r="BS628" t="s">
        <v>12366</v>
      </c>
      <c r="BT628" t="str">
        <f>HYPERLINK("https%3A%2F%2Fwww.webofscience.com%2Fwos%2Fwoscc%2Ffull-record%2FWOS:000995182100001","View Full Record in Web of Science")</f>
        <v>View Full Record in Web of Science</v>
      </c>
    </row>
    <row r="629" spans="1:72" x14ac:dyDescent="0.15">
      <c r="A629" t="s">
        <v>72</v>
      </c>
      <c r="B629" t="s">
        <v>12367</v>
      </c>
      <c r="C629" t="s">
        <v>74</v>
      </c>
      <c r="D629" t="s">
        <v>74</v>
      </c>
      <c r="E629" t="s">
        <v>74</v>
      </c>
      <c r="F629" t="s">
        <v>12368</v>
      </c>
      <c r="G629" t="s">
        <v>74</v>
      </c>
      <c r="H629" t="s">
        <v>74</v>
      </c>
      <c r="I629" t="s">
        <v>12369</v>
      </c>
      <c r="J629" t="s">
        <v>6166</v>
      </c>
      <c r="K629" t="s">
        <v>74</v>
      </c>
      <c r="L629" t="s">
        <v>74</v>
      </c>
      <c r="M629" t="s">
        <v>78</v>
      </c>
      <c r="N629" t="s">
        <v>112</v>
      </c>
      <c r="O629" t="s">
        <v>74</v>
      </c>
      <c r="P629" t="s">
        <v>74</v>
      </c>
      <c r="Q629" t="s">
        <v>74</v>
      </c>
      <c r="R629" t="s">
        <v>74</v>
      </c>
      <c r="S629" t="s">
        <v>74</v>
      </c>
      <c r="T629" t="s">
        <v>12370</v>
      </c>
      <c r="U629" t="s">
        <v>12371</v>
      </c>
      <c r="V629" t="s">
        <v>12372</v>
      </c>
      <c r="W629" t="s">
        <v>12373</v>
      </c>
      <c r="X629" t="s">
        <v>12374</v>
      </c>
      <c r="Y629" t="s">
        <v>12375</v>
      </c>
      <c r="Z629" t="s">
        <v>12376</v>
      </c>
      <c r="AA629" t="s">
        <v>12377</v>
      </c>
      <c r="AB629" t="s">
        <v>12378</v>
      </c>
      <c r="AC629" t="s">
        <v>12379</v>
      </c>
      <c r="AD629" t="s">
        <v>12380</v>
      </c>
      <c r="AE629" t="s">
        <v>12381</v>
      </c>
      <c r="AF629" t="s">
        <v>74</v>
      </c>
      <c r="AG629">
        <v>63</v>
      </c>
      <c r="AH629">
        <v>0</v>
      </c>
      <c r="AI629">
        <v>0</v>
      </c>
      <c r="AJ629">
        <v>3</v>
      </c>
      <c r="AK629">
        <v>5</v>
      </c>
      <c r="AL629" t="s">
        <v>2116</v>
      </c>
      <c r="AM629" t="s">
        <v>226</v>
      </c>
      <c r="AN629" t="s">
        <v>2117</v>
      </c>
      <c r="AO629" t="s">
        <v>6179</v>
      </c>
      <c r="AP629" t="s">
        <v>6180</v>
      </c>
      <c r="AQ629" t="s">
        <v>74</v>
      </c>
      <c r="AR629" t="s">
        <v>6181</v>
      </c>
      <c r="AS629" t="s">
        <v>6182</v>
      </c>
      <c r="AT629" t="s">
        <v>12382</v>
      </c>
      <c r="AU629">
        <v>2023</v>
      </c>
      <c r="AV629">
        <v>520</v>
      </c>
      <c r="AW629">
        <v>4</v>
      </c>
      <c r="AX629" t="s">
        <v>74</v>
      </c>
      <c r="AY629" t="s">
        <v>74</v>
      </c>
      <c r="AZ629" t="s">
        <v>74</v>
      </c>
      <c r="BA629" t="s">
        <v>74</v>
      </c>
      <c r="BB629">
        <v>5635</v>
      </c>
      <c r="BC629">
        <v>5650</v>
      </c>
      <c r="BD629" t="s">
        <v>74</v>
      </c>
      <c r="BE629" t="s">
        <v>12383</v>
      </c>
      <c r="BF629" t="str">
        <f>HYPERLINK("http://dx.doi.org/10.1093/mnras/stad498","http://dx.doi.org/10.1093/mnras/stad498")</f>
        <v>http://dx.doi.org/10.1093/mnras/stad498</v>
      </c>
      <c r="BG629" t="s">
        <v>74</v>
      </c>
      <c r="BH629" t="s">
        <v>74</v>
      </c>
      <c r="BI629">
        <v>16</v>
      </c>
      <c r="BJ629" t="s">
        <v>159</v>
      </c>
      <c r="BK629" t="s">
        <v>103</v>
      </c>
      <c r="BL629" t="s">
        <v>159</v>
      </c>
      <c r="BM629" t="s">
        <v>12384</v>
      </c>
      <c r="BN629" t="s">
        <v>74</v>
      </c>
      <c r="BO629" t="s">
        <v>1389</v>
      </c>
      <c r="BP629" t="s">
        <v>74</v>
      </c>
      <c r="BQ629" t="s">
        <v>74</v>
      </c>
      <c r="BR629" t="s">
        <v>106</v>
      </c>
      <c r="BS629" t="s">
        <v>12385</v>
      </c>
      <c r="BT629" t="str">
        <f>HYPERLINK("https%3A%2F%2Fwww.webofscience.com%2Fwos%2Fwoscc%2Ffull-record%2FWOS:000951346200002","View Full Record in Web of Science")</f>
        <v>View Full Record in Web of Science</v>
      </c>
    </row>
    <row r="630" spans="1:72" x14ac:dyDescent="0.15">
      <c r="A630" t="s">
        <v>72</v>
      </c>
      <c r="B630" t="s">
        <v>12386</v>
      </c>
      <c r="C630" t="s">
        <v>74</v>
      </c>
      <c r="D630" t="s">
        <v>74</v>
      </c>
      <c r="E630" t="s">
        <v>74</v>
      </c>
      <c r="F630" t="s">
        <v>12387</v>
      </c>
      <c r="G630" t="s">
        <v>74</v>
      </c>
      <c r="H630" t="s">
        <v>74</v>
      </c>
      <c r="I630" t="s">
        <v>12388</v>
      </c>
      <c r="J630" t="s">
        <v>12389</v>
      </c>
      <c r="K630" t="s">
        <v>74</v>
      </c>
      <c r="L630" t="s">
        <v>74</v>
      </c>
      <c r="M630" t="s">
        <v>78</v>
      </c>
      <c r="N630" t="s">
        <v>112</v>
      </c>
      <c r="O630" t="s">
        <v>74</v>
      </c>
      <c r="P630" t="s">
        <v>74</v>
      </c>
      <c r="Q630" t="s">
        <v>74</v>
      </c>
      <c r="R630" t="s">
        <v>74</v>
      </c>
      <c r="S630" t="s">
        <v>74</v>
      </c>
      <c r="T630" t="s">
        <v>12390</v>
      </c>
      <c r="U630" t="s">
        <v>74</v>
      </c>
      <c r="V630" t="s">
        <v>12391</v>
      </c>
      <c r="W630" t="s">
        <v>12392</v>
      </c>
      <c r="X630" t="s">
        <v>12393</v>
      </c>
      <c r="Y630" t="s">
        <v>12394</v>
      </c>
      <c r="Z630" t="s">
        <v>12395</v>
      </c>
      <c r="AA630" t="s">
        <v>74</v>
      </c>
      <c r="AB630" t="s">
        <v>12396</v>
      </c>
      <c r="AC630" t="s">
        <v>12397</v>
      </c>
      <c r="AD630" t="s">
        <v>12398</v>
      </c>
      <c r="AE630" t="s">
        <v>12399</v>
      </c>
      <c r="AF630" t="s">
        <v>74</v>
      </c>
      <c r="AG630">
        <v>25</v>
      </c>
      <c r="AH630">
        <v>1</v>
      </c>
      <c r="AI630">
        <v>2</v>
      </c>
      <c r="AJ630">
        <v>2</v>
      </c>
      <c r="AK630">
        <v>8</v>
      </c>
      <c r="AL630" t="s">
        <v>225</v>
      </c>
      <c r="AM630" t="s">
        <v>226</v>
      </c>
      <c r="AN630" t="s">
        <v>227</v>
      </c>
      <c r="AO630" t="s">
        <v>12400</v>
      </c>
      <c r="AP630" t="s">
        <v>12401</v>
      </c>
      <c r="AQ630" t="s">
        <v>74</v>
      </c>
      <c r="AR630" t="s">
        <v>12402</v>
      </c>
      <c r="AS630" t="s">
        <v>12403</v>
      </c>
      <c r="AT630" t="s">
        <v>4546</v>
      </c>
      <c r="AU630">
        <v>2023</v>
      </c>
      <c r="AV630">
        <v>273</v>
      </c>
      <c r="AW630" t="s">
        <v>74</v>
      </c>
      <c r="AX630" t="s">
        <v>74</v>
      </c>
      <c r="AY630" t="s">
        <v>74</v>
      </c>
      <c r="AZ630" t="s">
        <v>74</v>
      </c>
      <c r="BA630" t="s">
        <v>74</v>
      </c>
      <c r="BB630" t="s">
        <v>74</v>
      </c>
      <c r="BC630" t="s">
        <v>74</v>
      </c>
      <c r="BD630">
        <v>113992</v>
      </c>
      <c r="BE630" t="s">
        <v>12404</v>
      </c>
      <c r="BF630" t="str">
        <f>HYPERLINK("http://dx.doi.org/10.1016/j.oceaneng.2023.113992","http://dx.doi.org/10.1016/j.oceaneng.2023.113992")</f>
        <v>http://dx.doi.org/10.1016/j.oceaneng.2023.113992</v>
      </c>
      <c r="BG630" t="s">
        <v>74</v>
      </c>
      <c r="BH630" t="s">
        <v>11628</v>
      </c>
      <c r="BI630">
        <v>15</v>
      </c>
      <c r="BJ630" t="s">
        <v>12405</v>
      </c>
      <c r="BK630" t="s">
        <v>103</v>
      </c>
      <c r="BL630" t="s">
        <v>134</v>
      </c>
      <c r="BM630" t="s">
        <v>12406</v>
      </c>
      <c r="BN630" t="s">
        <v>74</v>
      </c>
      <c r="BO630" t="s">
        <v>387</v>
      </c>
      <c r="BP630" t="s">
        <v>74</v>
      </c>
      <c r="BQ630" t="s">
        <v>74</v>
      </c>
      <c r="BR630" t="s">
        <v>106</v>
      </c>
      <c r="BS630" t="s">
        <v>12407</v>
      </c>
      <c r="BT630" t="str">
        <f>HYPERLINK("https%3A%2F%2Fwww.webofscience.com%2Fwos%2Fwoscc%2Ffull-record%2FWOS:000948557100001","View Full Record in Web of Science")</f>
        <v>View Full Record in Web of Science</v>
      </c>
    </row>
    <row r="631" spans="1:72" x14ac:dyDescent="0.15">
      <c r="A631" t="s">
        <v>72</v>
      </c>
      <c r="B631" t="s">
        <v>12408</v>
      </c>
      <c r="C631" t="s">
        <v>74</v>
      </c>
      <c r="D631" t="s">
        <v>74</v>
      </c>
      <c r="E631" t="s">
        <v>74</v>
      </c>
      <c r="F631" t="s">
        <v>12409</v>
      </c>
      <c r="G631" t="s">
        <v>74</v>
      </c>
      <c r="H631" t="s">
        <v>74</v>
      </c>
      <c r="I631" t="s">
        <v>12410</v>
      </c>
      <c r="J631" t="s">
        <v>12411</v>
      </c>
      <c r="K631" t="s">
        <v>74</v>
      </c>
      <c r="L631" t="s">
        <v>74</v>
      </c>
      <c r="M631" t="s">
        <v>78</v>
      </c>
      <c r="N631" t="s">
        <v>365</v>
      </c>
      <c r="O631" t="s">
        <v>74</v>
      </c>
      <c r="P631" t="s">
        <v>74</v>
      </c>
      <c r="Q631" t="s">
        <v>74</v>
      </c>
      <c r="R631" t="s">
        <v>74</v>
      </c>
      <c r="S631" t="s">
        <v>74</v>
      </c>
      <c r="T631" t="s">
        <v>74</v>
      </c>
      <c r="U631" t="s">
        <v>12412</v>
      </c>
      <c r="V631" t="s">
        <v>12413</v>
      </c>
      <c r="W631" t="s">
        <v>12414</v>
      </c>
      <c r="X631" t="s">
        <v>12415</v>
      </c>
      <c r="Y631" t="s">
        <v>12416</v>
      </c>
      <c r="Z631" t="s">
        <v>12417</v>
      </c>
      <c r="AA631" t="s">
        <v>12418</v>
      </c>
      <c r="AB631" t="s">
        <v>12419</v>
      </c>
      <c r="AC631" t="s">
        <v>12420</v>
      </c>
      <c r="AD631" t="s">
        <v>12421</v>
      </c>
      <c r="AE631" t="s">
        <v>12422</v>
      </c>
      <c r="AF631" t="s">
        <v>74</v>
      </c>
      <c r="AG631">
        <v>47</v>
      </c>
      <c r="AH631">
        <v>3</v>
      </c>
      <c r="AI631">
        <v>3</v>
      </c>
      <c r="AJ631">
        <v>0</v>
      </c>
      <c r="AK631">
        <v>1</v>
      </c>
      <c r="AL631" t="s">
        <v>447</v>
      </c>
      <c r="AM631" t="s">
        <v>448</v>
      </c>
      <c r="AN631" t="s">
        <v>449</v>
      </c>
      <c r="AO631" t="s">
        <v>12423</v>
      </c>
      <c r="AP631" t="s">
        <v>74</v>
      </c>
      <c r="AQ631" t="s">
        <v>74</v>
      </c>
      <c r="AR631" t="s">
        <v>12424</v>
      </c>
      <c r="AS631" t="s">
        <v>12425</v>
      </c>
      <c r="AT631" t="s">
        <v>1437</v>
      </c>
      <c r="AU631">
        <v>2023</v>
      </c>
      <c r="AV631">
        <v>10</v>
      </c>
      <c r="AW631" t="s">
        <v>74</v>
      </c>
      <c r="AX631" t="s">
        <v>74</v>
      </c>
      <c r="AY631" t="s">
        <v>74</v>
      </c>
      <c r="AZ631" t="s">
        <v>74</v>
      </c>
      <c r="BA631" t="s">
        <v>74</v>
      </c>
      <c r="BB631" t="s">
        <v>74</v>
      </c>
      <c r="BC631" t="s">
        <v>74</v>
      </c>
      <c r="BD631">
        <v>100079</v>
      </c>
      <c r="BE631" t="s">
        <v>12426</v>
      </c>
      <c r="BF631" t="str">
        <f>HYPERLINK("http://dx.doi.org/10.1016/j.qsa.2023.100079","http://dx.doi.org/10.1016/j.qsa.2023.100079")</f>
        <v>http://dx.doi.org/10.1016/j.qsa.2023.100079</v>
      </c>
      <c r="BG631" t="s">
        <v>74</v>
      </c>
      <c r="BH631" t="s">
        <v>11628</v>
      </c>
      <c r="BI631">
        <v>11</v>
      </c>
      <c r="BJ631" t="s">
        <v>801</v>
      </c>
      <c r="BK631" t="s">
        <v>160</v>
      </c>
      <c r="BL631" t="s">
        <v>802</v>
      </c>
      <c r="BM631" t="s">
        <v>12427</v>
      </c>
      <c r="BN631" t="s">
        <v>74</v>
      </c>
      <c r="BO631" t="s">
        <v>359</v>
      </c>
      <c r="BP631" t="s">
        <v>74</v>
      </c>
      <c r="BQ631" t="s">
        <v>74</v>
      </c>
      <c r="BR631" t="s">
        <v>106</v>
      </c>
      <c r="BS631" t="s">
        <v>12428</v>
      </c>
      <c r="BT631" t="str">
        <f>HYPERLINK("https%3A%2F%2Fwww.webofscience.com%2Fwos%2Fwoscc%2Ffull-record%2FWOS:000948310300001","View Full Record in Web of Science")</f>
        <v>View Full Record in Web of Science</v>
      </c>
    </row>
    <row r="632" spans="1:72" x14ac:dyDescent="0.15">
      <c r="A632" t="s">
        <v>72</v>
      </c>
      <c r="B632" t="s">
        <v>12429</v>
      </c>
      <c r="C632" t="s">
        <v>74</v>
      </c>
      <c r="D632" t="s">
        <v>74</v>
      </c>
      <c r="E632" t="s">
        <v>74</v>
      </c>
      <c r="F632" t="s">
        <v>12430</v>
      </c>
      <c r="G632" t="s">
        <v>74</v>
      </c>
      <c r="H632" t="s">
        <v>74</v>
      </c>
      <c r="I632" t="s">
        <v>12431</v>
      </c>
      <c r="J632" t="s">
        <v>1946</v>
      </c>
      <c r="K632" t="s">
        <v>74</v>
      </c>
      <c r="L632" t="s">
        <v>74</v>
      </c>
      <c r="M632" t="s">
        <v>78</v>
      </c>
      <c r="N632" t="s">
        <v>112</v>
      </c>
      <c r="O632" t="s">
        <v>74</v>
      </c>
      <c r="P632" t="s">
        <v>74</v>
      </c>
      <c r="Q632" t="s">
        <v>74</v>
      </c>
      <c r="R632" t="s">
        <v>74</v>
      </c>
      <c r="S632" t="s">
        <v>74</v>
      </c>
      <c r="T632" t="s">
        <v>12432</v>
      </c>
      <c r="U632" t="s">
        <v>12433</v>
      </c>
      <c r="V632" t="s">
        <v>12434</v>
      </c>
      <c r="W632" t="s">
        <v>12435</v>
      </c>
      <c r="X632" t="s">
        <v>12436</v>
      </c>
      <c r="Y632" t="s">
        <v>12437</v>
      </c>
      <c r="Z632" t="s">
        <v>12438</v>
      </c>
      <c r="AA632" t="s">
        <v>74</v>
      </c>
      <c r="AB632" t="s">
        <v>12439</v>
      </c>
      <c r="AC632" t="s">
        <v>12440</v>
      </c>
      <c r="AD632" t="s">
        <v>12441</v>
      </c>
      <c r="AE632" t="s">
        <v>12442</v>
      </c>
      <c r="AF632" t="s">
        <v>74</v>
      </c>
      <c r="AG632">
        <v>59</v>
      </c>
      <c r="AH632">
        <v>2</v>
      </c>
      <c r="AI632">
        <v>2</v>
      </c>
      <c r="AJ632">
        <v>10</v>
      </c>
      <c r="AK632">
        <v>20</v>
      </c>
      <c r="AL632" t="s">
        <v>447</v>
      </c>
      <c r="AM632" t="s">
        <v>448</v>
      </c>
      <c r="AN632" t="s">
        <v>449</v>
      </c>
      <c r="AO632" t="s">
        <v>1956</v>
      </c>
      <c r="AP632" t="s">
        <v>1957</v>
      </c>
      <c r="AQ632" t="s">
        <v>74</v>
      </c>
      <c r="AR632" t="s">
        <v>1958</v>
      </c>
      <c r="AS632" t="s">
        <v>1959</v>
      </c>
      <c r="AT632" t="s">
        <v>8042</v>
      </c>
      <c r="AU632">
        <v>2023</v>
      </c>
      <c r="AV632">
        <v>222</v>
      </c>
      <c r="AW632" t="s">
        <v>74</v>
      </c>
      <c r="AX632" t="s">
        <v>74</v>
      </c>
      <c r="AY632" t="s">
        <v>74</v>
      </c>
      <c r="AZ632" t="s">
        <v>74</v>
      </c>
      <c r="BA632" t="s">
        <v>74</v>
      </c>
      <c r="BB632" t="s">
        <v>74</v>
      </c>
      <c r="BC632" t="s">
        <v>74</v>
      </c>
      <c r="BD632">
        <v>104072</v>
      </c>
      <c r="BE632" t="s">
        <v>12443</v>
      </c>
      <c r="BF632" t="str">
        <f>HYPERLINK("http://dx.doi.org/10.1016/j.gloplacha.2023.104072","http://dx.doi.org/10.1016/j.gloplacha.2023.104072")</f>
        <v>http://dx.doi.org/10.1016/j.gloplacha.2023.104072</v>
      </c>
      <c r="BG632" t="s">
        <v>74</v>
      </c>
      <c r="BH632" t="s">
        <v>11628</v>
      </c>
      <c r="BI632">
        <v>13</v>
      </c>
      <c r="BJ632" t="s">
        <v>801</v>
      </c>
      <c r="BK632" t="s">
        <v>103</v>
      </c>
      <c r="BL632" t="s">
        <v>802</v>
      </c>
      <c r="BM632" t="s">
        <v>12444</v>
      </c>
      <c r="BN632" t="s">
        <v>74</v>
      </c>
      <c r="BO632" t="s">
        <v>74</v>
      </c>
      <c r="BP632" t="s">
        <v>74</v>
      </c>
      <c r="BQ632" t="s">
        <v>74</v>
      </c>
      <c r="BR632" t="s">
        <v>106</v>
      </c>
      <c r="BS632" t="s">
        <v>12445</v>
      </c>
      <c r="BT632" t="str">
        <f>HYPERLINK("https%3A%2F%2Fwww.webofscience.com%2Fwos%2Fwoscc%2Ffull-record%2FWOS:000946306500001","View Full Record in Web of Science")</f>
        <v>View Full Record in Web of Science</v>
      </c>
    </row>
    <row r="633" spans="1:72" x14ac:dyDescent="0.15">
      <c r="A633" t="s">
        <v>72</v>
      </c>
      <c r="B633" t="s">
        <v>12446</v>
      </c>
      <c r="C633" t="s">
        <v>74</v>
      </c>
      <c r="D633" t="s">
        <v>74</v>
      </c>
      <c r="E633" t="s">
        <v>74</v>
      </c>
      <c r="F633" t="s">
        <v>12447</v>
      </c>
      <c r="G633" t="s">
        <v>74</v>
      </c>
      <c r="H633" t="s">
        <v>74</v>
      </c>
      <c r="I633" t="s">
        <v>12448</v>
      </c>
      <c r="J633" t="s">
        <v>1048</v>
      </c>
      <c r="K633" t="s">
        <v>74</v>
      </c>
      <c r="L633" t="s">
        <v>74</v>
      </c>
      <c r="M633" t="s">
        <v>78</v>
      </c>
      <c r="N633" t="s">
        <v>112</v>
      </c>
      <c r="O633" t="s">
        <v>74</v>
      </c>
      <c r="P633" t="s">
        <v>74</v>
      </c>
      <c r="Q633" t="s">
        <v>74</v>
      </c>
      <c r="R633" t="s">
        <v>74</v>
      </c>
      <c r="S633" t="s">
        <v>74</v>
      </c>
      <c r="T633" t="s">
        <v>12449</v>
      </c>
      <c r="U633" t="s">
        <v>12450</v>
      </c>
      <c r="V633" t="s">
        <v>12451</v>
      </c>
      <c r="W633" t="s">
        <v>12452</v>
      </c>
      <c r="X633" t="s">
        <v>1053</v>
      </c>
      <c r="Y633" t="s">
        <v>12453</v>
      </c>
      <c r="Z633" t="s">
        <v>12454</v>
      </c>
      <c r="AA633" t="s">
        <v>74</v>
      </c>
      <c r="AB633" t="s">
        <v>12455</v>
      </c>
      <c r="AC633" t="s">
        <v>1057</v>
      </c>
      <c r="AD633" t="s">
        <v>1058</v>
      </c>
      <c r="AE633" t="s">
        <v>12456</v>
      </c>
      <c r="AF633" t="s">
        <v>74</v>
      </c>
      <c r="AG633">
        <v>69</v>
      </c>
      <c r="AH633">
        <v>3</v>
      </c>
      <c r="AI633">
        <v>3</v>
      </c>
      <c r="AJ633">
        <v>3</v>
      </c>
      <c r="AK633">
        <v>8</v>
      </c>
      <c r="AL633" t="s">
        <v>447</v>
      </c>
      <c r="AM633" t="s">
        <v>448</v>
      </c>
      <c r="AN633" t="s">
        <v>449</v>
      </c>
      <c r="AO633" t="s">
        <v>1060</v>
      </c>
      <c r="AP633" t="s">
        <v>1061</v>
      </c>
      <c r="AQ633" t="s">
        <v>74</v>
      </c>
      <c r="AR633" t="s">
        <v>1048</v>
      </c>
      <c r="AS633" t="s">
        <v>1062</v>
      </c>
      <c r="AT633" t="s">
        <v>1790</v>
      </c>
      <c r="AU633">
        <v>2023</v>
      </c>
      <c r="AV633">
        <v>569</v>
      </c>
      <c r="AW633" t="s">
        <v>74</v>
      </c>
      <c r="AX633" t="s">
        <v>74</v>
      </c>
      <c r="AY633" t="s">
        <v>74</v>
      </c>
      <c r="AZ633" t="s">
        <v>74</v>
      </c>
      <c r="BA633" t="s">
        <v>74</v>
      </c>
      <c r="BB633" t="s">
        <v>74</v>
      </c>
      <c r="BC633" t="s">
        <v>74</v>
      </c>
      <c r="BD633">
        <v>739357</v>
      </c>
      <c r="BE633" t="s">
        <v>12457</v>
      </c>
      <c r="BF633" t="str">
        <f>HYPERLINK("http://dx.doi.org/10.1016/j.aquaculture.2023.739357","http://dx.doi.org/10.1016/j.aquaculture.2023.739357")</f>
        <v>http://dx.doi.org/10.1016/j.aquaculture.2023.739357</v>
      </c>
      <c r="BG633" t="s">
        <v>74</v>
      </c>
      <c r="BH633" t="s">
        <v>11628</v>
      </c>
      <c r="BI633">
        <v>12</v>
      </c>
      <c r="BJ633" t="s">
        <v>1065</v>
      </c>
      <c r="BK633" t="s">
        <v>103</v>
      </c>
      <c r="BL633" t="s">
        <v>1065</v>
      </c>
      <c r="BM633" t="s">
        <v>12458</v>
      </c>
      <c r="BN633" t="s">
        <v>74</v>
      </c>
      <c r="BO633" t="s">
        <v>74</v>
      </c>
      <c r="BP633" t="s">
        <v>74</v>
      </c>
      <c r="BQ633" t="s">
        <v>74</v>
      </c>
      <c r="BR633" t="s">
        <v>106</v>
      </c>
      <c r="BS633" t="s">
        <v>12459</v>
      </c>
      <c r="BT633" t="str">
        <f>HYPERLINK("https%3A%2F%2Fwww.webofscience.com%2Fwos%2Fwoscc%2Ffull-record%2FWOS:000944707100001","View Full Record in Web of Science")</f>
        <v>View Full Record in Web of Science</v>
      </c>
    </row>
    <row r="634" spans="1:72" x14ac:dyDescent="0.15">
      <c r="A634" t="s">
        <v>72</v>
      </c>
      <c r="B634" t="s">
        <v>12460</v>
      </c>
      <c r="C634" t="s">
        <v>74</v>
      </c>
      <c r="D634" t="s">
        <v>74</v>
      </c>
      <c r="E634" t="s">
        <v>74</v>
      </c>
      <c r="F634" t="s">
        <v>12461</v>
      </c>
      <c r="G634" t="s">
        <v>74</v>
      </c>
      <c r="H634" t="s">
        <v>74</v>
      </c>
      <c r="I634" t="s">
        <v>12462</v>
      </c>
      <c r="J634" t="s">
        <v>12296</v>
      </c>
      <c r="K634" t="s">
        <v>74</v>
      </c>
      <c r="L634" t="s">
        <v>74</v>
      </c>
      <c r="M634" t="s">
        <v>78</v>
      </c>
      <c r="N634" t="s">
        <v>79</v>
      </c>
      <c r="O634" t="s">
        <v>74</v>
      </c>
      <c r="P634" t="s">
        <v>74</v>
      </c>
      <c r="Q634" t="s">
        <v>74</v>
      </c>
      <c r="R634" t="s">
        <v>74</v>
      </c>
      <c r="S634" t="s">
        <v>74</v>
      </c>
      <c r="T634" t="s">
        <v>12463</v>
      </c>
      <c r="U634" t="s">
        <v>74</v>
      </c>
      <c r="V634" t="s">
        <v>74</v>
      </c>
      <c r="W634" t="s">
        <v>12464</v>
      </c>
      <c r="X634" t="s">
        <v>12465</v>
      </c>
      <c r="Y634" t="s">
        <v>12466</v>
      </c>
      <c r="Z634" t="s">
        <v>12467</v>
      </c>
      <c r="AA634" t="s">
        <v>12468</v>
      </c>
      <c r="AB634" t="s">
        <v>12469</v>
      </c>
      <c r="AC634" t="s">
        <v>12470</v>
      </c>
      <c r="AD634" t="s">
        <v>12471</v>
      </c>
      <c r="AE634" t="s">
        <v>12472</v>
      </c>
      <c r="AF634" t="s">
        <v>74</v>
      </c>
      <c r="AG634">
        <v>7</v>
      </c>
      <c r="AH634">
        <v>0</v>
      </c>
      <c r="AI634">
        <v>0</v>
      </c>
      <c r="AJ634">
        <v>1</v>
      </c>
      <c r="AK634">
        <v>4</v>
      </c>
      <c r="AL634" t="s">
        <v>700</v>
      </c>
      <c r="AM634" t="s">
        <v>701</v>
      </c>
      <c r="AN634" t="s">
        <v>702</v>
      </c>
      <c r="AO634" t="s">
        <v>12309</v>
      </c>
      <c r="AP634" t="s">
        <v>74</v>
      </c>
      <c r="AQ634" t="s">
        <v>74</v>
      </c>
      <c r="AR634" t="s">
        <v>12310</v>
      </c>
      <c r="AS634" t="s">
        <v>12311</v>
      </c>
      <c r="AT634" t="s">
        <v>12382</v>
      </c>
      <c r="AU634">
        <v>2023</v>
      </c>
      <c r="AV634">
        <v>10</v>
      </c>
      <c r="AW634" t="s">
        <v>74</v>
      </c>
      <c r="AX634" t="s">
        <v>74</v>
      </c>
      <c r="AY634" t="s">
        <v>74</v>
      </c>
      <c r="AZ634" t="s">
        <v>74</v>
      </c>
      <c r="BA634" t="s">
        <v>74</v>
      </c>
      <c r="BB634" t="s">
        <v>74</v>
      </c>
      <c r="BC634" t="s">
        <v>74</v>
      </c>
      <c r="BD634">
        <v>1149649</v>
      </c>
      <c r="BE634" t="s">
        <v>12473</v>
      </c>
      <c r="BF634" t="str">
        <f>HYPERLINK("http://dx.doi.org/10.3389/fspas.2023.1149649","http://dx.doi.org/10.3389/fspas.2023.1149649")</f>
        <v>http://dx.doi.org/10.3389/fspas.2023.1149649</v>
      </c>
      <c r="BG634" t="s">
        <v>74</v>
      </c>
      <c r="BH634" t="s">
        <v>74</v>
      </c>
      <c r="BI634">
        <v>3</v>
      </c>
      <c r="BJ634" t="s">
        <v>159</v>
      </c>
      <c r="BK634" t="s">
        <v>103</v>
      </c>
      <c r="BL634" t="s">
        <v>159</v>
      </c>
      <c r="BM634" t="s">
        <v>12474</v>
      </c>
      <c r="BN634" t="s">
        <v>74</v>
      </c>
      <c r="BO634" t="s">
        <v>162</v>
      </c>
      <c r="BP634" t="s">
        <v>74</v>
      </c>
      <c r="BQ634" t="s">
        <v>74</v>
      </c>
      <c r="BR634" t="s">
        <v>106</v>
      </c>
      <c r="BS634" t="s">
        <v>12475</v>
      </c>
      <c r="BT634" t="str">
        <f>HYPERLINK("https%3A%2F%2Fwww.webofscience.com%2Fwos%2Fwoscc%2Ffull-record%2FWOS:000946244300001","View Full Record in Web of Science")</f>
        <v>View Full Record in Web of Science</v>
      </c>
    </row>
    <row r="635" spans="1:72" x14ac:dyDescent="0.15">
      <c r="A635" t="s">
        <v>72</v>
      </c>
      <c r="B635" t="s">
        <v>12476</v>
      </c>
      <c r="C635" t="s">
        <v>74</v>
      </c>
      <c r="D635" t="s">
        <v>74</v>
      </c>
      <c r="E635" t="s">
        <v>74</v>
      </c>
      <c r="F635" t="s">
        <v>12477</v>
      </c>
      <c r="G635" t="s">
        <v>74</v>
      </c>
      <c r="H635" t="s">
        <v>74</v>
      </c>
      <c r="I635" t="s">
        <v>12478</v>
      </c>
      <c r="J635" t="s">
        <v>12479</v>
      </c>
      <c r="K635" t="s">
        <v>74</v>
      </c>
      <c r="L635" t="s">
        <v>74</v>
      </c>
      <c r="M635" t="s">
        <v>78</v>
      </c>
      <c r="N635" t="s">
        <v>112</v>
      </c>
      <c r="O635" t="s">
        <v>74</v>
      </c>
      <c r="P635" t="s">
        <v>74</v>
      </c>
      <c r="Q635" t="s">
        <v>74</v>
      </c>
      <c r="R635" t="s">
        <v>74</v>
      </c>
      <c r="S635" t="s">
        <v>74</v>
      </c>
      <c r="T635" t="s">
        <v>74</v>
      </c>
      <c r="U635" t="s">
        <v>74</v>
      </c>
      <c r="V635" t="s">
        <v>12480</v>
      </c>
      <c r="W635" t="s">
        <v>12481</v>
      </c>
      <c r="X635" t="s">
        <v>222</v>
      </c>
      <c r="Y635" t="s">
        <v>12482</v>
      </c>
      <c r="Z635" t="s">
        <v>12483</v>
      </c>
      <c r="AA635" t="s">
        <v>12484</v>
      </c>
      <c r="AB635" t="s">
        <v>12485</v>
      </c>
      <c r="AC635" t="s">
        <v>12486</v>
      </c>
      <c r="AD635" t="s">
        <v>251</v>
      </c>
      <c r="AE635" t="s">
        <v>12487</v>
      </c>
      <c r="AF635" t="s">
        <v>74</v>
      </c>
      <c r="AG635">
        <v>9</v>
      </c>
      <c r="AH635">
        <v>0</v>
      </c>
      <c r="AI635">
        <v>0</v>
      </c>
      <c r="AJ635">
        <v>0</v>
      </c>
      <c r="AK635">
        <v>0</v>
      </c>
      <c r="AL635" t="s">
        <v>1599</v>
      </c>
      <c r="AM635" t="s">
        <v>306</v>
      </c>
      <c r="AN635" t="s">
        <v>1600</v>
      </c>
      <c r="AO635" t="s">
        <v>12488</v>
      </c>
      <c r="AP635" t="s">
        <v>74</v>
      </c>
      <c r="AQ635" t="s">
        <v>74</v>
      </c>
      <c r="AR635" t="s">
        <v>12489</v>
      </c>
      <c r="AS635" t="s">
        <v>12490</v>
      </c>
      <c r="AT635" t="s">
        <v>7848</v>
      </c>
      <c r="AU635">
        <v>2023</v>
      </c>
      <c r="AV635">
        <v>12</v>
      </c>
      <c r="AW635">
        <v>3</v>
      </c>
      <c r="AX635" t="s">
        <v>74</v>
      </c>
      <c r="AY635" t="s">
        <v>74</v>
      </c>
      <c r="AZ635" t="s">
        <v>74</v>
      </c>
      <c r="BA635" t="s">
        <v>74</v>
      </c>
      <c r="BB635" t="s">
        <v>74</v>
      </c>
      <c r="BC635" t="s">
        <v>74</v>
      </c>
      <c r="BD635" t="s">
        <v>74</v>
      </c>
      <c r="BE635" t="s">
        <v>12491</v>
      </c>
      <c r="BF635" t="str">
        <f>HYPERLINK("http://dx.doi.org/10.1128/mra.00013-23","http://dx.doi.org/10.1128/mra.00013-23")</f>
        <v>http://dx.doi.org/10.1128/mra.00013-23</v>
      </c>
      <c r="BG635" t="s">
        <v>74</v>
      </c>
      <c r="BH635" t="s">
        <v>11628</v>
      </c>
      <c r="BI635">
        <v>2</v>
      </c>
      <c r="BJ635" t="s">
        <v>1387</v>
      </c>
      <c r="BK635" t="s">
        <v>160</v>
      </c>
      <c r="BL635" t="s">
        <v>1387</v>
      </c>
      <c r="BM635" t="s">
        <v>12492</v>
      </c>
      <c r="BN635">
        <v>36840578</v>
      </c>
      <c r="BO635" t="s">
        <v>136</v>
      </c>
      <c r="BP635" t="s">
        <v>74</v>
      </c>
      <c r="BQ635" t="s">
        <v>74</v>
      </c>
      <c r="BR635" t="s">
        <v>106</v>
      </c>
      <c r="BS635" t="s">
        <v>12493</v>
      </c>
      <c r="BT635" t="str">
        <f>HYPERLINK("https%3A%2F%2Fwww.webofscience.com%2Fwos%2Fwoscc%2Ffull-record%2FWOS:000936357400001","View Full Record in Web of Science")</f>
        <v>View Full Record in Web of Science</v>
      </c>
    </row>
    <row r="636" spans="1:72" x14ac:dyDescent="0.15">
      <c r="A636" t="s">
        <v>72</v>
      </c>
      <c r="B636" t="s">
        <v>12494</v>
      </c>
      <c r="C636" t="s">
        <v>74</v>
      </c>
      <c r="D636" t="s">
        <v>74</v>
      </c>
      <c r="E636" t="s">
        <v>74</v>
      </c>
      <c r="F636" t="s">
        <v>12495</v>
      </c>
      <c r="G636" t="s">
        <v>74</v>
      </c>
      <c r="H636" t="s">
        <v>74</v>
      </c>
      <c r="I636" t="s">
        <v>12496</v>
      </c>
      <c r="J636" t="s">
        <v>12497</v>
      </c>
      <c r="K636" t="s">
        <v>74</v>
      </c>
      <c r="L636" t="s">
        <v>74</v>
      </c>
      <c r="M636" t="s">
        <v>78</v>
      </c>
      <c r="N636" t="s">
        <v>112</v>
      </c>
      <c r="O636" t="s">
        <v>74</v>
      </c>
      <c r="P636" t="s">
        <v>74</v>
      </c>
      <c r="Q636" t="s">
        <v>74</v>
      </c>
      <c r="R636" t="s">
        <v>74</v>
      </c>
      <c r="S636" t="s">
        <v>74</v>
      </c>
      <c r="T636" t="s">
        <v>12498</v>
      </c>
      <c r="U636" t="s">
        <v>12499</v>
      </c>
      <c r="V636" t="s">
        <v>12500</v>
      </c>
      <c r="W636" t="s">
        <v>12501</v>
      </c>
      <c r="X636" t="s">
        <v>12502</v>
      </c>
      <c r="Y636" t="s">
        <v>12503</v>
      </c>
      <c r="Z636" t="s">
        <v>12504</v>
      </c>
      <c r="AA636" t="s">
        <v>12505</v>
      </c>
      <c r="AB636" t="s">
        <v>12506</v>
      </c>
      <c r="AC636" t="s">
        <v>5435</v>
      </c>
      <c r="AD636" t="s">
        <v>5435</v>
      </c>
      <c r="AE636" t="s">
        <v>12507</v>
      </c>
      <c r="AF636" t="s">
        <v>74</v>
      </c>
      <c r="AG636">
        <v>46</v>
      </c>
      <c r="AH636">
        <v>2</v>
      </c>
      <c r="AI636">
        <v>2</v>
      </c>
      <c r="AJ636">
        <v>2</v>
      </c>
      <c r="AK636">
        <v>12</v>
      </c>
      <c r="AL636" t="s">
        <v>12508</v>
      </c>
      <c r="AM636" t="s">
        <v>12509</v>
      </c>
      <c r="AN636" t="s">
        <v>12510</v>
      </c>
      <c r="AO636" t="s">
        <v>12511</v>
      </c>
      <c r="AP636" t="s">
        <v>12512</v>
      </c>
      <c r="AQ636" t="s">
        <v>74</v>
      </c>
      <c r="AR636" t="s">
        <v>12497</v>
      </c>
      <c r="AS636" t="s">
        <v>12513</v>
      </c>
      <c r="AT636" t="s">
        <v>4546</v>
      </c>
      <c r="AU636">
        <v>2023</v>
      </c>
      <c r="AV636">
        <v>23</v>
      </c>
      <c r="AW636">
        <v>4</v>
      </c>
      <c r="AX636" t="s">
        <v>74</v>
      </c>
      <c r="AY636" t="s">
        <v>74</v>
      </c>
      <c r="AZ636" t="s">
        <v>74</v>
      </c>
      <c r="BA636" t="s">
        <v>74</v>
      </c>
      <c r="BB636">
        <v>395</v>
      </c>
      <c r="BC636">
        <v>406</v>
      </c>
      <c r="BD636" t="s">
        <v>74</v>
      </c>
      <c r="BE636" t="s">
        <v>12514</v>
      </c>
      <c r="BF636" t="str">
        <f>HYPERLINK("http://dx.doi.org/10.1089/ast.2022.0062","http://dx.doi.org/10.1089/ast.2022.0062")</f>
        <v>http://dx.doi.org/10.1089/ast.2022.0062</v>
      </c>
      <c r="BG636" t="s">
        <v>74</v>
      </c>
      <c r="BH636" t="s">
        <v>11628</v>
      </c>
      <c r="BI636">
        <v>12</v>
      </c>
      <c r="BJ636" t="s">
        <v>7451</v>
      </c>
      <c r="BK636" t="s">
        <v>103</v>
      </c>
      <c r="BL636" t="s">
        <v>7452</v>
      </c>
      <c r="BM636" t="s">
        <v>12515</v>
      </c>
      <c r="BN636">
        <v>36812458</v>
      </c>
      <c r="BO636" t="s">
        <v>1389</v>
      </c>
      <c r="BP636" t="s">
        <v>74</v>
      </c>
      <c r="BQ636" t="s">
        <v>74</v>
      </c>
      <c r="BR636" t="s">
        <v>106</v>
      </c>
      <c r="BS636" t="s">
        <v>12516</v>
      </c>
      <c r="BT636" t="str">
        <f>HYPERLINK("https%3A%2F%2Fwww.webofscience.com%2Fwos%2Fwoscc%2Ffull-record%2FWOS:000936364300001","View Full Record in Web of Science")</f>
        <v>View Full Record in Web of Science</v>
      </c>
    </row>
    <row r="637" spans="1:72" x14ac:dyDescent="0.15">
      <c r="A637" t="s">
        <v>72</v>
      </c>
      <c r="B637" t="s">
        <v>12517</v>
      </c>
      <c r="C637" t="s">
        <v>74</v>
      </c>
      <c r="D637" t="s">
        <v>74</v>
      </c>
      <c r="E637" t="s">
        <v>74</v>
      </c>
      <c r="F637" t="s">
        <v>12518</v>
      </c>
      <c r="G637" t="s">
        <v>74</v>
      </c>
      <c r="H637" t="s">
        <v>74</v>
      </c>
      <c r="I637" t="s">
        <v>12519</v>
      </c>
      <c r="J637" t="s">
        <v>12520</v>
      </c>
      <c r="K637" t="s">
        <v>74</v>
      </c>
      <c r="L637" t="s">
        <v>74</v>
      </c>
      <c r="M637" t="s">
        <v>78</v>
      </c>
      <c r="N637" t="s">
        <v>112</v>
      </c>
      <c r="O637" t="s">
        <v>74</v>
      </c>
      <c r="P637" t="s">
        <v>74</v>
      </c>
      <c r="Q637" t="s">
        <v>74</v>
      </c>
      <c r="R637" t="s">
        <v>74</v>
      </c>
      <c r="S637" t="s">
        <v>74</v>
      </c>
      <c r="T637" t="s">
        <v>12521</v>
      </c>
      <c r="U637" t="s">
        <v>12522</v>
      </c>
      <c r="V637" t="s">
        <v>12523</v>
      </c>
      <c r="W637" t="s">
        <v>12524</v>
      </c>
      <c r="X637" t="s">
        <v>74</v>
      </c>
      <c r="Y637" t="s">
        <v>12525</v>
      </c>
      <c r="Z637" t="s">
        <v>12526</v>
      </c>
      <c r="AA637" t="s">
        <v>74</v>
      </c>
      <c r="AB637" t="s">
        <v>74</v>
      </c>
      <c r="AC637" t="s">
        <v>74</v>
      </c>
      <c r="AD637" t="s">
        <v>74</v>
      </c>
      <c r="AE637" t="s">
        <v>74</v>
      </c>
      <c r="AF637" t="s">
        <v>74</v>
      </c>
      <c r="AG637">
        <v>21</v>
      </c>
      <c r="AH637">
        <v>0</v>
      </c>
      <c r="AI637">
        <v>0</v>
      </c>
      <c r="AJ637">
        <v>0</v>
      </c>
      <c r="AK637">
        <v>1</v>
      </c>
      <c r="AL637" t="s">
        <v>1101</v>
      </c>
      <c r="AM637" t="s">
        <v>179</v>
      </c>
      <c r="AN637" t="s">
        <v>1543</v>
      </c>
      <c r="AO637" t="s">
        <v>12527</v>
      </c>
      <c r="AP637" t="s">
        <v>12528</v>
      </c>
      <c r="AQ637" t="s">
        <v>74</v>
      </c>
      <c r="AR637" t="s">
        <v>12529</v>
      </c>
      <c r="AS637" t="s">
        <v>12530</v>
      </c>
      <c r="AT637" t="s">
        <v>3743</v>
      </c>
      <c r="AU637">
        <v>2022</v>
      </c>
      <c r="AV637">
        <v>75</v>
      </c>
      <c r="AW637">
        <v>6</v>
      </c>
      <c r="AX637" t="s">
        <v>74</v>
      </c>
      <c r="AY637" t="s">
        <v>74</v>
      </c>
      <c r="AZ637" t="s">
        <v>74</v>
      </c>
      <c r="BA637" t="s">
        <v>74</v>
      </c>
      <c r="BB637">
        <v>1269</v>
      </c>
      <c r="BC637">
        <v>1279</v>
      </c>
      <c r="BD637" t="s">
        <v>12531</v>
      </c>
      <c r="BE637" t="s">
        <v>12532</v>
      </c>
      <c r="BF637" t="str">
        <f>HYPERLINK("http://dx.doi.org/10.1017/S0373463322000649","http://dx.doi.org/10.1017/S0373463322000649")</f>
        <v>http://dx.doi.org/10.1017/S0373463322000649</v>
      </c>
      <c r="BG637" t="s">
        <v>74</v>
      </c>
      <c r="BH637" t="s">
        <v>11628</v>
      </c>
      <c r="BI637">
        <v>11</v>
      </c>
      <c r="BJ637" t="s">
        <v>12533</v>
      </c>
      <c r="BK637" t="s">
        <v>103</v>
      </c>
      <c r="BL637" t="s">
        <v>134</v>
      </c>
      <c r="BM637" t="s">
        <v>12534</v>
      </c>
      <c r="BN637" t="s">
        <v>74</v>
      </c>
      <c r="BO637" t="s">
        <v>74</v>
      </c>
      <c r="BP637" t="s">
        <v>74</v>
      </c>
      <c r="BQ637" t="s">
        <v>74</v>
      </c>
      <c r="BR637" t="s">
        <v>106</v>
      </c>
      <c r="BS637" t="s">
        <v>12535</v>
      </c>
      <c r="BT637" t="str">
        <f>HYPERLINK("https%3A%2F%2Fwww.webofscience.com%2Fwos%2Fwoscc%2Ffull-record%2FWOS:000988265600001","View Full Record in Web of Science")</f>
        <v>View Full Record in Web of Science</v>
      </c>
    </row>
    <row r="638" spans="1:72" x14ac:dyDescent="0.15">
      <c r="A638" t="s">
        <v>72</v>
      </c>
      <c r="B638" t="s">
        <v>12536</v>
      </c>
      <c r="C638" t="s">
        <v>74</v>
      </c>
      <c r="D638" t="s">
        <v>74</v>
      </c>
      <c r="E638" t="s">
        <v>74</v>
      </c>
      <c r="F638" t="s">
        <v>12537</v>
      </c>
      <c r="G638" t="s">
        <v>74</v>
      </c>
      <c r="H638" t="s">
        <v>74</v>
      </c>
      <c r="I638" t="s">
        <v>12538</v>
      </c>
      <c r="J638" t="s">
        <v>12539</v>
      </c>
      <c r="K638" t="s">
        <v>74</v>
      </c>
      <c r="L638" t="s">
        <v>74</v>
      </c>
      <c r="M638" t="s">
        <v>78</v>
      </c>
      <c r="N638" t="s">
        <v>79</v>
      </c>
      <c r="O638" t="s">
        <v>74</v>
      </c>
      <c r="P638" t="s">
        <v>74</v>
      </c>
      <c r="Q638" t="s">
        <v>74</v>
      </c>
      <c r="R638" t="s">
        <v>74</v>
      </c>
      <c r="S638" t="s">
        <v>74</v>
      </c>
      <c r="T638" t="s">
        <v>74</v>
      </c>
      <c r="U638" t="s">
        <v>74</v>
      </c>
      <c r="V638" t="s">
        <v>74</v>
      </c>
      <c r="W638" t="s">
        <v>12540</v>
      </c>
      <c r="X638" t="s">
        <v>12541</v>
      </c>
      <c r="Y638" t="s">
        <v>12542</v>
      </c>
      <c r="Z638" t="s">
        <v>12543</v>
      </c>
      <c r="AA638" t="s">
        <v>12544</v>
      </c>
      <c r="AB638" t="s">
        <v>12545</v>
      </c>
      <c r="AC638" t="s">
        <v>12546</v>
      </c>
      <c r="AD638" t="s">
        <v>12547</v>
      </c>
      <c r="AE638" t="s">
        <v>12548</v>
      </c>
      <c r="AF638" t="s">
        <v>74</v>
      </c>
      <c r="AG638">
        <v>15</v>
      </c>
      <c r="AH638">
        <v>1</v>
      </c>
      <c r="AI638">
        <v>1</v>
      </c>
      <c r="AJ638">
        <v>8</v>
      </c>
      <c r="AK638">
        <v>20</v>
      </c>
      <c r="AL638" t="s">
        <v>7999</v>
      </c>
      <c r="AM638" t="s">
        <v>1102</v>
      </c>
      <c r="AN638" t="s">
        <v>8000</v>
      </c>
      <c r="AO638" t="s">
        <v>12549</v>
      </c>
      <c r="AP638" t="s">
        <v>12550</v>
      </c>
      <c r="AQ638" t="s">
        <v>74</v>
      </c>
      <c r="AR638" t="s">
        <v>12551</v>
      </c>
      <c r="AS638" t="s">
        <v>12552</v>
      </c>
      <c r="AT638" t="s">
        <v>8042</v>
      </c>
      <c r="AU638">
        <v>2023</v>
      </c>
      <c r="AV638">
        <v>31</v>
      </c>
      <c r="AW638">
        <v>3</v>
      </c>
      <c r="AX638" t="s">
        <v>74</v>
      </c>
      <c r="AY638" t="s">
        <v>74</v>
      </c>
      <c r="AZ638" t="s">
        <v>74</v>
      </c>
      <c r="BA638" t="s">
        <v>74</v>
      </c>
      <c r="BB638">
        <v>229</v>
      </c>
      <c r="BC638">
        <v>232</v>
      </c>
      <c r="BD638" t="s">
        <v>74</v>
      </c>
      <c r="BE638" t="s">
        <v>12553</v>
      </c>
      <c r="BF638" t="str">
        <f>HYPERLINK("http://dx.doi.org/10.1016/j.tim.2022.12.004","http://dx.doi.org/10.1016/j.tim.2022.12.004")</f>
        <v>http://dx.doi.org/10.1016/j.tim.2022.12.004</v>
      </c>
      <c r="BG638" t="s">
        <v>74</v>
      </c>
      <c r="BH638" t="s">
        <v>11628</v>
      </c>
      <c r="BI638">
        <v>4</v>
      </c>
      <c r="BJ638" t="s">
        <v>12554</v>
      </c>
      <c r="BK638" t="s">
        <v>103</v>
      </c>
      <c r="BL638" t="s">
        <v>12554</v>
      </c>
      <c r="BM638" t="s">
        <v>12555</v>
      </c>
      <c r="BN638">
        <v>36628835</v>
      </c>
      <c r="BO638" t="s">
        <v>74</v>
      </c>
      <c r="BP638" t="s">
        <v>74</v>
      </c>
      <c r="BQ638" t="s">
        <v>74</v>
      </c>
      <c r="BR638" t="s">
        <v>106</v>
      </c>
      <c r="BS638" t="s">
        <v>12556</v>
      </c>
      <c r="BT638" t="str">
        <f>HYPERLINK("https%3A%2F%2Fwww.webofscience.com%2Fwos%2Fwoscc%2Ffull-record%2FWOS:000966711900001","View Full Record in Web of Science")</f>
        <v>View Full Record in Web of Science</v>
      </c>
    </row>
    <row r="639" spans="1:72" x14ac:dyDescent="0.15">
      <c r="A639" t="s">
        <v>72</v>
      </c>
      <c r="B639" t="s">
        <v>12557</v>
      </c>
      <c r="C639" t="s">
        <v>74</v>
      </c>
      <c r="D639" t="s">
        <v>74</v>
      </c>
      <c r="E639" t="s">
        <v>74</v>
      </c>
      <c r="F639" t="s">
        <v>12558</v>
      </c>
      <c r="G639" t="s">
        <v>74</v>
      </c>
      <c r="H639" t="s">
        <v>74</v>
      </c>
      <c r="I639" t="s">
        <v>12559</v>
      </c>
      <c r="J639" t="s">
        <v>10082</v>
      </c>
      <c r="K639" t="s">
        <v>74</v>
      </c>
      <c r="L639" t="s">
        <v>74</v>
      </c>
      <c r="M639" t="s">
        <v>78</v>
      </c>
      <c r="N639" t="s">
        <v>52</v>
      </c>
      <c r="O639" t="s">
        <v>12560</v>
      </c>
      <c r="P639" t="s">
        <v>12561</v>
      </c>
      <c r="Q639" t="s">
        <v>12562</v>
      </c>
      <c r="R639" t="s">
        <v>74</v>
      </c>
      <c r="S639" t="s">
        <v>74</v>
      </c>
      <c r="T639" t="s">
        <v>74</v>
      </c>
      <c r="U639" t="s">
        <v>74</v>
      </c>
      <c r="V639" t="s">
        <v>74</v>
      </c>
      <c r="W639" t="s">
        <v>12563</v>
      </c>
      <c r="X639" t="s">
        <v>12564</v>
      </c>
      <c r="Y639" t="s">
        <v>74</v>
      </c>
      <c r="Z639" t="s">
        <v>12565</v>
      </c>
      <c r="AA639" t="s">
        <v>12566</v>
      </c>
      <c r="AB639" t="s">
        <v>74</v>
      </c>
      <c r="AC639" t="s">
        <v>74</v>
      </c>
      <c r="AD639" t="s">
        <v>74</v>
      </c>
      <c r="AE639" t="s">
        <v>74</v>
      </c>
      <c r="AF639" t="s">
        <v>74</v>
      </c>
      <c r="AG639">
        <v>0</v>
      </c>
      <c r="AH639">
        <v>0</v>
      </c>
      <c r="AI639">
        <v>0</v>
      </c>
      <c r="AJ639">
        <v>0</v>
      </c>
      <c r="AK639">
        <v>0</v>
      </c>
      <c r="AL639" t="s">
        <v>10083</v>
      </c>
      <c r="AM639" t="s">
        <v>10084</v>
      </c>
      <c r="AN639" t="s">
        <v>10085</v>
      </c>
      <c r="AO639" t="s">
        <v>10086</v>
      </c>
      <c r="AP639" t="s">
        <v>10087</v>
      </c>
      <c r="AQ639" t="s">
        <v>74</v>
      </c>
      <c r="AR639" t="s">
        <v>10088</v>
      </c>
      <c r="AS639" t="s">
        <v>10089</v>
      </c>
      <c r="AT639" t="s">
        <v>12567</v>
      </c>
      <c r="AU639">
        <v>2023</v>
      </c>
      <c r="AV639">
        <v>62</v>
      </c>
      <c r="AW639" t="s">
        <v>74</v>
      </c>
      <c r="AX639" t="s">
        <v>74</v>
      </c>
      <c r="AY639">
        <v>1</v>
      </c>
      <c r="AZ639" t="s">
        <v>74</v>
      </c>
      <c r="BA639" t="s">
        <v>74</v>
      </c>
      <c r="BB639" t="s">
        <v>12568</v>
      </c>
      <c r="BC639" t="s">
        <v>12568</v>
      </c>
      <c r="BD639" t="s">
        <v>74</v>
      </c>
      <c r="BE639" t="s">
        <v>74</v>
      </c>
      <c r="BF639" t="s">
        <v>74</v>
      </c>
      <c r="BG639" t="s">
        <v>74</v>
      </c>
      <c r="BH639" t="s">
        <v>74</v>
      </c>
      <c r="BI639">
        <v>1</v>
      </c>
      <c r="BJ639" t="s">
        <v>2582</v>
      </c>
      <c r="BK639" t="s">
        <v>12569</v>
      </c>
      <c r="BL639" t="s">
        <v>2582</v>
      </c>
      <c r="BM639" t="s">
        <v>12570</v>
      </c>
      <c r="BN639" t="s">
        <v>74</v>
      </c>
      <c r="BO639" t="s">
        <v>74</v>
      </c>
      <c r="BP639" t="s">
        <v>74</v>
      </c>
      <c r="BQ639" t="s">
        <v>74</v>
      </c>
      <c r="BR639" t="s">
        <v>106</v>
      </c>
      <c r="BS639" t="s">
        <v>12571</v>
      </c>
      <c r="BT639" t="str">
        <f>HYPERLINK("https%3A%2F%2Fwww.webofscience.com%2Fwos%2Fwoscc%2Ffull-record%2FWOS:000948800900371","View Full Record in Web of Science")</f>
        <v>View Full Record in Web of Science</v>
      </c>
    </row>
    <row r="640" spans="1:72" x14ac:dyDescent="0.15">
      <c r="A640" t="s">
        <v>72</v>
      </c>
      <c r="B640" t="s">
        <v>12572</v>
      </c>
      <c r="C640" t="s">
        <v>74</v>
      </c>
      <c r="D640" t="s">
        <v>74</v>
      </c>
      <c r="E640" t="s">
        <v>74</v>
      </c>
      <c r="F640" t="s">
        <v>12573</v>
      </c>
      <c r="G640" t="s">
        <v>74</v>
      </c>
      <c r="H640" t="s">
        <v>74</v>
      </c>
      <c r="I640" t="s">
        <v>12574</v>
      </c>
      <c r="J640" t="s">
        <v>12575</v>
      </c>
      <c r="K640" t="s">
        <v>74</v>
      </c>
      <c r="L640" t="s">
        <v>74</v>
      </c>
      <c r="M640" t="s">
        <v>78</v>
      </c>
      <c r="N640" t="s">
        <v>112</v>
      </c>
      <c r="O640" t="s">
        <v>74</v>
      </c>
      <c r="P640" t="s">
        <v>74</v>
      </c>
      <c r="Q640" t="s">
        <v>74</v>
      </c>
      <c r="R640" t="s">
        <v>74</v>
      </c>
      <c r="S640" t="s">
        <v>74</v>
      </c>
      <c r="T640" t="s">
        <v>12576</v>
      </c>
      <c r="U640" t="s">
        <v>12577</v>
      </c>
      <c r="V640" t="s">
        <v>12578</v>
      </c>
      <c r="W640" t="s">
        <v>12579</v>
      </c>
      <c r="X640" t="s">
        <v>8479</v>
      </c>
      <c r="Y640" t="s">
        <v>12580</v>
      </c>
      <c r="Z640" t="s">
        <v>12581</v>
      </c>
      <c r="AA640" t="s">
        <v>74</v>
      </c>
      <c r="AB640" t="s">
        <v>12582</v>
      </c>
      <c r="AC640" t="s">
        <v>5235</v>
      </c>
      <c r="AD640" t="s">
        <v>5236</v>
      </c>
      <c r="AE640" t="s">
        <v>12583</v>
      </c>
      <c r="AF640" t="s">
        <v>74</v>
      </c>
      <c r="AG640">
        <v>65</v>
      </c>
      <c r="AH640">
        <v>1</v>
      </c>
      <c r="AI640">
        <v>1</v>
      </c>
      <c r="AJ640">
        <v>0</v>
      </c>
      <c r="AK640">
        <v>1</v>
      </c>
      <c r="AL640" t="s">
        <v>700</v>
      </c>
      <c r="AM640" t="s">
        <v>701</v>
      </c>
      <c r="AN640" t="s">
        <v>702</v>
      </c>
      <c r="AO640" t="s">
        <v>74</v>
      </c>
      <c r="AP640" t="s">
        <v>12584</v>
      </c>
      <c r="AQ640" t="s">
        <v>74</v>
      </c>
      <c r="AR640" t="s">
        <v>12585</v>
      </c>
      <c r="AS640" t="s">
        <v>12586</v>
      </c>
      <c r="AT640" t="s">
        <v>12567</v>
      </c>
      <c r="AU640">
        <v>2023</v>
      </c>
      <c r="AV640">
        <v>14</v>
      </c>
      <c r="AW640" t="s">
        <v>74</v>
      </c>
      <c r="AX640" t="s">
        <v>74</v>
      </c>
      <c r="AY640" t="s">
        <v>74</v>
      </c>
      <c r="AZ640" t="s">
        <v>74</v>
      </c>
      <c r="BA640" t="s">
        <v>74</v>
      </c>
      <c r="BB640" t="s">
        <v>74</v>
      </c>
      <c r="BC640" t="s">
        <v>74</v>
      </c>
      <c r="BD640">
        <v>1083240</v>
      </c>
      <c r="BE640" t="s">
        <v>12587</v>
      </c>
      <c r="BF640" t="str">
        <f>HYPERLINK("http://dx.doi.org/10.3389/fphys.2023.1083240","http://dx.doi.org/10.3389/fphys.2023.1083240")</f>
        <v>http://dx.doi.org/10.3389/fphys.2023.1083240</v>
      </c>
      <c r="BG640" t="s">
        <v>74</v>
      </c>
      <c r="BH640" t="s">
        <v>74</v>
      </c>
      <c r="BI640">
        <v>12</v>
      </c>
      <c r="BJ640" t="s">
        <v>12588</v>
      </c>
      <c r="BK640" t="s">
        <v>103</v>
      </c>
      <c r="BL640" t="s">
        <v>12588</v>
      </c>
      <c r="BM640" t="s">
        <v>12589</v>
      </c>
      <c r="BN640">
        <v>36895632</v>
      </c>
      <c r="BO640" t="s">
        <v>136</v>
      </c>
      <c r="BP640" t="s">
        <v>74</v>
      </c>
      <c r="BQ640" t="s">
        <v>74</v>
      </c>
      <c r="BR640" t="s">
        <v>106</v>
      </c>
      <c r="BS640" t="s">
        <v>12590</v>
      </c>
      <c r="BT640" t="str">
        <f>HYPERLINK("https%3A%2F%2Fwww.webofscience.com%2Fwos%2Fwoscc%2Ffull-record%2FWOS:000944117600001","View Full Record in Web of Science")</f>
        <v>View Full Record in Web of Science</v>
      </c>
    </row>
    <row r="641" spans="1:72" x14ac:dyDescent="0.15">
      <c r="A641" t="s">
        <v>72</v>
      </c>
      <c r="B641" t="s">
        <v>12591</v>
      </c>
      <c r="C641" t="s">
        <v>74</v>
      </c>
      <c r="D641" t="s">
        <v>74</v>
      </c>
      <c r="E641" t="s">
        <v>74</v>
      </c>
      <c r="F641" t="s">
        <v>12592</v>
      </c>
      <c r="G641" t="s">
        <v>74</v>
      </c>
      <c r="H641" t="s">
        <v>74</v>
      </c>
      <c r="I641" t="s">
        <v>12593</v>
      </c>
      <c r="J641" t="s">
        <v>12594</v>
      </c>
      <c r="K641" t="s">
        <v>74</v>
      </c>
      <c r="L641" t="s">
        <v>74</v>
      </c>
      <c r="M641" t="s">
        <v>78</v>
      </c>
      <c r="N641" t="s">
        <v>365</v>
      </c>
      <c r="O641" t="s">
        <v>74</v>
      </c>
      <c r="P641" t="s">
        <v>74</v>
      </c>
      <c r="Q641" t="s">
        <v>74</v>
      </c>
      <c r="R641" t="s">
        <v>74</v>
      </c>
      <c r="S641" t="s">
        <v>74</v>
      </c>
      <c r="T641" t="s">
        <v>74</v>
      </c>
      <c r="U641" t="s">
        <v>12595</v>
      </c>
      <c r="V641" t="s">
        <v>12596</v>
      </c>
      <c r="W641" t="s">
        <v>12597</v>
      </c>
      <c r="X641" t="s">
        <v>12598</v>
      </c>
      <c r="Y641" t="s">
        <v>12599</v>
      </c>
      <c r="Z641" t="s">
        <v>12600</v>
      </c>
      <c r="AA641" t="s">
        <v>12601</v>
      </c>
      <c r="AB641" t="s">
        <v>12602</v>
      </c>
      <c r="AC641" t="s">
        <v>12603</v>
      </c>
      <c r="AD641" t="s">
        <v>12604</v>
      </c>
      <c r="AE641" t="s">
        <v>12605</v>
      </c>
      <c r="AF641" t="s">
        <v>74</v>
      </c>
      <c r="AG641">
        <v>94</v>
      </c>
      <c r="AH641">
        <v>3</v>
      </c>
      <c r="AI641">
        <v>3</v>
      </c>
      <c r="AJ641">
        <v>8</v>
      </c>
      <c r="AK641">
        <v>22</v>
      </c>
      <c r="AL641" t="s">
        <v>12606</v>
      </c>
      <c r="AM641" t="s">
        <v>525</v>
      </c>
      <c r="AN641" t="s">
        <v>12607</v>
      </c>
      <c r="AO641" t="s">
        <v>12608</v>
      </c>
      <c r="AP641" t="s">
        <v>12609</v>
      </c>
      <c r="AQ641" t="s">
        <v>74</v>
      </c>
      <c r="AR641" t="s">
        <v>12610</v>
      </c>
      <c r="AS641" t="s">
        <v>12611</v>
      </c>
      <c r="AT641" t="s">
        <v>12567</v>
      </c>
      <c r="AU641">
        <v>2023</v>
      </c>
      <c r="AV641">
        <v>2023</v>
      </c>
      <c r="AW641" t="s">
        <v>74</v>
      </c>
      <c r="AX641" t="s">
        <v>74</v>
      </c>
      <c r="AY641" t="s">
        <v>74</v>
      </c>
      <c r="AZ641" t="s">
        <v>74</v>
      </c>
      <c r="BA641" t="s">
        <v>74</v>
      </c>
      <c r="BB641" t="s">
        <v>74</v>
      </c>
      <c r="BC641" t="s">
        <v>74</v>
      </c>
      <c r="BD641">
        <v>8261473</v>
      </c>
      <c r="BE641" t="s">
        <v>12612</v>
      </c>
      <c r="BF641" t="str">
        <f>HYPERLINK("http://dx.doi.org/10.1155/2023/8261473","http://dx.doi.org/10.1155/2023/8261473")</f>
        <v>http://dx.doi.org/10.1155/2023/8261473</v>
      </c>
      <c r="BG641" t="s">
        <v>74</v>
      </c>
      <c r="BH641" t="s">
        <v>74</v>
      </c>
      <c r="BI641">
        <v>21</v>
      </c>
      <c r="BJ641" t="s">
        <v>3222</v>
      </c>
      <c r="BK641" t="s">
        <v>103</v>
      </c>
      <c r="BL641" t="s">
        <v>3222</v>
      </c>
      <c r="BM641" t="s">
        <v>12613</v>
      </c>
      <c r="BN641">
        <v>36864904</v>
      </c>
      <c r="BO641" t="s">
        <v>614</v>
      </c>
      <c r="BP641" t="s">
        <v>74</v>
      </c>
      <c r="BQ641" t="s">
        <v>74</v>
      </c>
      <c r="BR641" t="s">
        <v>106</v>
      </c>
      <c r="BS641" t="s">
        <v>12614</v>
      </c>
      <c r="BT641" t="str">
        <f>HYPERLINK("https%3A%2F%2Fwww.webofscience.com%2Fwos%2Fwoscc%2Ffull-record%2FWOS:000943369400001","View Full Record in Web of Science")</f>
        <v>View Full Record in Web of Science</v>
      </c>
    </row>
    <row r="642" spans="1:72" x14ac:dyDescent="0.15">
      <c r="A642" t="s">
        <v>72</v>
      </c>
      <c r="B642" t="s">
        <v>12615</v>
      </c>
      <c r="C642" t="s">
        <v>74</v>
      </c>
      <c r="D642" t="s">
        <v>74</v>
      </c>
      <c r="E642" t="s">
        <v>74</v>
      </c>
      <c r="F642" t="s">
        <v>12616</v>
      </c>
      <c r="G642" t="s">
        <v>74</v>
      </c>
      <c r="H642" t="s">
        <v>74</v>
      </c>
      <c r="I642" t="s">
        <v>12617</v>
      </c>
      <c r="J642" t="s">
        <v>12618</v>
      </c>
      <c r="K642" t="s">
        <v>74</v>
      </c>
      <c r="L642" t="s">
        <v>74</v>
      </c>
      <c r="M642" t="s">
        <v>78</v>
      </c>
      <c r="N642" t="s">
        <v>112</v>
      </c>
      <c r="O642" t="s">
        <v>74</v>
      </c>
      <c r="P642" t="s">
        <v>74</v>
      </c>
      <c r="Q642" t="s">
        <v>74</v>
      </c>
      <c r="R642" t="s">
        <v>74</v>
      </c>
      <c r="S642" t="s">
        <v>74</v>
      </c>
      <c r="T642" t="s">
        <v>12619</v>
      </c>
      <c r="U642" t="s">
        <v>12620</v>
      </c>
      <c r="V642" t="s">
        <v>12621</v>
      </c>
      <c r="W642" t="s">
        <v>12622</v>
      </c>
      <c r="X642" t="s">
        <v>12623</v>
      </c>
      <c r="Y642" t="s">
        <v>12624</v>
      </c>
      <c r="Z642" t="s">
        <v>12625</v>
      </c>
      <c r="AA642" t="s">
        <v>74</v>
      </c>
      <c r="AB642" t="s">
        <v>74</v>
      </c>
      <c r="AC642" t="s">
        <v>74</v>
      </c>
      <c r="AD642" t="s">
        <v>74</v>
      </c>
      <c r="AE642" t="s">
        <v>74</v>
      </c>
      <c r="AF642" t="s">
        <v>74</v>
      </c>
      <c r="AG642">
        <v>59</v>
      </c>
      <c r="AH642">
        <v>2</v>
      </c>
      <c r="AI642">
        <v>2</v>
      </c>
      <c r="AJ642">
        <v>1</v>
      </c>
      <c r="AK642">
        <v>8</v>
      </c>
      <c r="AL642" t="s">
        <v>524</v>
      </c>
      <c r="AM642" t="s">
        <v>525</v>
      </c>
      <c r="AN642" t="s">
        <v>526</v>
      </c>
      <c r="AO642" t="s">
        <v>12626</v>
      </c>
      <c r="AP642" t="s">
        <v>74</v>
      </c>
      <c r="AQ642" t="s">
        <v>74</v>
      </c>
      <c r="AR642" t="s">
        <v>12627</v>
      </c>
      <c r="AS642" t="s">
        <v>12628</v>
      </c>
      <c r="AT642" t="s">
        <v>12567</v>
      </c>
      <c r="AU642">
        <v>2023</v>
      </c>
      <c r="AV642">
        <v>16</v>
      </c>
      <c r="AW642">
        <v>1</v>
      </c>
      <c r="AX642" t="s">
        <v>74</v>
      </c>
      <c r="AY642" t="s">
        <v>74</v>
      </c>
      <c r="AZ642" t="s">
        <v>74</v>
      </c>
      <c r="BA642" t="s">
        <v>74</v>
      </c>
      <c r="BB642" t="s">
        <v>74</v>
      </c>
      <c r="BC642" t="s">
        <v>74</v>
      </c>
      <c r="BD642" t="s">
        <v>74</v>
      </c>
      <c r="BE642" t="s">
        <v>12629</v>
      </c>
      <c r="BF642" t="str">
        <f>HYPERLINK("http://dx.doi.org/10.1186/s13071-022-05641-9","http://dx.doi.org/10.1186/s13071-022-05641-9")</f>
        <v>http://dx.doi.org/10.1186/s13071-022-05641-9</v>
      </c>
      <c r="BG642" t="s">
        <v>74</v>
      </c>
      <c r="BH642" t="s">
        <v>74</v>
      </c>
      <c r="BI642">
        <v>17</v>
      </c>
      <c r="BJ642" t="s">
        <v>12630</v>
      </c>
      <c r="BK642" t="s">
        <v>103</v>
      </c>
      <c r="BL642" t="s">
        <v>12630</v>
      </c>
      <c r="BM642" t="s">
        <v>12631</v>
      </c>
      <c r="BN642">
        <v>36810195</v>
      </c>
      <c r="BO642" t="s">
        <v>136</v>
      </c>
      <c r="BP642" t="s">
        <v>74</v>
      </c>
      <c r="BQ642" t="s">
        <v>74</v>
      </c>
      <c r="BR642" t="s">
        <v>106</v>
      </c>
      <c r="BS642" t="s">
        <v>12632</v>
      </c>
      <c r="BT642" t="str">
        <f>HYPERLINK("https%3A%2F%2Fwww.webofscience.com%2Fwos%2Fwoscc%2Ffull-record%2FWOS:000936973900001","View Full Record in Web of Science")</f>
        <v>View Full Record in Web of Science</v>
      </c>
    </row>
    <row r="643" spans="1:72" x14ac:dyDescent="0.15">
      <c r="A643" t="s">
        <v>72</v>
      </c>
      <c r="B643" t="s">
        <v>12633</v>
      </c>
      <c r="C643" t="s">
        <v>74</v>
      </c>
      <c r="D643" t="s">
        <v>74</v>
      </c>
      <c r="E643" t="s">
        <v>74</v>
      </c>
      <c r="F643" t="s">
        <v>12634</v>
      </c>
      <c r="G643" t="s">
        <v>74</v>
      </c>
      <c r="H643" t="s">
        <v>74</v>
      </c>
      <c r="I643" t="s">
        <v>12635</v>
      </c>
      <c r="J643" t="s">
        <v>782</v>
      </c>
      <c r="K643" t="s">
        <v>74</v>
      </c>
      <c r="L643" t="s">
        <v>74</v>
      </c>
      <c r="M643" t="s">
        <v>78</v>
      </c>
      <c r="N643" t="s">
        <v>112</v>
      </c>
      <c r="O643" t="s">
        <v>74</v>
      </c>
      <c r="P643" t="s">
        <v>74</v>
      </c>
      <c r="Q643" t="s">
        <v>74</v>
      </c>
      <c r="R643" t="s">
        <v>74</v>
      </c>
      <c r="S643" t="s">
        <v>74</v>
      </c>
      <c r="T643" t="s">
        <v>74</v>
      </c>
      <c r="U643" t="s">
        <v>12636</v>
      </c>
      <c r="V643" t="s">
        <v>12637</v>
      </c>
      <c r="W643" t="s">
        <v>12638</v>
      </c>
      <c r="X643" t="s">
        <v>12639</v>
      </c>
      <c r="Y643" t="s">
        <v>12640</v>
      </c>
      <c r="Z643" t="s">
        <v>12641</v>
      </c>
      <c r="AA643" t="s">
        <v>12642</v>
      </c>
      <c r="AB643" t="s">
        <v>12643</v>
      </c>
      <c r="AC643" t="s">
        <v>12644</v>
      </c>
      <c r="AD643" t="s">
        <v>12645</v>
      </c>
      <c r="AE643" t="s">
        <v>12646</v>
      </c>
      <c r="AF643" t="s">
        <v>74</v>
      </c>
      <c r="AG643">
        <v>88</v>
      </c>
      <c r="AH643">
        <v>6</v>
      </c>
      <c r="AI643">
        <v>6</v>
      </c>
      <c r="AJ643">
        <v>1</v>
      </c>
      <c r="AK643">
        <v>6</v>
      </c>
      <c r="AL643" t="s">
        <v>794</v>
      </c>
      <c r="AM643" t="s">
        <v>795</v>
      </c>
      <c r="AN643" t="s">
        <v>796</v>
      </c>
      <c r="AO643" t="s">
        <v>797</v>
      </c>
      <c r="AP643" t="s">
        <v>798</v>
      </c>
      <c r="AQ643" t="s">
        <v>74</v>
      </c>
      <c r="AR643" t="s">
        <v>782</v>
      </c>
      <c r="AS643" t="s">
        <v>799</v>
      </c>
      <c r="AT643" t="s">
        <v>12567</v>
      </c>
      <c r="AU643">
        <v>2023</v>
      </c>
      <c r="AV643">
        <v>17</v>
      </c>
      <c r="AW643">
        <v>2</v>
      </c>
      <c r="AX643" t="s">
        <v>74</v>
      </c>
      <c r="AY643" t="s">
        <v>74</v>
      </c>
      <c r="AZ643" t="s">
        <v>74</v>
      </c>
      <c r="BA643" t="s">
        <v>74</v>
      </c>
      <c r="BB643">
        <v>865</v>
      </c>
      <c r="BC643">
        <v>881</v>
      </c>
      <c r="BD643" t="s">
        <v>74</v>
      </c>
      <c r="BE643" t="s">
        <v>12647</v>
      </c>
      <c r="BF643" t="str">
        <f>HYPERLINK("http://dx.doi.org/10.5194/tc-17-865-2023","http://dx.doi.org/10.5194/tc-17-865-2023")</f>
        <v>http://dx.doi.org/10.5194/tc-17-865-2023</v>
      </c>
      <c r="BG643" t="s">
        <v>74</v>
      </c>
      <c r="BH643" t="s">
        <v>74</v>
      </c>
      <c r="BI643">
        <v>17</v>
      </c>
      <c r="BJ643" t="s">
        <v>801</v>
      </c>
      <c r="BK643" t="s">
        <v>103</v>
      </c>
      <c r="BL643" t="s">
        <v>802</v>
      </c>
      <c r="BM643" t="s">
        <v>12648</v>
      </c>
      <c r="BN643" t="s">
        <v>74</v>
      </c>
      <c r="BO643" t="s">
        <v>359</v>
      </c>
      <c r="BP643" t="s">
        <v>74</v>
      </c>
      <c r="BQ643" t="s">
        <v>74</v>
      </c>
      <c r="BR643" t="s">
        <v>106</v>
      </c>
      <c r="BS643" t="s">
        <v>12649</v>
      </c>
      <c r="BT643" t="str">
        <f>HYPERLINK("https%3A%2F%2Fwww.webofscience.com%2Fwos%2Fwoscc%2Ffull-record%2FWOS:000936862400001","View Full Record in Web of Science")</f>
        <v>View Full Record in Web of Science</v>
      </c>
    </row>
    <row r="644" spans="1:72" x14ac:dyDescent="0.15">
      <c r="A644" t="s">
        <v>72</v>
      </c>
      <c r="B644" t="s">
        <v>12650</v>
      </c>
      <c r="C644" t="s">
        <v>74</v>
      </c>
      <c r="D644" t="s">
        <v>74</v>
      </c>
      <c r="E644" t="s">
        <v>74</v>
      </c>
      <c r="F644" t="s">
        <v>12651</v>
      </c>
      <c r="G644" t="s">
        <v>74</v>
      </c>
      <c r="H644" t="s">
        <v>74</v>
      </c>
      <c r="I644" t="s">
        <v>12652</v>
      </c>
      <c r="J644" t="s">
        <v>12653</v>
      </c>
      <c r="K644" t="s">
        <v>74</v>
      </c>
      <c r="L644" t="s">
        <v>74</v>
      </c>
      <c r="M644" t="s">
        <v>78</v>
      </c>
      <c r="N644" t="s">
        <v>112</v>
      </c>
      <c r="O644" t="s">
        <v>74</v>
      </c>
      <c r="P644" t="s">
        <v>74</v>
      </c>
      <c r="Q644" t="s">
        <v>74</v>
      </c>
      <c r="R644" t="s">
        <v>74</v>
      </c>
      <c r="S644" t="s">
        <v>74</v>
      </c>
      <c r="T644" t="s">
        <v>12654</v>
      </c>
      <c r="U644" t="s">
        <v>12655</v>
      </c>
      <c r="V644" t="s">
        <v>12656</v>
      </c>
      <c r="W644" t="s">
        <v>12657</v>
      </c>
      <c r="X644" t="s">
        <v>12658</v>
      </c>
      <c r="Y644" t="s">
        <v>12659</v>
      </c>
      <c r="Z644" t="s">
        <v>12660</v>
      </c>
      <c r="AA644" t="s">
        <v>12661</v>
      </c>
      <c r="AB644" t="s">
        <v>12662</v>
      </c>
      <c r="AC644" t="s">
        <v>12663</v>
      </c>
      <c r="AD644" t="s">
        <v>12664</v>
      </c>
      <c r="AE644" t="s">
        <v>12665</v>
      </c>
      <c r="AF644" t="s">
        <v>74</v>
      </c>
      <c r="AG644">
        <v>40</v>
      </c>
      <c r="AH644">
        <v>6</v>
      </c>
      <c r="AI644">
        <v>6</v>
      </c>
      <c r="AJ644">
        <v>4</v>
      </c>
      <c r="AK644">
        <v>14</v>
      </c>
      <c r="AL644" t="s">
        <v>2092</v>
      </c>
      <c r="AM644" t="s">
        <v>2093</v>
      </c>
      <c r="AN644" t="s">
        <v>2094</v>
      </c>
      <c r="AO644" t="s">
        <v>12666</v>
      </c>
      <c r="AP644" t="s">
        <v>74</v>
      </c>
      <c r="AQ644" t="s">
        <v>74</v>
      </c>
      <c r="AR644" t="s">
        <v>12667</v>
      </c>
      <c r="AS644" t="s">
        <v>12668</v>
      </c>
      <c r="AT644" t="s">
        <v>8042</v>
      </c>
      <c r="AU644">
        <v>2023</v>
      </c>
      <c r="AV644">
        <v>16</v>
      </c>
      <c r="AW644">
        <v>2</v>
      </c>
      <c r="AX644" t="s">
        <v>74</v>
      </c>
      <c r="AY644" t="s">
        <v>74</v>
      </c>
      <c r="AZ644" t="s">
        <v>74</v>
      </c>
      <c r="BA644" t="s">
        <v>74</v>
      </c>
      <c r="BB644" t="s">
        <v>74</v>
      </c>
      <c r="BC644" t="s">
        <v>74</v>
      </c>
      <c r="BD644" t="s">
        <v>74</v>
      </c>
      <c r="BE644" t="s">
        <v>12669</v>
      </c>
      <c r="BF644" t="str">
        <f>HYPERLINK("http://dx.doi.org/10.1111/conl.12940","http://dx.doi.org/10.1111/conl.12940")</f>
        <v>http://dx.doi.org/10.1111/conl.12940</v>
      </c>
      <c r="BG644" t="s">
        <v>74</v>
      </c>
      <c r="BH644" t="s">
        <v>11628</v>
      </c>
      <c r="BI644">
        <v>10</v>
      </c>
      <c r="BJ644" t="s">
        <v>1139</v>
      </c>
      <c r="BK644" t="s">
        <v>103</v>
      </c>
      <c r="BL644" t="s">
        <v>1140</v>
      </c>
      <c r="BM644" t="s">
        <v>12670</v>
      </c>
      <c r="BN644" t="s">
        <v>74</v>
      </c>
      <c r="BO644" t="s">
        <v>359</v>
      </c>
      <c r="BP644" t="s">
        <v>74</v>
      </c>
      <c r="BQ644" t="s">
        <v>74</v>
      </c>
      <c r="BR644" t="s">
        <v>106</v>
      </c>
      <c r="BS644" t="s">
        <v>12671</v>
      </c>
      <c r="BT644" t="str">
        <f>HYPERLINK("https%3A%2F%2Fwww.webofscience.com%2Fwos%2Fwoscc%2Ffull-record%2FWOS:000935952800001","View Full Record in Web of Science")</f>
        <v>View Full Record in Web of Science</v>
      </c>
    </row>
    <row r="645" spans="1:72" x14ac:dyDescent="0.15">
      <c r="A645" t="s">
        <v>72</v>
      </c>
      <c r="B645" t="s">
        <v>12672</v>
      </c>
      <c r="C645" t="s">
        <v>74</v>
      </c>
      <c r="D645" t="s">
        <v>74</v>
      </c>
      <c r="E645" t="s">
        <v>74</v>
      </c>
      <c r="F645" t="s">
        <v>12673</v>
      </c>
      <c r="G645" t="s">
        <v>74</v>
      </c>
      <c r="H645" t="s">
        <v>74</v>
      </c>
      <c r="I645" t="s">
        <v>12674</v>
      </c>
      <c r="J645" t="s">
        <v>12479</v>
      </c>
      <c r="K645" t="s">
        <v>74</v>
      </c>
      <c r="L645" t="s">
        <v>74</v>
      </c>
      <c r="M645" t="s">
        <v>78</v>
      </c>
      <c r="N645" t="s">
        <v>112</v>
      </c>
      <c r="O645" t="s">
        <v>74</v>
      </c>
      <c r="P645" t="s">
        <v>74</v>
      </c>
      <c r="Q645" t="s">
        <v>74</v>
      </c>
      <c r="R645" t="s">
        <v>74</v>
      </c>
      <c r="S645" t="s">
        <v>74</v>
      </c>
      <c r="T645" t="s">
        <v>74</v>
      </c>
      <c r="U645" t="s">
        <v>74</v>
      </c>
      <c r="V645" t="s">
        <v>12675</v>
      </c>
      <c r="W645" t="s">
        <v>12676</v>
      </c>
      <c r="X645" t="s">
        <v>12677</v>
      </c>
      <c r="Y645" t="s">
        <v>12678</v>
      </c>
      <c r="Z645" t="s">
        <v>7035</v>
      </c>
      <c r="AA645" t="s">
        <v>12679</v>
      </c>
      <c r="AB645" t="s">
        <v>12680</v>
      </c>
      <c r="AC645" t="s">
        <v>12681</v>
      </c>
      <c r="AD645" t="s">
        <v>12682</v>
      </c>
      <c r="AE645" t="s">
        <v>12683</v>
      </c>
      <c r="AF645" t="s">
        <v>74</v>
      </c>
      <c r="AG645">
        <v>12</v>
      </c>
      <c r="AH645">
        <v>2</v>
      </c>
      <c r="AI645">
        <v>2</v>
      </c>
      <c r="AJ645">
        <v>0</v>
      </c>
      <c r="AK645">
        <v>1</v>
      </c>
      <c r="AL645" t="s">
        <v>1599</v>
      </c>
      <c r="AM645" t="s">
        <v>306</v>
      </c>
      <c r="AN645" t="s">
        <v>1600</v>
      </c>
      <c r="AO645" t="s">
        <v>12488</v>
      </c>
      <c r="AP645" t="s">
        <v>74</v>
      </c>
      <c r="AQ645" t="s">
        <v>74</v>
      </c>
      <c r="AR645" t="s">
        <v>12489</v>
      </c>
      <c r="AS645" t="s">
        <v>12490</v>
      </c>
      <c r="AT645" t="s">
        <v>7848</v>
      </c>
      <c r="AU645">
        <v>2023</v>
      </c>
      <c r="AV645">
        <v>12</v>
      </c>
      <c r="AW645">
        <v>3</v>
      </c>
      <c r="AX645" t="s">
        <v>74</v>
      </c>
      <c r="AY645" t="s">
        <v>74</v>
      </c>
      <c r="AZ645" t="s">
        <v>74</v>
      </c>
      <c r="BA645" t="s">
        <v>74</v>
      </c>
      <c r="BB645" t="s">
        <v>74</v>
      </c>
      <c r="BC645" t="s">
        <v>74</v>
      </c>
      <c r="BD645" t="s">
        <v>74</v>
      </c>
      <c r="BE645" t="s">
        <v>12684</v>
      </c>
      <c r="BF645" t="str">
        <f>HYPERLINK("http://dx.doi.org/10.1128/mra.01167-22","http://dx.doi.org/10.1128/mra.01167-22")</f>
        <v>http://dx.doi.org/10.1128/mra.01167-22</v>
      </c>
      <c r="BG645" t="s">
        <v>74</v>
      </c>
      <c r="BH645" t="s">
        <v>11628</v>
      </c>
      <c r="BI645">
        <v>3</v>
      </c>
      <c r="BJ645" t="s">
        <v>1387</v>
      </c>
      <c r="BK645" t="s">
        <v>160</v>
      </c>
      <c r="BL645" t="s">
        <v>1387</v>
      </c>
      <c r="BM645" t="s">
        <v>12492</v>
      </c>
      <c r="BN645">
        <v>36809035</v>
      </c>
      <c r="BO645" t="s">
        <v>136</v>
      </c>
      <c r="BP645" t="s">
        <v>74</v>
      </c>
      <c r="BQ645" t="s">
        <v>74</v>
      </c>
      <c r="BR645" t="s">
        <v>106</v>
      </c>
      <c r="BS645" t="s">
        <v>12685</v>
      </c>
      <c r="BT645" t="str">
        <f>HYPERLINK("https%3A%2F%2Fwww.webofscience.com%2Fwos%2Fwoscc%2Ffull-record%2FWOS:000935897700001","View Full Record in Web of Science")</f>
        <v>View Full Record in Web of Science</v>
      </c>
    </row>
    <row r="646" spans="1:72" x14ac:dyDescent="0.15">
      <c r="A646" t="s">
        <v>72</v>
      </c>
      <c r="B646" t="s">
        <v>12686</v>
      </c>
      <c r="C646" t="s">
        <v>74</v>
      </c>
      <c r="D646" t="s">
        <v>74</v>
      </c>
      <c r="E646" t="s">
        <v>74</v>
      </c>
      <c r="F646" t="s">
        <v>12687</v>
      </c>
      <c r="G646" t="s">
        <v>74</v>
      </c>
      <c r="H646" t="s">
        <v>74</v>
      </c>
      <c r="I646" t="s">
        <v>12688</v>
      </c>
      <c r="J646" t="s">
        <v>12689</v>
      </c>
      <c r="K646" t="s">
        <v>74</v>
      </c>
      <c r="L646" t="s">
        <v>74</v>
      </c>
      <c r="M646" t="s">
        <v>78</v>
      </c>
      <c r="N646" t="s">
        <v>112</v>
      </c>
      <c r="O646" t="s">
        <v>74</v>
      </c>
      <c r="P646" t="s">
        <v>74</v>
      </c>
      <c r="Q646" t="s">
        <v>74</v>
      </c>
      <c r="R646" t="s">
        <v>74</v>
      </c>
      <c r="S646" t="s">
        <v>74</v>
      </c>
      <c r="T646" t="s">
        <v>74</v>
      </c>
      <c r="U646" t="s">
        <v>12690</v>
      </c>
      <c r="V646" t="s">
        <v>12691</v>
      </c>
      <c r="W646" t="s">
        <v>12692</v>
      </c>
      <c r="X646" t="s">
        <v>12693</v>
      </c>
      <c r="Y646" t="s">
        <v>12694</v>
      </c>
      <c r="Z646" t="s">
        <v>12695</v>
      </c>
      <c r="AA646" t="s">
        <v>12696</v>
      </c>
      <c r="AB646" t="s">
        <v>12697</v>
      </c>
      <c r="AC646" t="s">
        <v>12698</v>
      </c>
      <c r="AD646" t="s">
        <v>12699</v>
      </c>
      <c r="AE646" t="s">
        <v>12700</v>
      </c>
      <c r="AF646" t="s">
        <v>74</v>
      </c>
      <c r="AG646">
        <v>59</v>
      </c>
      <c r="AH646">
        <v>5</v>
      </c>
      <c r="AI646">
        <v>5</v>
      </c>
      <c r="AJ646">
        <v>13</v>
      </c>
      <c r="AK646">
        <v>23</v>
      </c>
      <c r="AL646" t="s">
        <v>2092</v>
      </c>
      <c r="AM646" t="s">
        <v>2093</v>
      </c>
      <c r="AN646" t="s">
        <v>2094</v>
      </c>
      <c r="AO646" t="s">
        <v>12701</v>
      </c>
      <c r="AP646" t="s">
        <v>74</v>
      </c>
      <c r="AQ646" t="s">
        <v>74</v>
      </c>
      <c r="AR646" t="s">
        <v>12702</v>
      </c>
      <c r="AS646" t="s">
        <v>12703</v>
      </c>
      <c r="AT646" t="s">
        <v>232</v>
      </c>
      <c r="AU646">
        <v>2023</v>
      </c>
      <c r="AV646">
        <v>15</v>
      </c>
      <c r="AW646">
        <v>3</v>
      </c>
      <c r="AX646" t="s">
        <v>74</v>
      </c>
      <c r="AY646" t="s">
        <v>74</v>
      </c>
      <c r="AZ646" t="s">
        <v>74</v>
      </c>
      <c r="BA646" t="s">
        <v>74</v>
      </c>
      <c r="BB646">
        <v>216</v>
      </c>
      <c r="BC646">
        <v>228</v>
      </c>
      <c r="BD646" t="s">
        <v>74</v>
      </c>
      <c r="BE646" t="s">
        <v>12704</v>
      </c>
      <c r="BF646" t="str">
        <f>HYPERLINK("http://dx.doi.org/10.1111/1758-2229.13145","http://dx.doi.org/10.1111/1758-2229.13145")</f>
        <v>http://dx.doi.org/10.1111/1758-2229.13145</v>
      </c>
      <c r="BG646" t="s">
        <v>74</v>
      </c>
      <c r="BH646" t="s">
        <v>11628</v>
      </c>
      <c r="BI646">
        <v>13</v>
      </c>
      <c r="BJ646" t="s">
        <v>12705</v>
      </c>
      <c r="BK646" t="s">
        <v>103</v>
      </c>
      <c r="BL646" t="s">
        <v>12706</v>
      </c>
      <c r="BM646" t="s">
        <v>12707</v>
      </c>
      <c r="BN646">
        <v>36810880</v>
      </c>
      <c r="BO646" t="s">
        <v>1748</v>
      </c>
      <c r="BP646" t="s">
        <v>74</v>
      </c>
      <c r="BQ646" t="s">
        <v>74</v>
      </c>
      <c r="BR646" t="s">
        <v>106</v>
      </c>
      <c r="BS646" t="s">
        <v>12708</v>
      </c>
      <c r="BT646" t="str">
        <f>HYPERLINK("https%3A%2F%2Fwww.webofscience.com%2Fwos%2Fwoscc%2Ffull-record%2FWOS:000936920500001","View Full Record in Web of Science")</f>
        <v>View Full Record in Web of Science</v>
      </c>
    </row>
    <row r="647" spans="1:72" x14ac:dyDescent="0.15">
      <c r="A647" t="s">
        <v>72</v>
      </c>
      <c r="B647" t="s">
        <v>12709</v>
      </c>
      <c r="C647" t="s">
        <v>74</v>
      </c>
      <c r="D647" t="s">
        <v>74</v>
      </c>
      <c r="E647" t="s">
        <v>74</v>
      </c>
      <c r="F647" t="s">
        <v>12710</v>
      </c>
      <c r="G647" t="s">
        <v>74</v>
      </c>
      <c r="H647" t="s">
        <v>74</v>
      </c>
      <c r="I647" t="s">
        <v>12711</v>
      </c>
      <c r="J647" t="s">
        <v>1354</v>
      </c>
      <c r="K647" t="s">
        <v>74</v>
      </c>
      <c r="L647" t="s">
        <v>74</v>
      </c>
      <c r="M647" t="s">
        <v>78</v>
      </c>
      <c r="N647" t="s">
        <v>365</v>
      </c>
      <c r="O647" t="s">
        <v>74</v>
      </c>
      <c r="P647" t="s">
        <v>74</v>
      </c>
      <c r="Q647" t="s">
        <v>74</v>
      </c>
      <c r="R647" t="s">
        <v>74</v>
      </c>
      <c r="S647" t="s">
        <v>74</v>
      </c>
      <c r="T647" t="s">
        <v>74</v>
      </c>
      <c r="U647" t="s">
        <v>12712</v>
      </c>
      <c r="V647" t="s">
        <v>12713</v>
      </c>
      <c r="W647" t="s">
        <v>12714</v>
      </c>
      <c r="X647" t="s">
        <v>12715</v>
      </c>
      <c r="Y647" t="s">
        <v>12716</v>
      </c>
      <c r="Z647" t="s">
        <v>12717</v>
      </c>
      <c r="AA647" t="s">
        <v>12718</v>
      </c>
      <c r="AB647" t="s">
        <v>12719</v>
      </c>
      <c r="AC647" t="s">
        <v>12720</v>
      </c>
      <c r="AD647" t="s">
        <v>12721</v>
      </c>
      <c r="AE647" t="s">
        <v>12722</v>
      </c>
      <c r="AF647" t="s">
        <v>74</v>
      </c>
      <c r="AG647">
        <v>240</v>
      </c>
      <c r="AH647">
        <v>5</v>
      </c>
      <c r="AI647">
        <v>5</v>
      </c>
      <c r="AJ647">
        <v>12</v>
      </c>
      <c r="AK647">
        <v>35</v>
      </c>
      <c r="AL647" t="s">
        <v>1357</v>
      </c>
      <c r="AM647" t="s">
        <v>525</v>
      </c>
      <c r="AN647" t="s">
        <v>1358</v>
      </c>
      <c r="AO647" t="s">
        <v>74</v>
      </c>
      <c r="AP647" t="s">
        <v>1359</v>
      </c>
      <c r="AQ647" t="s">
        <v>74</v>
      </c>
      <c r="AR647" t="s">
        <v>1360</v>
      </c>
      <c r="AS647" t="s">
        <v>1361</v>
      </c>
      <c r="AT647" t="s">
        <v>8042</v>
      </c>
      <c r="AU647">
        <v>2023</v>
      </c>
      <c r="AV647">
        <v>4</v>
      </c>
      <c r="AW647">
        <v>3</v>
      </c>
      <c r="AX647" t="s">
        <v>74</v>
      </c>
      <c r="AY647" t="s">
        <v>74</v>
      </c>
      <c r="AZ647" t="s">
        <v>74</v>
      </c>
      <c r="BA647" t="s">
        <v>74</v>
      </c>
      <c r="BB647">
        <v>185</v>
      </c>
      <c r="BC647">
        <v>204</v>
      </c>
      <c r="BD647" t="s">
        <v>74</v>
      </c>
      <c r="BE647" t="s">
        <v>12723</v>
      </c>
      <c r="BF647" t="str">
        <f>HYPERLINK("http://dx.doi.org/10.1038/s43017-022-00384-8","http://dx.doi.org/10.1038/s43017-022-00384-8")</f>
        <v>http://dx.doi.org/10.1038/s43017-022-00384-8</v>
      </c>
      <c r="BG647" t="s">
        <v>74</v>
      </c>
      <c r="BH647" t="s">
        <v>11628</v>
      </c>
      <c r="BI647">
        <v>20</v>
      </c>
      <c r="BJ647" t="s">
        <v>1363</v>
      </c>
      <c r="BK647" t="s">
        <v>103</v>
      </c>
      <c r="BL647" t="s">
        <v>1364</v>
      </c>
      <c r="BM647" t="s">
        <v>12724</v>
      </c>
      <c r="BN647" t="s">
        <v>74</v>
      </c>
      <c r="BO647" t="s">
        <v>1389</v>
      </c>
      <c r="BP647" t="s">
        <v>74</v>
      </c>
      <c r="BQ647" t="s">
        <v>74</v>
      </c>
      <c r="BR647" t="s">
        <v>106</v>
      </c>
      <c r="BS647" t="s">
        <v>12725</v>
      </c>
      <c r="BT647" t="str">
        <f>HYPERLINK("https%3A%2F%2Fwww.webofscience.com%2Fwos%2Fwoscc%2Ffull-record%2FWOS:000935995800001","View Full Record in Web of Science")</f>
        <v>View Full Record in Web of Science</v>
      </c>
    </row>
    <row r="648" spans="1:72" x14ac:dyDescent="0.15">
      <c r="A648" t="s">
        <v>72</v>
      </c>
      <c r="B648" t="s">
        <v>12726</v>
      </c>
      <c r="C648" t="s">
        <v>74</v>
      </c>
      <c r="D648" t="s">
        <v>74</v>
      </c>
      <c r="E648" t="s">
        <v>74</v>
      </c>
      <c r="F648" t="s">
        <v>12727</v>
      </c>
      <c r="G648" t="s">
        <v>74</v>
      </c>
      <c r="H648" t="s">
        <v>74</v>
      </c>
      <c r="I648" t="s">
        <v>12728</v>
      </c>
      <c r="J648" t="s">
        <v>846</v>
      </c>
      <c r="K648" t="s">
        <v>74</v>
      </c>
      <c r="L648" t="s">
        <v>74</v>
      </c>
      <c r="M648" t="s">
        <v>78</v>
      </c>
      <c r="N648" t="s">
        <v>112</v>
      </c>
      <c r="O648" t="s">
        <v>74</v>
      </c>
      <c r="P648" t="s">
        <v>74</v>
      </c>
      <c r="Q648" t="s">
        <v>74</v>
      </c>
      <c r="R648" t="s">
        <v>74</v>
      </c>
      <c r="S648" t="s">
        <v>74</v>
      </c>
      <c r="T648" t="s">
        <v>12729</v>
      </c>
      <c r="U648" t="s">
        <v>12730</v>
      </c>
      <c r="V648" t="s">
        <v>12731</v>
      </c>
      <c r="W648" t="s">
        <v>12732</v>
      </c>
      <c r="X648" t="s">
        <v>12733</v>
      </c>
      <c r="Y648" t="s">
        <v>12734</v>
      </c>
      <c r="Z648" t="s">
        <v>12735</v>
      </c>
      <c r="AA648" t="s">
        <v>12736</v>
      </c>
      <c r="AB648" t="s">
        <v>12737</v>
      </c>
      <c r="AC648" t="s">
        <v>74</v>
      </c>
      <c r="AD648" t="s">
        <v>74</v>
      </c>
      <c r="AE648" t="s">
        <v>74</v>
      </c>
      <c r="AF648" t="s">
        <v>74</v>
      </c>
      <c r="AG648">
        <v>52</v>
      </c>
      <c r="AH648">
        <v>0</v>
      </c>
      <c r="AI648">
        <v>0</v>
      </c>
      <c r="AJ648">
        <v>4</v>
      </c>
      <c r="AK648">
        <v>9</v>
      </c>
      <c r="AL648" t="s">
        <v>225</v>
      </c>
      <c r="AM648" t="s">
        <v>226</v>
      </c>
      <c r="AN648" t="s">
        <v>227</v>
      </c>
      <c r="AO648" t="s">
        <v>858</v>
      </c>
      <c r="AP648" t="s">
        <v>859</v>
      </c>
      <c r="AQ648" t="s">
        <v>74</v>
      </c>
      <c r="AR648" t="s">
        <v>860</v>
      </c>
      <c r="AS648" t="s">
        <v>861</v>
      </c>
      <c r="AT648" t="s">
        <v>1437</v>
      </c>
      <c r="AU648">
        <v>2023</v>
      </c>
      <c r="AV648">
        <v>194</v>
      </c>
      <c r="AW648" t="s">
        <v>74</v>
      </c>
      <c r="AX648" t="s">
        <v>74</v>
      </c>
      <c r="AY648" t="s">
        <v>74</v>
      </c>
      <c r="AZ648" t="s">
        <v>74</v>
      </c>
      <c r="BA648" t="s">
        <v>74</v>
      </c>
      <c r="BB648" t="s">
        <v>74</v>
      </c>
      <c r="BC648" t="s">
        <v>74</v>
      </c>
      <c r="BD648">
        <v>103951</v>
      </c>
      <c r="BE648" t="s">
        <v>12738</v>
      </c>
      <c r="BF648" t="str">
        <f>HYPERLINK("http://dx.doi.org/10.1016/j.dsr.2022.103951","http://dx.doi.org/10.1016/j.dsr.2022.103951")</f>
        <v>http://dx.doi.org/10.1016/j.dsr.2022.103951</v>
      </c>
      <c r="BG648" t="s">
        <v>74</v>
      </c>
      <c r="BH648" t="s">
        <v>11628</v>
      </c>
      <c r="BI648">
        <v>11</v>
      </c>
      <c r="BJ648" t="s">
        <v>863</v>
      </c>
      <c r="BK648" t="s">
        <v>103</v>
      </c>
      <c r="BL648" t="s">
        <v>863</v>
      </c>
      <c r="BM648" t="s">
        <v>12739</v>
      </c>
      <c r="BN648" t="s">
        <v>74</v>
      </c>
      <c r="BO648" t="s">
        <v>1389</v>
      </c>
      <c r="BP648" t="s">
        <v>74</v>
      </c>
      <c r="BQ648" t="s">
        <v>74</v>
      </c>
      <c r="BR648" t="s">
        <v>106</v>
      </c>
      <c r="BS648" t="s">
        <v>12740</v>
      </c>
      <c r="BT648" t="str">
        <f>HYPERLINK("https%3A%2F%2Fwww.webofscience.com%2Fwos%2Fwoscc%2Ffull-record%2FWOS:000995453500001","View Full Record in Web of Science")</f>
        <v>View Full Record in Web of Science</v>
      </c>
    </row>
    <row r="649" spans="1:72" x14ac:dyDescent="0.15">
      <c r="A649" t="s">
        <v>72</v>
      </c>
      <c r="B649" t="s">
        <v>12741</v>
      </c>
      <c r="C649" t="s">
        <v>74</v>
      </c>
      <c r="D649" t="s">
        <v>74</v>
      </c>
      <c r="E649" t="s">
        <v>74</v>
      </c>
      <c r="F649" t="s">
        <v>12742</v>
      </c>
      <c r="G649" t="s">
        <v>74</v>
      </c>
      <c r="H649" t="s">
        <v>74</v>
      </c>
      <c r="I649" t="s">
        <v>12743</v>
      </c>
      <c r="J649" t="s">
        <v>1777</v>
      </c>
      <c r="K649" t="s">
        <v>74</v>
      </c>
      <c r="L649" t="s">
        <v>74</v>
      </c>
      <c r="M649" t="s">
        <v>78</v>
      </c>
      <c r="N649" t="s">
        <v>112</v>
      </c>
      <c r="O649" t="s">
        <v>74</v>
      </c>
      <c r="P649" t="s">
        <v>74</v>
      </c>
      <c r="Q649" t="s">
        <v>74</v>
      </c>
      <c r="R649" t="s">
        <v>74</v>
      </c>
      <c r="S649" t="s">
        <v>74</v>
      </c>
      <c r="T649" t="s">
        <v>12744</v>
      </c>
      <c r="U649" t="s">
        <v>12745</v>
      </c>
      <c r="V649" t="s">
        <v>12746</v>
      </c>
      <c r="W649" t="s">
        <v>12747</v>
      </c>
      <c r="X649" t="s">
        <v>4852</v>
      </c>
      <c r="Y649" t="s">
        <v>12748</v>
      </c>
      <c r="Z649" t="s">
        <v>12749</v>
      </c>
      <c r="AA649" t="s">
        <v>12750</v>
      </c>
      <c r="AB649" t="s">
        <v>74</v>
      </c>
      <c r="AC649" t="s">
        <v>12751</v>
      </c>
      <c r="AD649" t="s">
        <v>3117</v>
      </c>
      <c r="AE649" t="s">
        <v>12752</v>
      </c>
      <c r="AF649" t="s">
        <v>74</v>
      </c>
      <c r="AG649">
        <v>39</v>
      </c>
      <c r="AH649">
        <v>0</v>
      </c>
      <c r="AI649">
        <v>0</v>
      </c>
      <c r="AJ649">
        <v>3</v>
      </c>
      <c r="AK649">
        <v>9</v>
      </c>
      <c r="AL649" t="s">
        <v>1405</v>
      </c>
      <c r="AM649" t="s">
        <v>226</v>
      </c>
      <c r="AN649" t="s">
        <v>1406</v>
      </c>
      <c r="AO649" t="s">
        <v>1786</v>
      </c>
      <c r="AP649" t="s">
        <v>1787</v>
      </c>
      <c r="AQ649" t="s">
        <v>74</v>
      </c>
      <c r="AR649" t="s">
        <v>1788</v>
      </c>
      <c r="AS649" t="s">
        <v>1789</v>
      </c>
      <c r="AT649" t="s">
        <v>8107</v>
      </c>
      <c r="AU649">
        <v>2023</v>
      </c>
      <c r="AV649">
        <v>71</v>
      </c>
      <c r="AW649">
        <v>6</v>
      </c>
      <c r="AX649" t="s">
        <v>74</v>
      </c>
      <c r="AY649" t="s">
        <v>74</v>
      </c>
      <c r="AZ649" t="s">
        <v>74</v>
      </c>
      <c r="BA649" t="s">
        <v>74</v>
      </c>
      <c r="BB649">
        <v>2909</v>
      </c>
      <c r="BC649">
        <v>2923</v>
      </c>
      <c r="BD649" t="s">
        <v>74</v>
      </c>
      <c r="BE649" t="s">
        <v>12753</v>
      </c>
      <c r="BF649" t="str">
        <f>HYPERLINK("http://dx.doi.org/10.1016/j.asr.2022.11.030","http://dx.doi.org/10.1016/j.asr.2022.11.030")</f>
        <v>http://dx.doi.org/10.1016/j.asr.2022.11.030</v>
      </c>
      <c r="BG649" t="s">
        <v>74</v>
      </c>
      <c r="BH649" t="s">
        <v>11628</v>
      </c>
      <c r="BI649">
        <v>15</v>
      </c>
      <c r="BJ649" t="s">
        <v>1792</v>
      </c>
      <c r="BK649" t="s">
        <v>103</v>
      </c>
      <c r="BL649" t="s">
        <v>1793</v>
      </c>
      <c r="BM649" t="s">
        <v>12754</v>
      </c>
      <c r="BN649" t="s">
        <v>74</v>
      </c>
      <c r="BO649" t="s">
        <v>74</v>
      </c>
      <c r="BP649" t="s">
        <v>74</v>
      </c>
      <c r="BQ649" t="s">
        <v>74</v>
      </c>
      <c r="BR649" t="s">
        <v>106</v>
      </c>
      <c r="BS649" t="s">
        <v>12755</v>
      </c>
      <c r="BT649" t="str">
        <f>HYPERLINK("https%3A%2F%2Fwww.webofscience.com%2Fwos%2Fwoscc%2Ffull-record%2FWOS:000944661100001","View Full Record in Web of Science")</f>
        <v>View Full Record in Web of Science</v>
      </c>
    </row>
    <row r="650" spans="1:72" x14ac:dyDescent="0.15">
      <c r="A650" t="s">
        <v>72</v>
      </c>
      <c r="B650" t="s">
        <v>12756</v>
      </c>
      <c r="C650" t="s">
        <v>74</v>
      </c>
      <c r="D650" t="s">
        <v>74</v>
      </c>
      <c r="E650" t="s">
        <v>74</v>
      </c>
      <c r="F650" t="s">
        <v>12757</v>
      </c>
      <c r="G650" t="s">
        <v>74</v>
      </c>
      <c r="H650" t="s">
        <v>74</v>
      </c>
      <c r="I650" t="s">
        <v>12758</v>
      </c>
      <c r="J650" t="s">
        <v>1215</v>
      </c>
      <c r="K650" t="s">
        <v>74</v>
      </c>
      <c r="L650" t="s">
        <v>74</v>
      </c>
      <c r="M650" t="s">
        <v>78</v>
      </c>
      <c r="N650" t="s">
        <v>112</v>
      </c>
      <c r="O650" t="s">
        <v>74</v>
      </c>
      <c r="P650" t="s">
        <v>74</v>
      </c>
      <c r="Q650" t="s">
        <v>74</v>
      </c>
      <c r="R650" t="s">
        <v>74</v>
      </c>
      <c r="S650" t="s">
        <v>74</v>
      </c>
      <c r="T650" t="s">
        <v>12759</v>
      </c>
      <c r="U650" t="s">
        <v>12760</v>
      </c>
      <c r="V650" t="s">
        <v>12761</v>
      </c>
      <c r="W650" t="s">
        <v>12762</v>
      </c>
      <c r="X650" t="s">
        <v>12763</v>
      </c>
      <c r="Y650" t="s">
        <v>12764</v>
      </c>
      <c r="Z650" t="s">
        <v>12765</v>
      </c>
      <c r="AA650" t="s">
        <v>12766</v>
      </c>
      <c r="AB650" t="s">
        <v>12767</v>
      </c>
      <c r="AC650" t="s">
        <v>12768</v>
      </c>
      <c r="AD650" t="s">
        <v>12769</v>
      </c>
      <c r="AE650" t="s">
        <v>12770</v>
      </c>
      <c r="AF650" t="s">
        <v>74</v>
      </c>
      <c r="AG650">
        <v>73</v>
      </c>
      <c r="AH650">
        <v>0</v>
      </c>
      <c r="AI650">
        <v>0</v>
      </c>
      <c r="AJ650">
        <v>0</v>
      </c>
      <c r="AK650">
        <v>5</v>
      </c>
      <c r="AL650" t="s">
        <v>700</v>
      </c>
      <c r="AM650" t="s">
        <v>701</v>
      </c>
      <c r="AN650" t="s">
        <v>702</v>
      </c>
      <c r="AO650" t="s">
        <v>74</v>
      </c>
      <c r="AP650" t="s">
        <v>1228</v>
      </c>
      <c r="AQ650" t="s">
        <v>74</v>
      </c>
      <c r="AR650" t="s">
        <v>1229</v>
      </c>
      <c r="AS650" t="s">
        <v>1230</v>
      </c>
      <c r="AT650" t="s">
        <v>12771</v>
      </c>
      <c r="AU650">
        <v>2023</v>
      </c>
      <c r="AV650">
        <v>10</v>
      </c>
      <c r="AW650" t="s">
        <v>74</v>
      </c>
      <c r="AX650" t="s">
        <v>74</v>
      </c>
      <c r="AY650" t="s">
        <v>74</v>
      </c>
      <c r="AZ650" t="s">
        <v>74</v>
      </c>
      <c r="BA650" t="s">
        <v>74</v>
      </c>
      <c r="BB650" t="s">
        <v>74</v>
      </c>
      <c r="BC650" t="s">
        <v>74</v>
      </c>
      <c r="BD650">
        <v>1070458</v>
      </c>
      <c r="BE650" t="s">
        <v>12772</v>
      </c>
      <c r="BF650" t="str">
        <f>HYPERLINK("http://dx.doi.org/10.3389/fmars.2023.1070458","http://dx.doi.org/10.3389/fmars.2023.1070458")</f>
        <v>http://dx.doi.org/10.3389/fmars.2023.1070458</v>
      </c>
      <c r="BG650" t="s">
        <v>74</v>
      </c>
      <c r="BH650" t="s">
        <v>74</v>
      </c>
      <c r="BI650">
        <v>13</v>
      </c>
      <c r="BJ650" t="s">
        <v>636</v>
      </c>
      <c r="BK650" t="s">
        <v>103</v>
      </c>
      <c r="BL650" t="s">
        <v>637</v>
      </c>
      <c r="BM650" t="s">
        <v>12773</v>
      </c>
      <c r="BN650" t="s">
        <v>74</v>
      </c>
      <c r="BO650" t="s">
        <v>359</v>
      </c>
      <c r="BP650" t="s">
        <v>74</v>
      </c>
      <c r="BQ650" t="s">
        <v>74</v>
      </c>
      <c r="BR650" t="s">
        <v>106</v>
      </c>
      <c r="BS650" t="s">
        <v>12774</v>
      </c>
      <c r="BT650" t="str">
        <f>HYPERLINK("https%3A%2F%2Fwww.webofscience.com%2Fwos%2Fwoscc%2Ffull-record%2FWOS:000943740100001","View Full Record in Web of Science")</f>
        <v>View Full Record in Web of Science</v>
      </c>
    </row>
    <row r="651" spans="1:72" x14ac:dyDescent="0.15">
      <c r="A651" t="s">
        <v>72</v>
      </c>
      <c r="B651" t="s">
        <v>12775</v>
      </c>
      <c r="C651" t="s">
        <v>74</v>
      </c>
      <c r="D651" t="s">
        <v>74</v>
      </c>
      <c r="E651" t="s">
        <v>74</v>
      </c>
      <c r="F651" t="s">
        <v>12776</v>
      </c>
      <c r="G651" t="s">
        <v>74</v>
      </c>
      <c r="H651" t="s">
        <v>74</v>
      </c>
      <c r="I651" t="s">
        <v>12777</v>
      </c>
      <c r="J651" t="s">
        <v>1048</v>
      </c>
      <c r="K651" t="s">
        <v>74</v>
      </c>
      <c r="L651" t="s">
        <v>74</v>
      </c>
      <c r="M651" t="s">
        <v>78</v>
      </c>
      <c r="N651" t="s">
        <v>112</v>
      </c>
      <c r="O651" t="s">
        <v>74</v>
      </c>
      <c r="P651" t="s">
        <v>74</v>
      </c>
      <c r="Q651" t="s">
        <v>74</v>
      </c>
      <c r="R651" t="s">
        <v>74</v>
      </c>
      <c r="S651" t="s">
        <v>74</v>
      </c>
      <c r="T651" t="s">
        <v>12778</v>
      </c>
      <c r="U651" t="s">
        <v>12779</v>
      </c>
      <c r="V651" t="s">
        <v>12780</v>
      </c>
      <c r="W651" t="s">
        <v>12781</v>
      </c>
      <c r="X651" t="s">
        <v>12782</v>
      </c>
      <c r="Y651" t="s">
        <v>12783</v>
      </c>
      <c r="Z651" t="s">
        <v>4145</v>
      </c>
      <c r="AA651" t="s">
        <v>12784</v>
      </c>
      <c r="AB651" t="s">
        <v>12785</v>
      </c>
      <c r="AC651" t="s">
        <v>12786</v>
      </c>
      <c r="AD651" t="s">
        <v>12787</v>
      </c>
      <c r="AE651" t="s">
        <v>12788</v>
      </c>
      <c r="AF651" t="s">
        <v>74</v>
      </c>
      <c r="AG651">
        <v>82</v>
      </c>
      <c r="AH651">
        <v>2</v>
      </c>
      <c r="AI651">
        <v>2</v>
      </c>
      <c r="AJ651">
        <v>9</v>
      </c>
      <c r="AK651">
        <v>11</v>
      </c>
      <c r="AL651" t="s">
        <v>447</v>
      </c>
      <c r="AM651" t="s">
        <v>448</v>
      </c>
      <c r="AN651" t="s">
        <v>449</v>
      </c>
      <c r="AO651" t="s">
        <v>1060</v>
      </c>
      <c r="AP651" t="s">
        <v>1061</v>
      </c>
      <c r="AQ651" t="s">
        <v>74</v>
      </c>
      <c r="AR651" t="s">
        <v>1048</v>
      </c>
      <c r="AS651" t="s">
        <v>1062</v>
      </c>
      <c r="AT651" t="s">
        <v>1790</v>
      </c>
      <c r="AU651">
        <v>2023</v>
      </c>
      <c r="AV651">
        <v>569</v>
      </c>
      <c r="AW651" t="s">
        <v>74</v>
      </c>
      <c r="AX651" t="s">
        <v>74</v>
      </c>
      <c r="AY651" t="s">
        <v>74</v>
      </c>
      <c r="AZ651" t="s">
        <v>74</v>
      </c>
      <c r="BA651" t="s">
        <v>74</v>
      </c>
      <c r="BB651" t="s">
        <v>74</v>
      </c>
      <c r="BC651" t="s">
        <v>74</v>
      </c>
      <c r="BD651">
        <v>739358</v>
      </c>
      <c r="BE651" t="s">
        <v>12789</v>
      </c>
      <c r="BF651" t="str">
        <f>HYPERLINK("http://dx.doi.org/10.1016/j.aquaculture.2023.739358","http://dx.doi.org/10.1016/j.aquaculture.2023.739358")</f>
        <v>http://dx.doi.org/10.1016/j.aquaculture.2023.739358</v>
      </c>
      <c r="BG651" t="s">
        <v>74</v>
      </c>
      <c r="BH651" t="s">
        <v>11628</v>
      </c>
      <c r="BI651">
        <v>15</v>
      </c>
      <c r="BJ651" t="s">
        <v>1065</v>
      </c>
      <c r="BK651" t="s">
        <v>103</v>
      </c>
      <c r="BL651" t="s">
        <v>1065</v>
      </c>
      <c r="BM651" t="s">
        <v>12790</v>
      </c>
      <c r="BN651" t="s">
        <v>74</v>
      </c>
      <c r="BO651" t="s">
        <v>74</v>
      </c>
      <c r="BP651" t="s">
        <v>74</v>
      </c>
      <c r="BQ651" t="s">
        <v>74</v>
      </c>
      <c r="BR651" t="s">
        <v>106</v>
      </c>
      <c r="BS651" t="s">
        <v>12791</v>
      </c>
      <c r="BT651" t="str">
        <f>HYPERLINK("https%3A%2F%2Fwww.webofscience.com%2Fwos%2Fwoscc%2Ffull-record%2FWOS:000944610800001","View Full Record in Web of Science")</f>
        <v>View Full Record in Web of Science</v>
      </c>
    </row>
    <row r="652" spans="1:72" x14ac:dyDescent="0.15">
      <c r="A652" t="s">
        <v>72</v>
      </c>
      <c r="B652" t="s">
        <v>12792</v>
      </c>
      <c r="C652" t="s">
        <v>74</v>
      </c>
      <c r="D652" t="s">
        <v>74</v>
      </c>
      <c r="E652" t="s">
        <v>74</v>
      </c>
      <c r="F652" t="s">
        <v>12793</v>
      </c>
      <c r="G652" t="s">
        <v>74</v>
      </c>
      <c r="H652" t="s">
        <v>74</v>
      </c>
      <c r="I652" t="s">
        <v>12794</v>
      </c>
      <c r="J652" t="s">
        <v>2953</v>
      </c>
      <c r="K652" t="s">
        <v>74</v>
      </c>
      <c r="L652" t="s">
        <v>74</v>
      </c>
      <c r="M652" t="s">
        <v>78</v>
      </c>
      <c r="N652" t="s">
        <v>112</v>
      </c>
      <c r="O652" t="s">
        <v>74</v>
      </c>
      <c r="P652" t="s">
        <v>74</v>
      </c>
      <c r="Q652" t="s">
        <v>74</v>
      </c>
      <c r="R652" t="s">
        <v>74</v>
      </c>
      <c r="S652" t="s">
        <v>74</v>
      </c>
      <c r="T652" t="s">
        <v>12795</v>
      </c>
      <c r="U652" t="s">
        <v>12796</v>
      </c>
      <c r="V652" t="s">
        <v>12797</v>
      </c>
      <c r="W652" t="s">
        <v>12798</v>
      </c>
      <c r="X652" t="s">
        <v>12799</v>
      </c>
      <c r="Y652" t="s">
        <v>12800</v>
      </c>
      <c r="Z652" t="s">
        <v>12801</v>
      </c>
      <c r="AA652" t="s">
        <v>12802</v>
      </c>
      <c r="AB652" t="s">
        <v>74</v>
      </c>
      <c r="AC652" t="s">
        <v>12803</v>
      </c>
      <c r="AD652" t="s">
        <v>12804</v>
      </c>
      <c r="AE652" t="s">
        <v>12805</v>
      </c>
      <c r="AF652" t="s">
        <v>74</v>
      </c>
      <c r="AG652">
        <v>71</v>
      </c>
      <c r="AH652">
        <v>3</v>
      </c>
      <c r="AI652">
        <v>3</v>
      </c>
      <c r="AJ652">
        <v>2</v>
      </c>
      <c r="AK652">
        <v>7</v>
      </c>
      <c r="AL652" t="s">
        <v>447</v>
      </c>
      <c r="AM652" t="s">
        <v>448</v>
      </c>
      <c r="AN652" t="s">
        <v>449</v>
      </c>
      <c r="AO652" t="s">
        <v>2965</v>
      </c>
      <c r="AP652" t="s">
        <v>2966</v>
      </c>
      <c r="AQ652" t="s">
        <v>74</v>
      </c>
      <c r="AR652" t="s">
        <v>2967</v>
      </c>
      <c r="AS652" t="s">
        <v>2968</v>
      </c>
      <c r="AT652" t="s">
        <v>1437</v>
      </c>
      <c r="AU652">
        <v>2023</v>
      </c>
      <c r="AV652">
        <v>180</v>
      </c>
      <c r="AW652" t="s">
        <v>74</v>
      </c>
      <c r="AX652" t="s">
        <v>74</v>
      </c>
      <c r="AY652" t="s">
        <v>74</v>
      </c>
      <c r="AZ652" t="s">
        <v>74</v>
      </c>
      <c r="BA652" t="s">
        <v>74</v>
      </c>
      <c r="BB652" t="s">
        <v>74</v>
      </c>
      <c r="BC652" t="s">
        <v>74</v>
      </c>
      <c r="BD652">
        <v>102214</v>
      </c>
      <c r="BE652" t="s">
        <v>12806</v>
      </c>
      <c r="BF652" t="str">
        <f>HYPERLINK("http://dx.doi.org/10.1016/j.marmicro.2023.102214","http://dx.doi.org/10.1016/j.marmicro.2023.102214")</f>
        <v>http://dx.doi.org/10.1016/j.marmicro.2023.102214</v>
      </c>
      <c r="BG652" t="s">
        <v>74</v>
      </c>
      <c r="BH652" t="s">
        <v>11628</v>
      </c>
      <c r="BI652">
        <v>12</v>
      </c>
      <c r="BJ652" t="s">
        <v>2970</v>
      </c>
      <c r="BK652" t="s">
        <v>103</v>
      </c>
      <c r="BL652" t="s">
        <v>2970</v>
      </c>
      <c r="BM652" t="s">
        <v>12807</v>
      </c>
      <c r="BN652" t="s">
        <v>74</v>
      </c>
      <c r="BO652" t="s">
        <v>74</v>
      </c>
      <c r="BP652" t="s">
        <v>74</v>
      </c>
      <c r="BQ652" t="s">
        <v>74</v>
      </c>
      <c r="BR652" t="s">
        <v>106</v>
      </c>
      <c r="BS652" t="s">
        <v>12808</v>
      </c>
      <c r="BT652" t="str">
        <f>HYPERLINK("https%3A%2F%2Fwww.webofscience.com%2Fwos%2Fwoscc%2Ffull-record%2FWOS:000944446200001","View Full Record in Web of Science")</f>
        <v>View Full Record in Web of Science</v>
      </c>
    </row>
    <row r="653" spans="1:72" x14ac:dyDescent="0.15">
      <c r="A653" t="s">
        <v>72</v>
      </c>
      <c r="B653" t="s">
        <v>12809</v>
      </c>
      <c r="C653" t="s">
        <v>74</v>
      </c>
      <c r="D653" t="s">
        <v>74</v>
      </c>
      <c r="E653" t="s">
        <v>74</v>
      </c>
      <c r="F653" t="s">
        <v>12810</v>
      </c>
      <c r="G653" t="s">
        <v>74</v>
      </c>
      <c r="H653" t="s">
        <v>74</v>
      </c>
      <c r="I653" t="s">
        <v>12811</v>
      </c>
      <c r="J653" t="s">
        <v>1777</v>
      </c>
      <c r="K653" t="s">
        <v>74</v>
      </c>
      <c r="L653" t="s">
        <v>74</v>
      </c>
      <c r="M653" t="s">
        <v>78</v>
      </c>
      <c r="N653" t="s">
        <v>112</v>
      </c>
      <c r="O653" t="s">
        <v>74</v>
      </c>
      <c r="P653" t="s">
        <v>74</v>
      </c>
      <c r="Q653" t="s">
        <v>74</v>
      </c>
      <c r="R653" t="s">
        <v>74</v>
      </c>
      <c r="S653" t="s">
        <v>74</v>
      </c>
      <c r="T653" t="s">
        <v>12812</v>
      </c>
      <c r="U653" t="s">
        <v>12813</v>
      </c>
      <c r="V653" t="s">
        <v>12814</v>
      </c>
      <c r="W653" t="s">
        <v>12815</v>
      </c>
      <c r="X653" t="s">
        <v>12816</v>
      </c>
      <c r="Y653" t="s">
        <v>12817</v>
      </c>
      <c r="Z653" t="s">
        <v>12818</v>
      </c>
      <c r="AA653" t="s">
        <v>12819</v>
      </c>
      <c r="AB653" t="s">
        <v>12820</v>
      </c>
      <c r="AC653" t="s">
        <v>12821</v>
      </c>
      <c r="AD653" t="s">
        <v>12822</v>
      </c>
      <c r="AE653" t="s">
        <v>12823</v>
      </c>
      <c r="AF653" t="s">
        <v>74</v>
      </c>
      <c r="AG653">
        <v>45</v>
      </c>
      <c r="AH653">
        <v>1</v>
      </c>
      <c r="AI653">
        <v>1</v>
      </c>
      <c r="AJ653">
        <v>1</v>
      </c>
      <c r="AK653">
        <v>1</v>
      </c>
      <c r="AL653" t="s">
        <v>1405</v>
      </c>
      <c r="AM653" t="s">
        <v>226</v>
      </c>
      <c r="AN653" t="s">
        <v>1406</v>
      </c>
      <c r="AO653" t="s">
        <v>1786</v>
      </c>
      <c r="AP653" t="s">
        <v>1787</v>
      </c>
      <c r="AQ653" t="s">
        <v>74</v>
      </c>
      <c r="AR653" t="s">
        <v>1788</v>
      </c>
      <c r="AS653" t="s">
        <v>1789</v>
      </c>
      <c r="AT653" t="s">
        <v>8107</v>
      </c>
      <c r="AU653">
        <v>2023</v>
      </c>
      <c r="AV653">
        <v>71</v>
      </c>
      <c r="AW653">
        <v>6</v>
      </c>
      <c r="AX653" t="s">
        <v>74</v>
      </c>
      <c r="AY653" t="s">
        <v>74</v>
      </c>
      <c r="AZ653" t="s">
        <v>74</v>
      </c>
      <c r="BA653" t="s">
        <v>74</v>
      </c>
      <c r="BB653">
        <v>2967</v>
      </c>
      <c r="BC653">
        <v>2976</v>
      </c>
      <c r="BD653" t="s">
        <v>74</v>
      </c>
      <c r="BE653" t="s">
        <v>12824</v>
      </c>
      <c r="BF653" t="str">
        <f>HYPERLINK("http://dx.doi.org/10.1016/j.asr.2022.11.041","http://dx.doi.org/10.1016/j.asr.2022.11.041")</f>
        <v>http://dx.doi.org/10.1016/j.asr.2022.11.041</v>
      </c>
      <c r="BG653" t="s">
        <v>74</v>
      </c>
      <c r="BH653" t="s">
        <v>11628</v>
      </c>
      <c r="BI653">
        <v>10</v>
      </c>
      <c r="BJ653" t="s">
        <v>1792</v>
      </c>
      <c r="BK653" t="s">
        <v>103</v>
      </c>
      <c r="BL653" t="s">
        <v>1793</v>
      </c>
      <c r="BM653" t="s">
        <v>12825</v>
      </c>
      <c r="BN653" t="s">
        <v>74</v>
      </c>
      <c r="BO653" t="s">
        <v>1389</v>
      </c>
      <c r="BP653" t="s">
        <v>74</v>
      </c>
      <c r="BQ653" t="s">
        <v>74</v>
      </c>
      <c r="BR653" t="s">
        <v>106</v>
      </c>
      <c r="BS653" t="s">
        <v>12826</v>
      </c>
      <c r="BT653" t="str">
        <f>HYPERLINK("https%3A%2F%2Fwww.webofscience.com%2Fwos%2Fwoscc%2Ffull-record%2FWOS:000944662700001","View Full Record in Web of Science")</f>
        <v>View Full Record in Web of Science</v>
      </c>
    </row>
    <row r="654" spans="1:72" x14ac:dyDescent="0.15">
      <c r="A654" t="s">
        <v>72</v>
      </c>
      <c r="B654" t="s">
        <v>12827</v>
      </c>
      <c r="C654" t="s">
        <v>74</v>
      </c>
      <c r="D654" t="s">
        <v>74</v>
      </c>
      <c r="E654" t="s">
        <v>74</v>
      </c>
      <c r="F654" t="s">
        <v>12828</v>
      </c>
      <c r="G654" t="s">
        <v>74</v>
      </c>
      <c r="H654" t="s">
        <v>74</v>
      </c>
      <c r="I654" t="s">
        <v>12829</v>
      </c>
      <c r="J654" t="s">
        <v>1394</v>
      </c>
      <c r="K654" t="s">
        <v>74</v>
      </c>
      <c r="L654" t="s">
        <v>74</v>
      </c>
      <c r="M654" t="s">
        <v>78</v>
      </c>
      <c r="N654" t="s">
        <v>112</v>
      </c>
      <c r="O654" t="s">
        <v>74</v>
      </c>
      <c r="P654" t="s">
        <v>74</v>
      </c>
      <c r="Q654" t="s">
        <v>74</v>
      </c>
      <c r="R654" t="s">
        <v>74</v>
      </c>
      <c r="S654" t="s">
        <v>74</v>
      </c>
      <c r="T654" t="s">
        <v>12830</v>
      </c>
      <c r="U654" t="s">
        <v>12831</v>
      </c>
      <c r="V654" t="s">
        <v>12832</v>
      </c>
      <c r="W654" t="s">
        <v>12833</v>
      </c>
      <c r="X654" t="s">
        <v>12834</v>
      </c>
      <c r="Y654" t="s">
        <v>12835</v>
      </c>
      <c r="Z654" t="s">
        <v>12836</v>
      </c>
      <c r="AA654" t="s">
        <v>12837</v>
      </c>
      <c r="AB654" t="s">
        <v>74</v>
      </c>
      <c r="AC654" t="s">
        <v>12838</v>
      </c>
      <c r="AD654" t="s">
        <v>12839</v>
      </c>
      <c r="AE654" t="s">
        <v>12840</v>
      </c>
      <c r="AF654" t="s">
        <v>74</v>
      </c>
      <c r="AG654">
        <v>82</v>
      </c>
      <c r="AH654">
        <v>5</v>
      </c>
      <c r="AI654">
        <v>6</v>
      </c>
      <c r="AJ654">
        <v>8</v>
      </c>
      <c r="AK654">
        <v>14</v>
      </c>
      <c r="AL654" t="s">
        <v>1405</v>
      </c>
      <c r="AM654" t="s">
        <v>226</v>
      </c>
      <c r="AN654" t="s">
        <v>1406</v>
      </c>
      <c r="AO654" t="s">
        <v>1407</v>
      </c>
      <c r="AP654" t="s">
        <v>1408</v>
      </c>
      <c r="AQ654" t="s">
        <v>74</v>
      </c>
      <c r="AR654" t="s">
        <v>1409</v>
      </c>
      <c r="AS654" t="s">
        <v>1410</v>
      </c>
      <c r="AT654" t="s">
        <v>1437</v>
      </c>
      <c r="AU654">
        <v>2023</v>
      </c>
      <c r="AV654">
        <v>186</v>
      </c>
      <c r="AW654" t="s">
        <v>74</v>
      </c>
      <c r="AX654" t="s">
        <v>74</v>
      </c>
      <c r="AY654" t="s">
        <v>74</v>
      </c>
      <c r="AZ654" t="s">
        <v>74</v>
      </c>
      <c r="BA654" t="s">
        <v>74</v>
      </c>
      <c r="BB654" t="s">
        <v>74</v>
      </c>
      <c r="BC654" t="s">
        <v>74</v>
      </c>
      <c r="BD654">
        <v>105924</v>
      </c>
      <c r="BE654" t="s">
        <v>12841</v>
      </c>
      <c r="BF654" t="str">
        <f>HYPERLINK("http://dx.doi.org/10.1016/j.marenvres.2023.105924","http://dx.doi.org/10.1016/j.marenvres.2023.105924")</f>
        <v>http://dx.doi.org/10.1016/j.marenvres.2023.105924</v>
      </c>
      <c r="BG654" t="s">
        <v>74</v>
      </c>
      <c r="BH654" t="s">
        <v>11628</v>
      </c>
      <c r="BI654">
        <v>14</v>
      </c>
      <c r="BJ654" t="s">
        <v>1412</v>
      </c>
      <c r="BK654" t="s">
        <v>103</v>
      </c>
      <c r="BL654" t="s">
        <v>1413</v>
      </c>
      <c r="BM654" t="s">
        <v>12842</v>
      </c>
      <c r="BN654">
        <v>36812840</v>
      </c>
      <c r="BO654" t="s">
        <v>74</v>
      </c>
      <c r="BP654" t="s">
        <v>74</v>
      </c>
      <c r="BQ654" t="s">
        <v>74</v>
      </c>
      <c r="BR654" t="s">
        <v>106</v>
      </c>
      <c r="BS654" t="s">
        <v>12843</v>
      </c>
      <c r="BT654" t="str">
        <f>HYPERLINK("https%3A%2F%2Fwww.webofscience.com%2Fwos%2Fwoscc%2Ffull-record%2FWOS:000944430600001","View Full Record in Web of Science")</f>
        <v>View Full Record in Web of Science</v>
      </c>
    </row>
    <row r="655" spans="1:72" x14ac:dyDescent="0.15">
      <c r="A655" t="s">
        <v>72</v>
      </c>
      <c r="B655" t="s">
        <v>12844</v>
      </c>
      <c r="C655" t="s">
        <v>74</v>
      </c>
      <c r="D655" t="s">
        <v>74</v>
      </c>
      <c r="E655" t="s">
        <v>74</v>
      </c>
      <c r="F655" t="s">
        <v>12845</v>
      </c>
      <c r="G655" t="s">
        <v>74</v>
      </c>
      <c r="H655" t="s">
        <v>74</v>
      </c>
      <c r="I655" t="s">
        <v>12846</v>
      </c>
      <c r="J655" t="s">
        <v>7278</v>
      </c>
      <c r="K655" t="s">
        <v>74</v>
      </c>
      <c r="L655" t="s">
        <v>74</v>
      </c>
      <c r="M655" t="s">
        <v>78</v>
      </c>
      <c r="N655" t="s">
        <v>112</v>
      </c>
      <c r="O655" t="s">
        <v>74</v>
      </c>
      <c r="P655" t="s">
        <v>74</v>
      </c>
      <c r="Q655" t="s">
        <v>74</v>
      </c>
      <c r="R655" t="s">
        <v>74</v>
      </c>
      <c r="S655" t="s">
        <v>74</v>
      </c>
      <c r="T655" t="s">
        <v>74</v>
      </c>
      <c r="U655" t="s">
        <v>12847</v>
      </c>
      <c r="V655" t="s">
        <v>12848</v>
      </c>
      <c r="W655" t="s">
        <v>12849</v>
      </c>
      <c r="X655" t="s">
        <v>12850</v>
      </c>
      <c r="Y655" t="s">
        <v>12851</v>
      </c>
      <c r="Z655" t="s">
        <v>12852</v>
      </c>
      <c r="AA655" t="s">
        <v>12853</v>
      </c>
      <c r="AB655" t="s">
        <v>12854</v>
      </c>
      <c r="AC655" t="s">
        <v>12855</v>
      </c>
      <c r="AD655" t="s">
        <v>12856</v>
      </c>
      <c r="AE655" t="s">
        <v>12857</v>
      </c>
      <c r="AF655" t="s">
        <v>74</v>
      </c>
      <c r="AG655">
        <v>37</v>
      </c>
      <c r="AH655">
        <v>11</v>
      </c>
      <c r="AI655">
        <v>13</v>
      </c>
      <c r="AJ655">
        <v>12</v>
      </c>
      <c r="AK655">
        <v>31</v>
      </c>
      <c r="AL655" t="s">
        <v>203</v>
      </c>
      <c r="AM655" t="s">
        <v>204</v>
      </c>
      <c r="AN655" t="s">
        <v>205</v>
      </c>
      <c r="AO655" t="s">
        <v>7290</v>
      </c>
      <c r="AP655" t="s">
        <v>7291</v>
      </c>
      <c r="AQ655" t="s">
        <v>74</v>
      </c>
      <c r="AR655" t="s">
        <v>7292</v>
      </c>
      <c r="AS655" t="s">
        <v>7293</v>
      </c>
      <c r="AT655" t="s">
        <v>8042</v>
      </c>
      <c r="AU655">
        <v>2023</v>
      </c>
      <c r="AV655">
        <v>13</v>
      </c>
      <c r="AW655">
        <v>3</v>
      </c>
      <c r="AX655" t="s">
        <v>74</v>
      </c>
      <c r="AY655" t="s">
        <v>74</v>
      </c>
      <c r="AZ655" t="s">
        <v>74</v>
      </c>
      <c r="BA655" t="s">
        <v>74</v>
      </c>
      <c r="BB655">
        <v>235</v>
      </c>
      <c r="BC655" t="s">
        <v>1385</v>
      </c>
      <c r="BD655" t="s">
        <v>74</v>
      </c>
      <c r="BE655" t="s">
        <v>12858</v>
      </c>
      <c r="BF655" t="str">
        <f>HYPERLINK("http://dx.doi.org/10.1038/s41558-023-01610-x","http://dx.doi.org/10.1038/s41558-023-01610-x")</f>
        <v>http://dx.doi.org/10.1038/s41558-023-01610-x</v>
      </c>
      <c r="BG655" t="s">
        <v>74</v>
      </c>
      <c r="BH655" t="s">
        <v>11628</v>
      </c>
      <c r="BI655">
        <v>15</v>
      </c>
      <c r="BJ655" t="s">
        <v>7296</v>
      </c>
      <c r="BK655" t="s">
        <v>595</v>
      </c>
      <c r="BL655" t="s">
        <v>357</v>
      </c>
      <c r="BM655" t="s">
        <v>12859</v>
      </c>
      <c r="BN655" t="s">
        <v>74</v>
      </c>
      <c r="BO655" t="s">
        <v>12860</v>
      </c>
      <c r="BP655" t="s">
        <v>74</v>
      </c>
      <c r="BQ655" t="s">
        <v>74</v>
      </c>
      <c r="BR655" t="s">
        <v>106</v>
      </c>
      <c r="BS655" t="s">
        <v>12861</v>
      </c>
      <c r="BT655" t="str">
        <f>HYPERLINK("https%3A%2F%2Fwww.webofscience.com%2Fwos%2Fwoscc%2Ffull-record%2FWOS:000939348000001","View Full Record in Web of Science")</f>
        <v>View Full Record in Web of Science</v>
      </c>
    </row>
    <row r="656" spans="1:72" x14ac:dyDescent="0.15">
      <c r="A656" t="s">
        <v>72</v>
      </c>
      <c r="B656" t="s">
        <v>12862</v>
      </c>
      <c r="C656" t="s">
        <v>74</v>
      </c>
      <c r="D656" t="s">
        <v>74</v>
      </c>
      <c r="E656" t="s">
        <v>74</v>
      </c>
      <c r="F656" t="s">
        <v>12863</v>
      </c>
      <c r="G656" t="s">
        <v>74</v>
      </c>
      <c r="H656" t="s">
        <v>74</v>
      </c>
      <c r="I656" t="s">
        <v>12864</v>
      </c>
      <c r="J656" t="s">
        <v>782</v>
      </c>
      <c r="K656" t="s">
        <v>74</v>
      </c>
      <c r="L656" t="s">
        <v>74</v>
      </c>
      <c r="M656" t="s">
        <v>78</v>
      </c>
      <c r="N656" t="s">
        <v>112</v>
      </c>
      <c r="O656" t="s">
        <v>74</v>
      </c>
      <c r="P656" t="s">
        <v>74</v>
      </c>
      <c r="Q656" t="s">
        <v>74</v>
      </c>
      <c r="R656" t="s">
        <v>74</v>
      </c>
      <c r="S656" t="s">
        <v>74</v>
      </c>
      <c r="T656" t="s">
        <v>74</v>
      </c>
      <c r="U656" t="s">
        <v>12865</v>
      </c>
      <c r="V656" t="s">
        <v>12866</v>
      </c>
      <c r="W656" t="s">
        <v>12867</v>
      </c>
      <c r="X656" t="s">
        <v>12868</v>
      </c>
      <c r="Y656" t="s">
        <v>12869</v>
      </c>
      <c r="Z656" t="s">
        <v>12870</v>
      </c>
      <c r="AA656" t="s">
        <v>12871</v>
      </c>
      <c r="AB656" t="s">
        <v>12872</v>
      </c>
      <c r="AC656" t="s">
        <v>12873</v>
      </c>
      <c r="AD656" t="s">
        <v>12874</v>
      </c>
      <c r="AE656" t="s">
        <v>12875</v>
      </c>
      <c r="AF656" t="s">
        <v>74</v>
      </c>
      <c r="AG656">
        <v>95</v>
      </c>
      <c r="AH656">
        <v>0</v>
      </c>
      <c r="AI656">
        <v>0</v>
      </c>
      <c r="AJ656">
        <v>2</v>
      </c>
      <c r="AK656">
        <v>5</v>
      </c>
      <c r="AL656" t="s">
        <v>794</v>
      </c>
      <c r="AM656" t="s">
        <v>795</v>
      </c>
      <c r="AN656" t="s">
        <v>796</v>
      </c>
      <c r="AO656" t="s">
        <v>797</v>
      </c>
      <c r="AP656" t="s">
        <v>798</v>
      </c>
      <c r="AQ656" t="s">
        <v>74</v>
      </c>
      <c r="AR656" t="s">
        <v>782</v>
      </c>
      <c r="AS656" t="s">
        <v>799</v>
      </c>
      <c r="AT656" t="s">
        <v>12771</v>
      </c>
      <c r="AU656">
        <v>2023</v>
      </c>
      <c r="AV656">
        <v>17</v>
      </c>
      <c r="AW656">
        <v>2</v>
      </c>
      <c r="AX656" t="s">
        <v>74</v>
      </c>
      <c r="AY656" t="s">
        <v>74</v>
      </c>
      <c r="AZ656" t="s">
        <v>74</v>
      </c>
      <c r="BA656" t="s">
        <v>74</v>
      </c>
      <c r="BB656">
        <v>843</v>
      </c>
      <c r="BC656">
        <v>863</v>
      </c>
      <c r="BD656" t="s">
        <v>74</v>
      </c>
      <c r="BE656" t="s">
        <v>12876</v>
      </c>
      <c r="BF656" t="str">
        <f>HYPERLINK("http://dx.doi.org/10.5194/tc-17-843-2023","http://dx.doi.org/10.5194/tc-17-843-2023")</f>
        <v>http://dx.doi.org/10.5194/tc-17-843-2023</v>
      </c>
      <c r="BG656" t="s">
        <v>74</v>
      </c>
      <c r="BH656" t="s">
        <v>74</v>
      </c>
      <c r="BI656">
        <v>21</v>
      </c>
      <c r="BJ656" t="s">
        <v>801</v>
      </c>
      <c r="BK656" t="s">
        <v>103</v>
      </c>
      <c r="BL656" t="s">
        <v>802</v>
      </c>
      <c r="BM656" t="s">
        <v>12877</v>
      </c>
      <c r="BN656" t="s">
        <v>74</v>
      </c>
      <c r="BO656" t="s">
        <v>359</v>
      </c>
      <c r="BP656" t="s">
        <v>74</v>
      </c>
      <c r="BQ656" t="s">
        <v>74</v>
      </c>
      <c r="BR656" t="s">
        <v>106</v>
      </c>
      <c r="BS656" t="s">
        <v>12878</v>
      </c>
      <c r="BT656" t="str">
        <f>HYPERLINK("https%3A%2F%2Fwww.webofscience.com%2Fwos%2Fwoscc%2Ffull-record%2FWOS:000936329700001","View Full Record in Web of Science")</f>
        <v>View Full Record in Web of Science</v>
      </c>
    </row>
    <row r="657" spans="1:72" x14ac:dyDescent="0.15">
      <c r="A657" t="s">
        <v>72</v>
      </c>
      <c r="B657" t="s">
        <v>12879</v>
      </c>
      <c r="C657" t="s">
        <v>74</v>
      </c>
      <c r="D657" t="s">
        <v>74</v>
      </c>
      <c r="E657" t="s">
        <v>74</v>
      </c>
      <c r="F657" t="s">
        <v>12880</v>
      </c>
      <c r="G657" t="s">
        <v>74</v>
      </c>
      <c r="H657" t="s">
        <v>74</v>
      </c>
      <c r="I657" t="s">
        <v>12881</v>
      </c>
      <c r="J657" t="s">
        <v>12882</v>
      </c>
      <c r="K657" t="s">
        <v>74</v>
      </c>
      <c r="L657" t="s">
        <v>74</v>
      </c>
      <c r="M657" t="s">
        <v>78</v>
      </c>
      <c r="N657" t="s">
        <v>112</v>
      </c>
      <c r="O657" t="s">
        <v>74</v>
      </c>
      <c r="P657" t="s">
        <v>74</v>
      </c>
      <c r="Q657" t="s">
        <v>74</v>
      </c>
      <c r="R657" t="s">
        <v>74</v>
      </c>
      <c r="S657" t="s">
        <v>74</v>
      </c>
      <c r="T657" t="s">
        <v>12883</v>
      </c>
      <c r="U657" t="s">
        <v>12884</v>
      </c>
      <c r="V657" t="s">
        <v>12885</v>
      </c>
      <c r="W657" t="s">
        <v>12886</v>
      </c>
      <c r="X657" t="s">
        <v>12887</v>
      </c>
      <c r="Y657" t="s">
        <v>12888</v>
      </c>
      <c r="Z657" t="s">
        <v>12889</v>
      </c>
      <c r="AA657" t="s">
        <v>12890</v>
      </c>
      <c r="AB657" t="s">
        <v>12891</v>
      </c>
      <c r="AC657" t="s">
        <v>12892</v>
      </c>
      <c r="AD657" t="s">
        <v>12893</v>
      </c>
      <c r="AE657" t="s">
        <v>12894</v>
      </c>
      <c r="AF657" t="s">
        <v>74</v>
      </c>
      <c r="AG657">
        <v>119</v>
      </c>
      <c r="AH657">
        <v>0</v>
      </c>
      <c r="AI657">
        <v>0</v>
      </c>
      <c r="AJ657">
        <v>4</v>
      </c>
      <c r="AK657">
        <v>5</v>
      </c>
      <c r="AL657" t="s">
        <v>2092</v>
      </c>
      <c r="AM657" t="s">
        <v>2093</v>
      </c>
      <c r="AN657" t="s">
        <v>2094</v>
      </c>
      <c r="AO657" t="s">
        <v>12895</v>
      </c>
      <c r="AP657" t="s">
        <v>12896</v>
      </c>
      <c r="AQ657" t="s">
        <v>74</v>
      </c>
      <c r="AR657" t="s">
        <v>12897</v>
      </c>
      <c r="AS657" t="s">
        <v>12898</v>
      </c>
      <c r="AT657" t="s">
        <v>570</v>
      </c>
      <c r="AU657">
        <v>2023</v>
      </c>
      <c r="AV657">
        <v>38</v>
      </c>
      <c r="AW657">
        <v>5</v>
      </c>
      <c r="AX657" t="s">
        <v>74</v>
      </c>
      <c r="AY657" t="s">
        <v>74</v>
      </c>
      <c r="AZ657" t="s">
        <v>74</v>
      </c>
      <c r="BA657" t="s">
        <v>74</v>
      </c>
      <c r="BB657">
        <v>613</v>
      </c>
      <c r="BC657">
        <v>628</v>
      </c>
      <c r="BD657" t="s">
        <v>74</v>
      </c>
      <c r="BE657" t="s">
        <v>12899</v>
      </c>
      <c r="BF657" t="str">
        <f>HYPERLINK("http://dx.doi.org/10.1002/jqs.3506","http://dx.doi.org/10.1002/jqs.3506")</f>
        <v>http://dx.doi.org/10.1002/jqs.3506</v>
      </c>
      <c r="BG657" t="s">
        <v>74</v>
      </c>
      <c r="BH657" t="s">
        <v>11628</v>
      </c>
      <c r="BI657">
        <v>16</v>
      </c>
      <c r="BJ657" t="s">
        <v>801</v>
      </c>
      <c r="BK657" t="s">
        <v>103</v>
      </c>
      <c r="BL657" t="s">
        <v>802</v>
      </c>
      <c r="BM657" t="s">
        <v>12900</v>
      </c>
      <c r="BN657" t="s">
        <v>74</v>
      </c>
      <c r="BO657" t="s">
        <v>430</v>
      </c>
      <c r="BP657" t="s">
        <v>74</v>
      </c>
      <c r="BQ657" t="s">
        <v>74</v>
      </c>
      <c r="BR657" t="s">
        <v>106</v>
      </c>
      <c r="BS657" t="s">
        <v>12901</v>
      </c>
      <c r="BT657" t="str">
        <f>HYPERLINK("https%3A%2F%2Fwww.webofscience.com%2Fwos%2Fwoscc%2Ffull-record%2FWOS:000935576200001","View Full Record in Web of Science")</f>
        <v>View Full Record in Web of Science</v>
      </c>
    </row>
    <row r="658" spans="1:72" x14ac:dyDescent="0.15">
      <c r="A658" t="s">
        <v>72</v>
      </c>
      <c r="B658" t="s">
        <v>12902</v>
      </c>
      <c r="C658" t="s">
        <v>74</v>
      </c>
      <c r="D658" t="s">
        <v>74</v>
      </c>
      <c r="E658" t="s">
        <v>74</v>
      </c>
      <c r="F658" t="s">
        <v>12903</v>
      </c>
      <c r="G658" t="s">
        <v>74</v>
      </c>
      <c r="H658" t="s">
        <v>74</v>
      </c>
      <c r="I658" t="s">
        <v>12904</v>
      </c>
      <c r="J658" t="s">
        <v>12905</v>
      </c>
      <c r="K658" t="s">
        <v>74</v>
      </c>
      <c r="L658" t="s">
        <v>74</v>
      </c>
      <c r="M658" t="s">
        <v>78</v>
      </c>
      <c r="N658" t="s">
        <v>112</v>
      </c>
      <c r="O658" t="s">
        <v>74</v>
      </c>
      <c r="P658" t="s">
        <v>74</v>
      </c>
      <c r="Q658" t="s">
        <v>74</v>
      </c>
      <c r="R658" t="s">
        <v>74</v>
      </c>
      <c r="S658" t="s">
        <v>74</v>
      </c>
      <c r="T658" t="s">
        <v>74</v>
      </c>
      <c r="U658" t="s">
        <v>12906</v>
      </c>
      <c r="V658" t="s">
        <v>12907</v>
      </c>
      <c r="W658" t="s">
        <v>12908</v>
      </c>
      <c r="X658" t="s">
        <v>12909</v>
      </c>
      <c r="Y658" t="s">
        <v>12910</v>
      </c>
      <c r="Z658" t="s">
        <v>12911</v>
      </c>
      <c r="AA658" t="s">
        <v>12912</v>
      </c>
      <c r="AB658" t="s">
        <v>12913</v>
      </c>
      <c r="AC658" t="s">
        <v>12914</v>
      </c>
      <c r="AD658" t="s">
        <v>12915</v>
      </c>
      <c r="AE658" t="s">
        <v>12916</v>
      </c>
      <c r="AF658" t="s">
        <v>74</v>
      </c>
      <c r="AG658">
        <v>80</v>
      </c>
      <c r="AH658">
        <v>2</v>
      </c>
      <c r="AI658">
        <v>2</v>
      </c>
      <c r="AJ658">
        <v>2</v>
      </c>
      <c r="AK658">
        <v>2</v>
      </c>
      <c r="AL658" t="s">
        <v>1101</v>
      </c>
      <c r="AM658" t="s">
        <v>179</v>
      </c>
      <c r="AN658" t="s">
        <v>1543</v>
      </c>
      <c r="AO658" t="s">
        <v>12917</v>
      </c>
      <c r="AP658" t="s">
        <v>12918</v>
      </c>
      <c r="AQ658" t="s">
        <v>74</v>
      </c>
      <c r="AR658" t="s">
        <v>12905</v>
      </c>
      <c r="AS658" t="s">
        <v>12919</v>
      </c>
      <c r="AT658" t="s">
        <v>3743</v>
      </c>
      <c r="AU658">
        <v>2023</v>
      </c>
      <c r="AV658">
        <v>49</v>
      </c>
      <c r="AW658">
        <v>4</v>
      </c>
      <c r="AX658" t="s">
        <v>74</v>
      </c>
      <c r="AY658" t="s">
        <v>74</v>
      </c>
      <c r="AZ658" t="s">
        <v>74</v>
      </c>
      <c r="BA658" t="s">
        <v>74</v>
      </c>
      <c r="BB658">
        <v>579</v>
      </c>
      <c r="BC658">
        <v>600</v>
      </c>
      <c r="BD658" t="s">
        <v>12920</v>
      </c>
      <c r="BE658" t="s">
        <v>12921</v>
      </c>
      <c r="BF658" t="str">
        <f>HYPERLINK("http://dx.doi.org/10.1017/pab.2023.4","http://dx.doi.org/10.1017/pab.2023.4")</f>
        <v>http://dx.doi.org/10.1017/pab.2023.4</v>
      </c>
      <c r="BG658" t="s">
        <v>74</v>
      </c>
      <c r="BH658" t="s">
        <v>11628</v>
      </c>
      <c r="BI658">
        <v>22</v>
      </c>
      <c r="BJ658" t="s">
        <v>12922</v>
      </c>
      <c r="BK658" t="s">
        <v>103</v>
      </c>
      <c r="BL658" t="s">
        <v>12923</v>
      </c>
      <c r="BM658" t="s">
        <v>12924</v>
      </c>
      <c r="BN658" t="s">
        <v>74</v>
      </c>
      <c r="BO658" t="s">
        <v>74</v>
      </c>
      <c r="BP658" t="s">
        <v>74</v>
      </c>
      <c r="BQ658" t="s">
        <v>74</v>
      </c>
      <c r="BR658" t="s">
        <v>106</v>
      </c>
      <c r="BS658" t="s">
        <v>12925</v>
      </c>
      <c r="BT658" t="str">
        <f>HYPERLINK("https%3A%2F%2Fwww.webofscience.com%2Fwos%2Fwoscc%2Ffull-record%2FWOS:000935763200001","View Full Record in Web of Science")</f>
        <v>View Full Record in Web of Science</v>
      </c>
    </row>
    <row r="659" spans="1:72" x14ac:dyDescent="0.15">
      <c r="A659" t="s">
        <v>72</v>
      </c>
      <c r="B659" t="s">
        <v>12926</v>
      </c>
      <c r="C659" t="s">
        <v>74</v>
      </c>
      <c r="D659" t="s">
        <v>74</v>
      </c>
      <c r="E659" t="s">
        <v>74</v>
      </c>
      <c r="F659" t="s">
        <v>12927</v>
      </c>
      <c r="G659" t="s">
        <v>74</v>
      </c>
      <c r="H659" t="s">
        <v>74</v>
      </c>
      <c r="I659" t="s">
        <v>12928</v>
      </c>
      <c r="J659" t="s">
        <v>2665</v>
      </c>
      <c r="K659" t="s">
        <v>74</v>
      </c>
      <c r="L659" t="s">
        <v>74</v>
      </c>
      <c r="M659" t="s">
        <v>78</v>
      </c>
      <c r="N659" t="s">
        <v>365</v>
      </c>
      <c r="O659" t="s">
        <v>74</v>
      </c>
      <c r="P659" t="s">
        <v>74</v>
      </c>
      <c r="Q659" t="s">
        <v>74</v>
      </c>
      <c r="R659" t="s">
        <v>74</v>
      </c>
      <c r="S659" t="s">
        <v>74</v>
      </c>
      <c r="T659" t="s">
        <v>12929</v>
      </c>
      <c r="U659" t="s">
        <v>12930</v>
      </c>
      <c r="V659" t="s">
        <v>12931</v>
      </c>
      <c r="W659" t="s">
        <v>12932</v>
      </c>
      <c r="X659" t="s">
        <v>12933</v>
      </c>
      <c r="Y659" t="s">
        <v>12934</v>
      </c>
      <c r="Z659" t="s">
        <v>12935</v>
      </c>
      <c r="AA659" t="s">
        <v>12936</v>
      </c>
      <c r="AB659" t="s">
        <v>12937</v>
      </c>
      <c r="AC659" t="s">
        <v>12938</v>
      </c>
      <c r="AD659" t="s">
        <v>12939</v>
      </c>
      <c r="AE659" t="s">
        <v>12940</v>
      </c>
      <c r="AF659" t="s">
        <v>74</v>
      </c>
      <c r="AG659">
        <v>66</v>
      </c>
      <c r="AH659">
        <v>5</v>
      </c>
      <c r="AI659">
        <v>5</v>
      </c>
      <c r="AJ659">
        <v>3</v>
      </c>
      <c r="AK659">
        <v>3</v>
      </c>
      <c r="AL659" t="s">
        <v>700</v>
      </c>
      <c r="AM659" t="s">
        <v>701</v>
      </c>
      <c r="AN659" t="s">
        <v>702</v>
      </c>
      <c r="AO659" t="s">
        <v>74</v>
      </c>
      <c r="AP659" t="s">
        <v>2676</v>
      </c>
      <c r="AQ659" t="s">
        <v>74</v>
      </c>
      <c r="AR659" t="s">
        <v>2677</v>
      </c>
      <c r="AS659" t="s">
        <v>2678</v>
      </c>
      <c r="AT659" t="s">
        <v>12941</v>
      </c>
      <c r="AU659">
        <v>2023</v>
      </c>
      <c r="AV659">
        <v>4</v>
      </c>
      <c r="AW659" t="s">
        <v>74</v>
      </c>
      <c r="AX659" t="s">
        <v>74</v>
      </c>
      <c r="AY659" t="s">
        <v>74</v>
      </c>
      <c r="AZ659" t="s">
        <v>74</v>
      </c>
      <c r="BA659" t="s">
        <v>74</v>
      </c>
      <c r="BB659" t="s">
        <v>74</v>
      </c>
      <c r="BC659" t="s">
        <v>74</v>
      </c>
      <c r="BD659">
        <v>952091</v>
      </c>
      <c r="BE659" t="s">
        <v>12942</v>
      </c>
      <c r="BF659" t="str">
        <f>HYPERLINK("http://dx.doi.org/10.3389/frsen.2023.952091","http://dx.doi.org/10.3389/frsen.2023.952091")</f>
        <v>http://dx.doi.org/10.3389/frsen.2023.952091</v>
      </c>
      <c r="BG659" t="s">
        <v>74</v>
      </c>
      <c r="BH659" t="s">
        <v>74</v>
      </c>
      <c r="BI659">
        <v>15</v>
      </c>
      <c r="BJ659" t="s">
        <v>2681</v>
      </c>
      <c r="BK659" t="s">
        <v>160</v>
      </c>
      <c r="BL659" t="s">
        <v>2681</v>
      </c>
      <c r="BM659" t="s">
        <v>12943</v>
      </c>
      <c r="BN659" t="s">
        <v>74</v>
      </c>
      <c r="BO659" t="s">
        <v>804</v>
      </c>
      <c r="BP659" t="s">
        <v>74</v>
      </c>
      <c r="BQ659" t="s">
        <v>74</v>
      </c>
      <c r="BR659" t="s">
        <v>106</v>
      </c>
      <c r="BS659" t="s">
        <v>12944</v>
      </c>
      <c r="BT659" t="str">
        <f>HYPERLINK("https%3A%2F%2Fwww.webofscience.com%2Fwos%2Fwoscc%2Ffull-record%2FWOS:001063268400001","View Full Record in Web of Science")</f>
        <v>View Full Record in Web of Science</v>
      </c>
    </row>
    <row r="660" spans="1:72" x14ac:dyDescent="0.15">
      <c r="A660" t="s">
        <v>72</v>
      </c>
      <c r="B660" t="s">
        <v>12945</v>
      </c>
      <c r="C660" t="s">
        <v>74</v>
      </c>
      <c r="D660" t="s">
        <v>74</v>
      </c>
      <c r="E660" t="s">
        <v>74</v>
      </c>
      <c r="F660" t="s">
        <v>12946</v>
      </c>
      <c r="G660" t="s">
        <v>74</v>
      </c>
      <c r="H660" t="s">
        <v>74</v>
      </c>
      <c r="I660" t="s">
        <v>12947</v>
      </c>
      <c r="J660" t="s">
        <v>12149</v>
      </c>
      <c r="K660" t="s">
        <v>74</v>
      </c>
      <c r="L660" t="s">
        <v>74</v>
      </c>
      <c r="M660" t="s">
        <v>78</v>
      </c>
      <c r="N660" t="s">
        <v>112</v>
      </c>
      <c r="O660" t="s">
        <v>74</v>
      </c>
      <c r="P660" t="s">
        <v>74</v>
      </c>
      <c r="Q660" t="s">
        <v>74</v>
      </c>
      <c r="R660" t="s">
        <v>74</v>
      </c>
      <c r="S660" t="s">
        <v>74</v>
      </c>
      <c r="T660" t="s">
        <v>74</v>
      </c>
      <c r="U660" t="s">
        <v>12948</v>
      </c>
      <c r="V660" t="s">
        <v>12949</v>
      </c>
      <c r="W660" t="s">
        <v>12950</v>
      </c>
      <c r="X660" t="s">
        <v>12951</v>
      </c>
      <c r="Y660" t="s">
        <v>12952</v>
      </c>
      <c r="Z660" t="s">
        <v>12953</v>
      </c>
      <c r="AA660" t="s">
        <v>74</v>
      </c>
      <c r="AB660" t="s">
        <v>12954</v>
      </c>
      <c r="AC660" t="s">
        <v>12955</v>
      </c>
      <c r="AD660" t="s">
        <v>12956</v>
      </c>
      <c r="AE660" t="s">
        <v>12957</v>
      </c>
      <c r="AF660" t="s">
        <v>74</v>
      </c>
      <c r="AG660">
        <v>55</v>
      </c>
      <c r="AH660">
        <v>2</v>
      </c>
      <c r="AI660">
        <v>2</v>
      </c>
      <c r="AJ660">
        <v>5</v>
      </c>
      <c r="AK660">
        <v>16</v>
      </c>
      <c r="AL660" t="s">
        <v>1841</v>
      </c>
      <c r="AM660" t="s">
        <v>306</v>
      </c>
      <c r="AN660" t="s">
        <v>1842</v>
      </c>
      <c r="AO660" t="s">
        <v>12161</v>
      </c>
      <c r="AP660" t="s">
        <v>74</v>
      </c>
      <c r="AQ660" t="s">
        <v>74</v>
      </c>
      <c r="AR660" t="s">
        <v>12162</v>
      </c>
      <c r="AS660" t="s">
        <v>12163</v>
      </c>
      <c r="AT660" t="s">
        <v>12941</v>
      </c>
      <c r="AU660">
        <v>2023</v>
      </c>
      <c r="AV660">
        <v>9</v>
      </c>
      <c r="AW660">
        <v>7</v>
      </c>
      <c r="AX660" t="s">
        <v>74</v>
      </c>
      <c r="AY660" t="s">
        <v>74</v>
      </c>
      <c r="AZ660" t="s">
        <v>74</v>
      </c>
      <c r="BA660" t="s">
        <v>74</v>
      </c>
      <c r="BB660" t="s">
        <v>74</v>
      </c>
      <c r="BC660" t="s">
        <v>74</v>
      </c>
      <c r="BD660" t="s">
        <v>12958</v>
      </c>
      <c r="BE660" t="s">
        <v>12959</v>
      </c>
      <c r="BF660" t="str">
        <f>HYPERLINK("http://dx.doi.org/10.1126/sciadv.add7082","http://dx.doi.org/10.1126/sciadv.add7082")</f>
        <v>http://dx.doi.org/10.1126/sciadv.add7082</v>
      </c>
      <c r="BG660" t="s">
        <v>74</v>
      </c>
      <c r="BH660" t="s">
        <v>74</v>
      </c>
      <c r="BI660">
        <v>15</v>
      </c>
      <c r="BJ660" t="s">
        <v>210</v>
      </c>
      <c r="BK660" t="s">
        <v>103</v>
      </c>
      <c r="BL660" t="s">
        <v>211</v>
      </c>
      <c r="BM660" t="s">
        <v>12960</v>
      </c>
      <c r="BN660">
        <v>36791186</v>
      </c>
      <c r="BO660" t="s">
        <v>136</v>
      </c>
      <c r="BP660" t="s">
        <v>74</v>
      </c>
      <c r="BQ660" t="s">
        <v>74</v>
      </c>
      <c r="BR660" t="s">
        <v>106</v>
      </c>
      <c r="BS660" t="s">
        <v>12961</v>
      </c>
      <c r="BT660" t="str">
        <f>HYPERLINK("https%3A%2F%2Fwww.webofscience.com%2Fwos%2Fwoscc%2Ffull-record%2FWOS:001020437200012","View Full Record in Web of Science")</f>
        <v>View Full Record in Web of Science</v>
      </c>
    </row>
    <row r="661" spans="1:72" x14ac:dyDescent="0.15">
      <c r="A661" t="s">
        <v>72</v>
      </c>
      <c r="B661" t="s">
        <v>12962</v>
      </c>
      <c r="C661" t="s">
        <v>74</v>
      </c>
      <c r="D661" t="s">
        <v>74</v>
      </c>
      <c r="E661" t="s">
        <v>74</v>
      </c>
      <c r="F661" t="s">
        <v>12963</v>
      </c>
      <c r="G661" t="s">
        <v>74</v>
      </c>
      <c r="H661" t="s">
        <v>74</v>
      </c>
      <c r="I661" t="s">
        <v>12964</v>
      </c>
      <c r="J661" t="s">
        <v>12965</v>
      </c>
      <c r="K661" t="s">
        <v>74</v>
      </c>
      <c r="L661" t="s">
        <v>74</v>
      </c>
      <c r="M661" t="s">
        <v>78</v>
      </c>
      <c r="N661" t="s">
        <v>112</v>
      </c>
      <c r="O661" t="s">
        <v>74</v>
      </c>
      <c r="P661" t="s">
        <v>74</v>
      </c>
      <c r="Q661" t="s">
        <v>74</v>
      </c>
      <c r="R661" t="s">
        <v>74</v>
      </c>
      <c r="S661" t="s">
        <v>74</v>
      </c>
      <c r="T661" t="s">
        <v>12966</v>
      </c>
      <c r="U661" t="s">
        <v>12967</v>
      </c>
      <c r="V661" t="s">
        <v>12968</v>
      </c>
      <c r="W661" t="s">
        <v>12969</v>
      </c>
      <c r="X661" t="s">
        <v>12970</v>
      </c>
      <c r="Y661" t="s">
        <v>12971</v>
      </c>
      <c r="Z661" t="s">
        <v>12972</v>
      </c>
      <c r="AA661" t="s">
        <v>12973</v>
      </c>
      <c r="AB661" t="s">
        <v>12974</v>
      </c>
      <c r="AC661" t="s">
        <v>12975</v>
      </c>
      <c r="AD661" t="s">
        <v>12976</v>
      </c>
      <c r="AE661" t="s">
        <v>12977</v>
      </c>
      <c r="AF661" t="s">
        <v>74</v>
      </c>
      <c r="AG661">
        <v>57</v>
      </c>
      <c r="AH661">
        <v>2</v>
      </c>
      <c r="AI661">
        <v>2</v>
      </c>
      <c r="AJ661">
        <v>7</v>
      </c>
      <c r="AK661">
        <v>18</v>
      </c>
      <c r="AL661" t="s">
        <v>225</v>
      </c>
      <c r="AM661" t="s">
        <v>226</v>
      </c>
      <c r="AN661" t="s">
        <v>227</v>
      </c>
      <c r="AO661" t="s">
        <v>12978</v>
      </c>
      <c r="AP661" t="s">
        <v>12979</v>
      </c>
      <c r="AQ661" t="s">
        <v>74</v>
      </c>
      <c r="AR661" t="s">
        <v>12980</v>
      </c>
      <c r="AS661" t="s">
        <v>12981</v>
      </c>
      <c r="AT661" t="s">
        <v>4452</v>
      </c>
      <c r="AU661">
        <v>2023</v>
      </c>
      <c r="AV661">
        <v>187</v>
      </c>
      <c r="AW661" t="s">
        <v>74</v>
      </c>
      <c r="AX661" t="s">
        <v>74</v>
      </c>
      <c r="AY661" t="s">
        <v>74</v>
      </c>
      <c r="AZ661" t="s">
        <v>74</v>
      </c>
      <c r="BA661" t="s">
        <v>74</v>
      </c>
      <c r="BB661" t="s">
        <v>74</v>
      </c>
      <c r="BC661" t="s">
        <v>74</v>
      </c>
      <c r="BD661">
        <v>111888</v>
      </c>
      <c r="BE661" t="s">
        <v>12982</v>
      </c>
      <c r="BF661" t="str">
        <f>HYPERLINK("http://dx.doi.org/10.1016/j.eurpolymj.2023.111888","http://dx.doi.org/10.1016/j.eurpolymj.2023.111888")</f>
        <v>http://dx.doi.org/10.1016/j.eurpolymj.2023.111888</v>
      </c>
      <c r="BG661" t="s">
        <v>74</v>
      </c>
      <c r="BH661" t="s">
        <v>11628</v>
      </c>
      <c r="BI661">
        <v>12</v>
      </c>
      <c r="BJ661" t="s">
        <v>5656</v>
      </c>
      <c r="BK661" t="s">
        <v>103</v>
      </c>
      <c r="BL661" t="s">
        <v>5656</v>
      </c>
      <c r="BM661" t="s">
        <v>12983</v>
      </c>
      <c r="BN661" t="s">
        <v>74</v>
      </c>
      <c r="BO661" t="s">
        <v>74</v>
      </c>
      <c r="BP661" t="s">
        <v>74</v>
      </c>
      <c r="BQ661" t="s">
        <v>74</v>
      </c>
      <c r="BR661" t="s">
        <v>106</v>
      </c>
      <c r="BS661" t="s">
        <v>12984</v>
      </c>
      <c r="BT661" t="str">
        <f>HYPERLINK("https%3A%2F%2Fwww.webofscience.com%2Fwos%2Fwoscc%2Ffull-record%2FWOS:000946934700001","View Full Record in Web of Science")</f>
        <v>View Full Record in Web of Science</v>
      </c>
    </row>
    <row r="662" spans="1:72" x14ac:dyDescent="0.15">
      <c r="A662" t="s">
        <v>72</v>
      </c>
      <c r="B662" t="s">
        <v>12985</v>
      </c>
      <c r="C662" t="s">
        <v>74</v>
      </c>
      <c r="D662" t="s">
        <v>74</v>
      </c>
      <c r="E662" t="s">
        <v>74</v>
      </c>
      <c r="F662" t="s">
        <v>12986</v>
      </c>
      <c r="G662" t="s">
        <v>74</v>
      </c>
      <c r="H662" t="s">
        <v>74</v>
      </c>
      <c r="I662" t="s">
        <v>12987</v>
      </c>
      <c r="J662" t="s">
        <v>3987</v>
      </c>
      <c r="K662" t="s">
        <v>74</v>
      </c>
      <c r="L662" t="s">
        <v>74</v>
      </c>
      <c r="M662" t="s">
        <v>78</v>
      </c>
      <c r="N662" t="s">
        <v>112</v>
      </c>
      <c r="O662" t="s">
        <v>74</v>
      </c>
      <c r="P662" t="s">
        <v>74</v>
      </c>
      <c r="Q662" t="s">
        <v>74</v>
      </c>
      <c r="R662" t="s">
        <v>74</v>
      </c>
      <c r="S662" t="s">
        <v>74</v>
      </c>
      <c r="T662" t="s">
        <v>12988</v>
      </c>
      <c r="U662" t="s">
        <v>12989</v>
      </c>
      <c r="V662" t="s">
        <v>12990</v>
      </c>
      <c r="W662" t="s">
        <v>12991</v>
      </c>
      <c r="X662" t="s">
        <v>12992</v>
      </c>
      <c r="Y662" t="s">
        <v>12993</v>
      </c>
      <c r="Z662" t="s">
        <v>12994</v>
      </c>
      <c r="AA662" t="s">
        <v>12995</v>
      </c>
      <c r="AB662" t="s">
        <v>12996</v>
      </c>
      <c r="AC662" t="s">
        <v>12997</v>
      </c>
      <c r="AD662" t="s">
        <v>12998</v>
      </c>
      <c r="AE662" t="s">
        <v>12999</v>
      </c>
      <c r="AF662" t="s">
        <v>74</v>
      </c>
      <c r="AG662">
        <v>67</v>
      </c>
      <c r="AH662">
        <v>1</v>
      </c>
      <c r="AI662">
        <v>1</v>
      </c>
      <c r="AJ662">
        <v>5</v>
      </c>
      <c r="AK662">
        <v>7</v>
      </c>
      <c r="AL662" t="s">
        <v>700</v>
      </c>
      <c r="AM662" t="s">
        <v>701</v>
      </c>
      <c r="AN662" t="s">
        <v>702</v>
      </c>
      <c r="AO662" t="s">
        <v>3997</v>
      </c>
      <c r="AP662" t="s">
        <v>74</v>
      </c>
      <c r="AQ662" t="s">
        <v>74</v>
      </c>
      <c r="AR662" t="s">
        <v>3998</v>
      </c>
      <c r="AS662" t="s">
        <v>3999</v>
      </c>
      <c r="AT662" t="s">
        <v>12941</v>
      </c>
      <c r="AU662">
        <v>2023</v>
      </c>
      <c r="AV662">
        <v>11</v>
      </c>
      <c r="AW662" t="s">
        <v>74</v>
      </c>
      <c r="AX662" t="s">
        <v>74</v>
      </c>
      <c r="AY662" t="s">
        <v>74</v>
      </c>
      <c r="AZ662" t="s">
        <v>74</v>
      </c>
      <c r="BA662" t="s">
        <v>74</v>
      </c>
      <c r="BB662" t="s">
        <v>74</v>
      </c>
      <c r="BC662" t="s">
        <v>74</v>
      </c>
      <c r="BD662">
        <v>1085993</v>
      </c>
      <c r="BE662" t="s">
        <v>13000</v>
      </c>
      <c r="BF662" t="str">
        <f>HYPERLINK("http://dx.doi.org/10.3389/fevo.2023.1085993","http://dx.doi.org/10.3389/fevo.2023.1085993")</f>
        <v>http://dx.doi.org/10.3389/fevo.2023.1085993</v>
      </c>
      <c r="BG662" t="s">
        <v>74</v>
      </c>
      <c r="BH662" t="s">
        <v>74</v>
      </c>
      <c r="BI662">
        <v>10</v>
      </c>
      <c r="BJ662" t="s">
        <v>2101</v>
      </c>
      <c r="BK662" t="s">
        <v>103</v>
      </c>
      <c r="BL662" t="s">
        <v>1164</v>
      </c>
      <c r="BM662" t="s">
        <v>13001</v>
      </c>
      <c r="BN662" t="s">
        <v>74</v>
      </c>
      <c r="BO662" t="s">
        <v>359</v>
      </c>
      <c r="BP662" t="s">
        <v>74</v>
      </c>
      <c r="BQ662" t="s">
        <v>74</v>
      </c>
      <c r="BR662" t="s">
        <v>106</v>
      </c>
      <c r="BS662" t="s">
        <v>13002</v>
      </c>
      <c r="BT662" t="str">
        <f>HYPERLINK("https%3A%2F%2Fwww.webofscience.com%2Fwos%2Fwoscc%2Ffull-record%2FWOS:000942910600001","View Full Record in Web of Science")</f>
        <v>View Full Record in Web of Science</v>
      </c>
    </row>
    <row r="663" spans="1:72" x14ac:dyDescent="0.15">
      <c r="A663" t="s">
        <v>72</v>
      </c>
      <c r="B663" t="s">
        <v>13003</v>
      </c>
      <c r="C663" t="s">
        <v>74</v>
      </c>
      <c r="D663" t="s">
        <v>74</v>
      </c>
      <c r="E663" t="s">
        <v>74</v>
      </c>
      <c r="F663" t="s">
        <v>13004</v>
      </c>
      <c r="G663" t="s">
        <v>74</v>
      </c>
      <c r="H663" t="s">
        <v>74</v>
      </c>
      <c r="I663" t="s">
        <v>13005</v>
      </c>
      <c r="J663" t="s">
        <v>3876</v>
      </c>
      <c r="K663" t="s">
        <v>74</v>
      </c>
      <c r="L663" t="s">
        <v>74</v>
      </c>
      <c r="M663" t="s">
        <v>78</v>
      </c>
      <c r="N663" t="s">
        <v>112</v>
      </c>
      <c r="O663" t="s">
        <v>74</v>
      </c>
      <c r="P663" t="s">
        <v>74</v>
      </c>
      <c r="Q663" t="s">
        <v>74</v>
      </c>
      <c r="R663" t="s">
        <v>74</v>
      </c>
      <c r="S663" t="s">
        <v>74</v>
      </c>
      <c r="T663" t="s">
        <v>13006</v>
      </c>
      <c r="U663" t="s">
        <v>13007</v>
      </c>
      <c r="V663" t="s">
        <v>13008</v>
      </c>
      <c r="W663" t="s">
        <v>13009</v>
      </c>
      <c r="X663" t="s">
        <v>13010</v>
      </c>
      <c r="Y663" t="s">
        <v>13011</v>
      </c>
      <c r="Z663" t="s">
        <v>13012</v>
      </c>
      <c r="AA663" t="s">
        <v>13013</v>
      </c>
      <c r="AB663" t="s">
        <v>13014</v>
      </c>
      <c r="AC663" t="s">
        <v>13015</v>
      </c>
      <c r="AD663" t="s">
        <v>13016</v>
      </c>
      <c r="AE663" t="s">
        <v>13017</v>
      </c>
      <c r="AF663" t="s">
        <v>74</v>
      </c>
      <c r="AG663">
        <v>79</v>
      </c>
      <c r="AH663">
        <v>10</v>
      </c>
      <c r="AI663">
        <v>10</v>
      </c>
      <c r="AJ663">
        <v>1</v>
      </c>
      <c r="AK663">
        <v>3</v>
      </c>
      <c r="AL663" t="s">
        <v>3889</v>
      </c>
      <c r="AM663" t="s">
        <v>3890</v>
      </c>
      <c r="AN663" t="s">
        <v>3891</v>
      </c>
      <c r="AO663" t="s">
        <v>3892</v>
      </c>
      <c r="AP663" t="s">
        <v>74</v>
      </c>
      <c r="AQ663" t="s">
        <v>74</v>
      </c>
      <c r="AR663" t="s">
        <v>3893</v>
      </c>
      <c r="AS663" t="s">
        <v>3894</v>
      </c>
      <c r="AT663" t="s">
        <v>13018</v>
      </c>
      <c r="AU663">
        <v>2023</v>
      </c>
      <c r="AV663">
        <v>11</v>
      </c>
      <c r="AW663">
        <v>1</v>
      </c>
      <c r="AX663" t="s">
        <v>74</v>
      </c>
      <c r="AY663" t="s">
        <v>74</v>
      </c>
      <c r="AZ663" t="s">
        <v>74</v>
      </c>
      <c r="BA663" t="s">
        <v>74</v>
      </c>
      <c r="BB663" t="s">
        <v>74</v>
      </c>
      <c r="BC663" t="s">
        <v>74</v>
      </c>
      <c r="BD663">
        <v>48</v>
      </c>
      <c r="BE663" t="s">
        <v>13019</v>
      </c>
      <c r="BF663" t="str">
        <f>HYPERLINK("http://dx.doi.org/10.1525/elementa.2022.00048","http://dx.doi.org/10.1525/elementa.2022.00048")</f>
        <v>http://dx.doi.org/10.1525/elementa.2022.00048</v>
      </c>
      <c r="BG663" t="s">
        <v>74</v>
      </c>
      <c r="BH663" t="s">
        <v>74</v>
      </c>
      <c r="BI663">
        <v>23</v>
      </c>
      <c r="BJ663" t="s">
        <v>356</v>
      </c>
      <c r="BK663" t="s">
        <v>103</v>
      </c>
      <c r="BL663" t="s">
        <v>357</v>
      </c>
      <c r="BM663" t="s">
        <v>13020</v>
      </c>
      <c r="BN663" t="s">
        <v>74</v>
      </c>
      <c r="BO663" t="s">
        <v>136</v>
      </c>
      <c r="BP663" t="s">
        <v>74</v>
      </c>
      <c r="BQ663" t="s">
        <v>74</v>
      </c>
      <c r="BR663" t="s">
        <v>106</v>
      </c>
      <c r="BS663" t="s">
        <v>13021</v>
      </c>
      <c r="BT663" t="str">
        <f>HYPERLINK("https%3A%2F%2Fwww.webofscience.com%2Fwos%2Fwoscc%2Ffull-record%2FWOS:001042031200001","View Full Record in Web of Science")</f>
        <v>View Full Record in Web of Science</v>
      </c>
    </row>
    <row r="664" spans="1:72" x14ac:dyDescent="0.15">
      <c r="A664" t="s">
        <v>72</v>
      </c>
      <c r="B664" t="s">
        <v>13022</v>
      </c>
      <c r="C664" t="s">
        <v>74</v>
      </c>
      <c r="D664" t="s">
        <v>74</v>
      </c>
      <c r="E664" t="s">
        <v>74</v>
      </c>
      <c r="F664" t="s">
        <v>13023</v>
      </c>
      <c r="G664" t="s">
        <v>74</v>
      </c>
      <c r="H664" t="s">
        <v>74</v>
      </c>
      <c r="I664" t="s">
        <v>13024</v>
      </c>
      <c r="J664" t="s">
        <v>955</v>
      </c>
      <c r="K664" t="s">
        <v>74</v>
      </c>
      <c r="L664" t="s">
        <v>74</v>
      </c>
      <c r="M664" t="s">
        <v>78</v>
      </c>
      <c r="N664" t="s">
        <v>112</v>
      </c>
      <c r="O664" t="s">
        <v>74</v>
      </c>
      <c r="P664" t="s">
        <v>74</v>
      </c>
      <c r="Q664" t="s">
        <v>74</v>
      </c>
      <c r="R664" t="s">
        <v>74</v>
      </c>
      <c r="S664" t="s">
        <v>74</v>
      </c>
      <c r="T664" t="s">
        <v>13025</v>
      </c>
      <c r="U664" t="s">
        <v>13026</v>
      </c>
      <c r="V664" t="s">
        <v>13027</v>
      </c>
      <c r="W664" t="s">
        <v>13028</v>
      </c>
      <c r="X664" t="s">
        <v>13029</v>
      </c>
      <c r="Y664" t="s">
        <v>13030</v>
      </c>
      <c r="Z664" t="s">
        <v>13031</v>
      </c>
      <c r="AA664" t="s">
        <v>74</v>
      </c>
      <c r="AB664" t="s">
        <v>13032</v>
      </c>
      <c r="AC664" t="s">
        <v>13033</v>
      </c>
      <c r="AD664" t="s">
        <v>13034</v>
      </c>
      <c r="AE664" t="s">
        <v>13035</v>
      </c>
      <c r="AF664" t="s">
        <v>74</v>
      </c>
      <c r="AG664">
        <v>74</v>
      </c>
      <c r="AH664">
        <v>5</v>
      </c>
      <c r="AI664">
        <v>5</v>
      </c>
      <c r="AJ664">
        <v>9</v>
      </c>
      <c r="AK664">
        <v>13</v>
      </c>
      <c r="AL664" t="s">
        <v>447</v>
      </c>
      <c r="AM664" t="s">
        <v>448</v>
      </c>
      <c r="AN664" t="s">
        <v>449</v>
      </c>
      <c r="AO664" t="s">
        <v>968</v>
      </c>
      <c r="AP664" t="s">
        <v>969</v>
      </c>
      <c r="AQ664" t="s">
        <v>74</v>
      </c>
      <c r="AR664" t="s">
        <v>970</v>
      </c>
      <c r="AS664" t="s">
        <v>971</v>
      </c>
      <c r="AT664" t="s">
        <v>98</v>
      </c>
      <c r="AU664">
        <v>2023</v>
      </c>
      <c r="AV664">
        <v>240</v>
      </c>
      <c r="AW664" t="s">
        <v>74</v>
      </c>
      <c r="AX664" t="s">
        <v>74</v>
      </c>
      <c r="AY664" t="s">
        <v>74</v>
      </c>
      <c r="AZ664" t="s">
        <v>74</v>
      </c>
      <c r="BA664" t="s">
        <v>74</v>
      </c>
      <c r="BB664" t="s">
        <v>74</v>
      </c>
      <c r="BC664" t="s">
        <v>74</v>
      </c>
      <c r="BD664">
        <v>103863</v>
      </c>
      <c r="BE664" t="s">
        <v>13036</v>
      </c>
      <c r="BF664" t="str">
        <f>HYPERLINK("http://dx.doi.org/10.1016/j.jmarsys.2023.103863","http://dx.doi.org/10.1016/j.jmarsys.2023.103863")</f>
        <v>http://dx.doi.org/10.1016/j.jmarsys.2023.103863</v>
      </c>
      <c r="BG664" t="s">
        <v>74</v>
      </c>
      <c r="BH664" t="s">
        <v>11628</v>
      </c>
      <c r="BI664">
        <v>13</v>
      </c>
      <c r="BJ664" t="s">
        <v>974</v>
      </c>
      <c r="BK664" t="s">
        <v>103</v>
      </c>
      <c r="BL664" t="s">
        <v>975</v>
      </c>
      <c r="BM664" t="s">
        <v>13037</v>
      </c>
      <c r="BN664" t="s">
        <v>74</v>
      </c>
      <c r="BO664" t="s">
        <v>74</v>
      </c>
      <c r="BP664" t="s">
        <v>74</v>
      </c>
      <c r="BQ664" t="s">
        <v>74</v>
      </c>
      <c r="BR664" t="s">
        <v>106</v>
      </c>
      <c r="BS664" t="s">
        <v>13038</v>
      </c>
      <c r="BT664" t="str">
        <f>HYPERLINK("https%3A%2F%2Fwww.webofscience.com%2Fwos%2Fwoscc%2Ffull-record%2FWOS:000965383700001","View Full Record in Web of Science")</f>
        <v>View Full Record in Web of Science</v>
      </c>
    </row>
    <row r="665" spans="1:72" x14ac:dyDescent="0.15">
      <c r="A665" t="s">
        <v>72</v>
      </c>
      <c r="B665" t="s">
        <v>13039</v>
      </c>
      <c r="C665" t="s">
        <v>74</v>
      </c>
      <c r="D665" t="s">
        <v>74</v>
      </c>
      <c r="E665" t="s">
        <v>74</v>
      </c>
      <c r="F665" t="s">
        <v>13040</v>
      </c>
      <c r="G665" t="s">
        <v>74</v>
      </c>
      <c r="H665" t="s">
        <v>74</v>
      </c>
      <c r="I665" t="s">
        <v>13041</v>
      </c>
      <c r="J665" t="s">
        <v>13042</v>
      </c>
      <c r="K665" t="s">
        <v>74</v>
      </c>
      <c r="L665" t="s">
        <v>74</v>
      </c>
      <c r="M665" t="s">
        <v>78</v>
      </c>
      <c r="N665" t="s">
        <v>112</v>
      </c>
      <c r="O665" t="s">
        <v>74</v>
      </c>
      <c r="P665" t="s">
        <v>74</v>
      </c>
      <c r="Q665" t="s">
        <v>74</v>
      </c>
      <c r="R665" t="s">
        <v>74</v>
      </c>
      <c r="S665" t="s">
        <v>74</v>
      </c>
      <c r="T665" t="s">
        <v>13043</v>
      </c>
      <c r="U665" t="s">
        <v>13044</v>
      </c>
      <c r="V665" t="s">
        <v>13045</v>
      </c>
      <c r="W665" t="s">
        <v>13046</v>
      </c>
      <c r="X665" t="s">
        <v>13047</v>
      </c>
      <c r="Y665" t="s">
        <v>13048</v>
      </c>
      <c r="Z665" t="s">
        <v>13049</v>
      </c>
      <c r="AA665" t="s">
        <v>74</v>
      </c>
      <c r="AB665" t="s">
        <v>74</v>
      </c>
      <c r="AC665" t="s">
        <v>13050</v>
      </c>
      <c r="AD665" t="s">
        <v>13051</v>
      </c>
      <c r="AE665" t="s">
        <v>13052</v>
      </c>
      <c r="AF665" t="s">
        <v>74</v>
      </c>
      <c r="AG665">
        <v>69</v>
      </c>
      <c r="AH665">
        <v>2</v>
      </c>
      <c r="AI665">
        <v>2</v>
      </c>
      <c r="AJ665">
        <v>0</v>
      </c>
      <c r="AK665">
        <v>2</v>
      </c>
      <c r="AL665" t="s">
        <v>10083</v>
      </c>
      <c r="AM665" t="s">
        <v>10084</v>
      </c>
      <c r="AN665" t="s">
        <v>10085</v>
      </c>
      <c r="AO665" t="s">
        <v>13053</v>
      </c>
      <c r="AP665" t="s">
        <v>13054</v>
      </c>
      <c r="AQ665" t="s">
        <v>74</v>
      </c>
      <c r="AR665" t="s">
        <v>13042</v>
      </c>
      <c r="AS665" t="s">
        <v>13055</v>
      </c>
      <c r="AT665" t="s">
        <v>13056</v>
      </c>
      <c r="AU665">
        <v>2023</v>
      </c>
      <c r="AV665">
        <v>140</v>
      </c>
      <c r="AW665">
        <v>2</v>
      </c>
      <c r="AX665" t="s">
        <v>74</v>
      </c>
      <c r="AY665" t="s">
        <v>74</v>
      </c>
      <c r="AZ665" t="s">
        <v>74</v>
      </c>
      <c r="BA665" t="s">
        <v>74</v>
      </c>
      <c r="BB665" t="s">
        <v>74</v>
      </c>
      <c r="BC665" t="s">
        <v>74</v>
      </c>
      <c r="BD665" t="s">
        <v>74</v>
      </c>
      <c r="BE665" t="s">
        <v>13057</v>
      </c>
      <c r="BF665" t="str">
        <f>HYPERLINK("http://dx.doi.org/10.1093/ornithology/ukad006","http://dx.doi.org/10.1093/ornithology/ukad006")</f>
        <v>http://dx.doi.org/10.1093/ornithology/ukad006</v>
      </c>
      <c r="BG665" t="s">
        <v>74</v>
      </c>
      <c r="BH665" t="s">
        <v>11628</v>
      </c>
      <c r="BI665">
        <v>11</v>
      </c>
      <c r="BJ665" t="s">
        <v>13055</v>
      </c>
      <c r="BK665" t="s">
        <v>103</v>
      </c>
      <c r="BL665" t="s">
        <v>2582</v>
      </c>
      <c r="BM665" t="s">
        <v>13058</v>
      </c>
      <c r="BN665" t="s">
        <v>74</v>
      </c>
      <c r="BO665" t="s">
        <v>74</v>
      </c>
      <c r="BP665" t="s">
        <v>74</v>
      </c>
      <c r="BQ665" t="s">
        <v>74</v>
      </c>
      <c r="BR665" t="s">
        <v>106</v>
      </c>
      <c r="BS665" t="s">
        <v>13059</v>
      </c>
      <c r="BT665" t="str">
        <f>HYPERLINK("https%3A%2F%2Fwww.webofscience.com%2Fwos%2Fwoscc%2Ffull-record%2FWOS:000960446500001","View Full Record in Web of Science")</f>
        <v>View Full Record in Web of Science</v>
      </c>
    </row>
    <row r="666" spans="1:72" x14ac:dyDescent="0.15">
      <c r="A666" t="s">
        <v>72</v>
      </c>
      <c r="B666" t="s">
        <v>13060</v>
      </c>
      <c r="C666" t="s">
        <v>74</v>
      </c>
      <c r="D666" t="s">
        <v>74</v>
      </c>
      <c r="E666" t="s">
        <v>74</v>
      </c>
      <c r="F666" t="s">
        <v>13061</v>
      </c>
      <c r="G666" t="s">
        <v>74</v>
      </c>
      <c r="H666" t="s">
        <v>74</v>
      </c>
      <c r="I666" t="s">
        <v>13062</v>
      </c>
      <c r="J666" t="s">
        <v>643</v>
      </c>
      <c r="K666" t="s">
        <v>74</v>
      </c>
      <c r="L666" t="s">
        <v>74</v>
      </c>
      <c r="M666" t="s">
        <v>78</v>
      </c>
      <c r="N666" t="s">
        <v>112</v>
      </c>
      <c r="O666" t="s">
        <v>74</v>
      </c>
      <c r="P666" t="s">
        <v>74</v>
      </c>
      <c r="Q666" t="s">
        <v>74</v>
      </c>
      <c r="R666" t="s">
        <v>74</v>
      </c>
      <c r="S666" t="s">
        <v>74</v>
      </c>
      <c r="T666" t="s">
        <v>13063</v>
      </c>
      <c r="U666" t="s">
        <v>13064</v>
      </c>
      <c r="V666" t="s">
        <v>13065</v>
      </c>
      <c r="W666" t="s">
        <v>13066</v>
      </c>
      <c r="X666" t="s">
        <v>13067</v>
      </c>
      <c r="Y666" t="s">
        <v>13068</v>
      </c>
      <c r="Z666" t="s">
        <v>13069</v>
      </c>
      <c r="AA666" t="s">
        <v>74</v>
      </c>
      <c r="AB666" t="s">
        <v>13070</v>
      </c>
      <c r="AC666" t="s">
        <v>13071</v>
      </c>
      <c r="AD666" t="s">
        <v>13072</v>
      </c>
      <c r="AE666" t="s">
        <v>13073</v>
      </c>
      <c r="AF666" t="s">
        <v>74</v>
      </c>
      <c r="AG666">
        <v>45</v>
      </c>
      <c r="AH666">
        <v>2</v>
      </c>
      <c r="AI666">
        <v>4</v>
      </c>
      <c r="AJ666">
        <v>3</v>
      </c>
      <c r="AK666">
        <v>10</v>
      </c>
      <c r="AL666" t="s">
        <v>305</v>
      </c>
      <c r="AM666" t="s">
        <v>306</v>
      </c>
      <c r="AN666" t="s">
        <v>307</v>
      </c>
      <c r="AO666" t="s">
        <v>656</v>
      </c>
      <c r="AP666" t="s">
        <v>657</v>
      </c>
      <c r="AQ666" t="s">
        <v>74</v>
      </c>
      <c r="AR666" t="s">
        <v>658</v>
      </c>
      <c r="AS666" t="s">
        <v>659</v>
      </c>
      <c r="AT666" t="s">
        <v>13018</v>
      </c>
      <c r="AU666">
        <v>2023</v>
      </c>
      <c r="AV666">
        <v>50</v>
      </c>
      <c r="AW666">
        <v>3</v>
      </c>
      <c r="AX666" t="s">
        <v>74</v>
      </c>
      <c r="AY666" t="s">
        <v>74</v>
      </c>
      <c r="AZ666" t="s">
        <v>74</v>
      </c>
      <c r="BA666" t="s">
        <v>74</v>
      </c>
      <c r="BB666" t="s">
        <v>74</v>
      </c>
      <c r="BC666" t="s">
        <v>74</v>
      </c>
      <c r="BD666" t="s">
        <v>13074</v>
      </c>
      <c r="BE666" t="s">
        <v>13075</v>
      </c>
      <c r="BF666" t="str">
        <f>HYPERLINK("http://dx.doi.org/10.1029/2022GL099723","http://dx.doi.org/10.1029/2022GL099723")</f>
        <v>http://dx.doi.org/10.1029/2022GL099723</v>
      </c>
      <c r="BG666" t="s">
        <v>74</v>
      </c>
      <c r="BH666" t="s">
        <v>74</v>
      </c>
      <c r="BI666">
        <v>10</v>
      </c>
      <c r="BJ666" t="s">
        <v>261</v>
      </c>
      <c r="BK666" t="s">
        <v>103</v>
      </c>
      <c r="BL666" t="s">
        <v>262</v>
      </c>
      <c r="BM666" t="s">
        <v>13076</v>
      </c>
      <c r="BN666" t="s">
        <v>74</v>
      </c>
      <c r="BO666" t="s">
        <v>387</v>
      </c>
      <c r="BP666" t="s">
        <v>74</v>
      </c>
      <c r="BQ666" t="s">
        <v>74</v>
      </c>
      <c r="BR666" t="s">
        <v>106</v>
      </c>
      <c r="BS666" t="s">
        <v>13077</v>
      </c>
      <c r="BT666" t="str">
        <f>HYPERLINK("https%3A%2F%2Fwww.webofscience.com%2Fwos%2Fwoscc%2Ffull-record%2FWOS:000947329800001","View Full Record in Web of Science")</f>
        <v>View Full Record in Web of Science</v>
      </c>
    </row>
    <row r="667" spans="1:72" x14ac:dyDescent="0.15">
      <c r="A667" t="s">
        <v>72</v>
      </c>
      <c r="B667" t="s">
        <v>13078</v>
      </c>
      <c r="C667" t="s">
        <v>74</v>
      </c>
      <c r="D667" t="s">
        <v>74</v>
      </c>
      <c r="E667" t="s">
        <v>74</v>
      </c>
      <c r="F667" t="s">
        <v>13079</v>
      </c>
      <c r="G667" t="s">
        <v>74</v>
      </c>
      <c r="H667" t="s">
        <v>74</v>
      </c>
      <c r="I667" t="s">
        <v>13080</v>
      </c>
      <c r="J667" t="s">
        <v>1707</v>
      </c>
      <c r="K667" t="s">
        <v>74</v>
      </c>
      <c r="L667" t="s">
        <v>74</v>
      </c>
      <c r="M667" t="s">
        <v>78</v>
      </c>
      <c r="N667" t="s">
        <v>365</v>
      </c>
      <c r="O667" t="s">
        <v>74</v>
      </c>
      <c r="P667" t="s">
        <v>74</v>
      </c>
      <c r="Q667" t="s">
        <v>74</v>
      </c>
      <c r="R667" t="s">
        <v>74</v>
      </c>
      <c r="S667" t="s">
        <v>74</v>
      </c>
      <c r="T667" t="s">
        <v>13081</v>
      </c>
      <c r="U667" t="s">
        <v>13082</v>
      </c>
      <c r="V667" t="s">
        <v>13083</v>
      </c>
      <c r="W667" t="s">
        <v>13084</v>
      </c>
      <c r="X667" t="s">
        <v>13085</v>
      </c>
      <c r="Y667" t="s">
        <v>13086</v>
      </c>
      <c r="Z667" t="s">
        <v>13087</v>
      </c>
      <c r="AA667" t="s">
        <v>13088</v>
      </c>
      <c r="AB667" t="s">
        <v>13089</v>
      </c>
      <c r="AC667" t="s">
        <v>13090</v>
      </c>
      <c r="AD667" t="s">
        <v>13091</v>
      </c>
      <c r="AE667" t="s">
        <v>13092</v>
      </c>
      <c r="AF667" t="s">
        <v>74</v>
      </c>
      <c r="AG667">
        <v>117</v>
      </c>
      <c r="AH667">
        <v>4</v>
      </c>
      <c r="AI667">
        <v>4</v>
      </c>
      <c r="AJ667">
        <v>0</v>
      </c>
      <c r="AK667">
        <v>9</v>
      </c>
      <c r="AL667" t="s">
        <v>225</v>
      </c>
      <c r="AM667" t="s">
        <v>226</v>
      </c>
      <c r="AN667" t="s">
        <v>227</v>
      </c>
      <c r="AO667" t="s">
        <v>1719</v>
      </c>
      <c r="AP667" t="s">
        <v>1720</v>
      </c>
      <c r="AQ667" t="s">
        <v>74</v>
      </c>
      <c r="AR667" t="s">
        <v>1721</v>
      </c>
      <c r="AS667" t="s">
        <v>1722</v>
      </c>
      <c r="AT667" t="s">
        <v>8042</v>
      </c>
      <c r="AU667">
        <v>2023</v>
      </c>
      <c r="AV667">
        <v>212</v>
      </c>
      <c r="AW667" t="s">
        <v>74</v>
      </c>
      <c r="AX667" t="s">
        <v>74</v>
      </c>
      <c r="AY667" t="s">
        <v>74</v>
      </c>
      <c r="AZ667" t="s">
        <v>74</v>
      </c>
      <c r="BA667" t="s">
        <v>74</v>
      </c>
      <c r="BB667" t="s">
        <v>74</v>
      </c>
      <c r="BC667" t="s">
        <v>74</v>
      </c>
      <c r="BD667">
        <v>102985</v>
      </c>
      <c r="BE667" t="s">
        <v>13093</v>
      </c>
      <c r="BF667" t="str">
        <f>HYPERLINK("http://dx.doi.org/10.1016/j.pocean.2023.102985","http://dx.doi.org/10.1016/j.pocean.2023.102985")</f>
        <v>http://dx.doi.org/10.1016/j.pocean.2023.102985</v>
      </c>
      <c r="BG667" t="s">
        <v>74</v>
      </c>
      <c r="BH667" t="s">
        <v>11628</v>
      </c>
      <c r="BI667">
        <v>15</v>
      </c>
      <c r="BJ667" t="s">
        <v>863</v>
      </c>
      <c r="BK667" t="s">
        <v>103</v>
      </c>
      <c r="BL667" t="s">
        <v>863</v>
      </c>
      <c r="BM667" t="s">
        <v>13094</v>
      </c>
      <c r="BN667" t="s">
        <v>74</v>
      </c>
      <c r="BO667" t="s">
        <v>74</v>
      </c>
      <c r="BP667" t="s">
        <v>74</v>
      </c>
      <c r="BQ667" t="s">
        <v>74</v>
      </c>
      <c r="BR667" t="s">
        <v>106</v>
      </c>
      <c r="BS667" t="s">
        <v>13095</v>
      </c>
      <c r="BT667" t="str">
        <f>HYPERLINK("https%3A%2F%2Fwww.webofscience.com%2Fwos%2Fwoscc%2Ffull-record%2FWOS:000942351000001","View Full Record in Web of Science")</f>
        <v>View Full Record in Web of Science</v>
      </c>
    </row>
    <row r="668" spans="1:72" x14ac:dyDescent="0.15">
      <c r="A668" t="s">
        <v>72</v>
      </c>
      <c r="B668" t="s">
        <v>13096</v>
      </c>
      <c r="C668" t="s">
        <v>74</v>
      </c>
      <c r="D668" t="s">
        <v>74</v>
      </c>
      <c r="E668" t="s">
        <v>74</v>
      </c>
      <c r="F668" t="s">
        <v>13097</v>
      </c>
      <c r="G668" t="s">
        <v>74</v>
      </c>
      <c r="H668" t="s">
        <v>74</v>
      </c>
      <c r="I668" t="s">
        <v>13098</v>
      </c>
      <c r="J668" t="s">
        <v>1491</v>
      </c>
      <c r="K668" t="s">
        <v>74</v>
      </c>
      <c r="L668" t="s">
        <v>74</v>
      </c>
      <c r="M668" t="s">
        <v>78</v>
      </c>
      <c r="N668" t="s">
        <v>112</v>
      </c>
      <c r="O668" t="s">
        <v>74</v>
      </c>
      <c r="P668" t="s">
        <v>74</v>
      </c>
      <c r="Q668" t="s">
        <v>74</v>
      </c>
      <c r="R668" t="s">
        <v>74</v>
      </c>
      <c r="S668" t="s">
        <v>74</v>
      </c>
      <c r="T668" t="s">
        <v>74</v>
      </c>
      <c r="U668" t="s">
        <v>13099</v>
      </c>
      <c r="V668" t="s">
        <v>13100</v>
      </c>
      <c r="W668" t="s">
        <v>13101</v>
      </c>
      <c r="X668" t="s">
        <v>13102</v>
      </c>
      <c r="Y668" t="s">
        <v>13103</v>
      </c>
      <c r="Z668" t="s">
        <v>13104</v>
      </c>
      <c r="AA668" t="s">
        <v>13105</v>
      </c>
      <c r="AB668" t="s">
        <v>13106</v>
      </c>
      <c r="AC668" t="s">
        <v>13107</v>
      </c>
      <c r="AD668" t="s">
        <v>13108</v>
      </c>
      <c r="AE668" t="s">
        <v>13109</v>
      </c>
      <c r="AF668" t="s">
        <v>74</v>
      </c>
      <c r="AG668">
        <v>66</v>
      </c>
      <c r="AH668">
        <v>21</v>
      </c>
      <c r="AI668">
        <v>22</v>
      </c>
      <c r="AJ668">
        <v>9</v>
      </c>
      <c r="AK668">
        <v>21</v>
      </c>
      <c r="AL668" t="s">
        <v>203</v>
      </c>
      <c r="AM668" t="s">
        <v>204</v>
      </c>
      <c r="AN668" t="s">
        <v>205</v>
      </c>
      <c r="AO668" t="s">
        <v>1502</v>
      </c>
      <c r="AP668" t="s">
        <v>1503</v>
      </c>
      <c r="AQ668" t="s">
        <v>74</v>
      </c>
      <c r="AR668" t="s">
        <v>1491</v>
      </c>
      <c r="AS668" t="s">
        <v>1504</v>
      </c>
      <c r="AT668" t="s">
        <v>13018</v>
      </c>
      <c r="AU668">
        <v>2023</v>
      </c>
      <c r="AV668">
        <v>614</v>
      </c>
      <c r="AW668">
        <v>7948</v>
      </c>
      <c r="AX668" t="s">
        <v>74</v>
      </c>
      <c r="AY668" t="s">
        <v>74</v>
      </c>
      <c r="AZ668" t="s">
        <v>74</v>
      </c>
      <c r="BA668" t="s">
        <v>74</v>
      </c>
      <c r="BB668">
        <v>471</v>
      </c>
      <c r="BC668" t="s">
        <v>1385</v>
      </c>
      <c r="BD668" t="s">
        <v>74</v>
      </c>
      <c r="BE668" t="s">
        <v>13110</v>
      </c>
      <c r="BF668" t="str">
        <f>HYPERLINK("http://dx.doi.org/10.1038/s41586-022-05691-0","http://dx.doi.org/10.1038/s41586-022-05691-0")</f>
        <v>http://dx.doi.org/10.1038/s41586-022-05691-0</v>
      </c>
      <c r="BG668" t="s">
        <v>74</v>
      </c>
      <c r="BH668" t="s">
        <v>74</v>
      </c>
      <c r="BI668">
        <v>21</v>
      </c>
      <c r="BJ668" t="s">
        <v>210</v>
      </c>
      <c r="BK668" t="s">
        <v>103</v>
      </c>
      <c r="BL668" t="s">
        <v>211</v>
      </c>
      <c r="BM668" t="s">
        <v>13111</v>
      </c>
      <c r="BN668">
        <v>36792738</v>
      </c>
      <c r="BO668" t="s">
        <v>105</v>
      </c>
      <c r="BP668" t="s">
        <v>1849</v>
      </c>
      <c r="BQ668" t="s">
        <v>1850</v>
      </c>
      <c r="BR668" t="s">
        <v>106</v>
      </c>
      <c r="BS668" t="s">
        <v>13112</v>
      </c>
      <c r="BT668" t="str">
        <f>HYPERLINK("https%3A%2F%2Fwww.webofscience.com%2Fwos%2Fwoscc%2Ffull-record%2FWOS:000936873800002","View Full Record in Web of Science")</f>
        <v>View Full Record in Web of Science</v>
      </c>
    </row>
    <row r="669" spans="1:72" x14ac:dyDescent="0.15">
      <c r="A669" t="s">
        <v>72</v>
      </c>
      <c r="B669" t="s">
        <v>13113</v>
      </c>
      <c r="C669" t="s">
        <v>74</v>
      </c>
      <c r="D669" t="s">
        <v>74</v>
      </c>
      <c r="E669" t="s">
        <v>74</v>
      </c>
      <c r="F669" t="s">
        <v>13114</v>
      </c>
      <c r="G669" t="s">
        <v>74</v>
      </c>
      <c r="H669" t="s">
        <v>74</v>
      </c>
      <c r="I669" t="s">
        <v>13115</v>
      </c>
      <c r="J669" t="s">
        <v>1491</v>
      </c>
      <c r="K669" t="s">
        <v>74</v>
      </c>
      <c r="L669" t="s">
        <v>74</v>
      </c>
      <c r="M669" t="s">
        <v>78</v>
      </c>
      <c r="N669" t="s">
        <v>112</v>
      </c>
      <c r="O669" t="s">
        <v>74</v>
      </c>
      <c r="P669" t="s">
        <v>74</v>
      </c>
      <c r="Q669" t="s">
        <v>74</v>
      </c>
      <c r="R669" t="s">
        <v>74</v>
      </c>
      <c r="S669" t="s">
        <v>74</v>
      </c>
      <c r="T669" t="s">
        <v>74</v>
      </c>
      <c r="U669" t="s">
        <v>13116</v>
      </c>
      <c r="V669" t="s">
        <v>13117</v>
      </c>
      <c r="W669" t="s">
        <v>13118</v>
      </c>
      <c r="X669" t="s">
        <v>13119</v>
      </c>
      <c r="Y669" t="s">
        <v>13120</v>
      </c>
      <c r="Z669" t="s">
        <v>13121</v>
      </c>
      <c r="AA669" t="s">
        <v>13122</v>
      </c>
      <c r="AB669" t="s">
        <v>13123</v>
      </c>
      <c r="AC669" t="s">
        <v>13124</v>
      </c>
      <c r="AD669" t="s">
        <v>13125</v>
      </c>
      <c r="AE669" t="s">
        <v>13126</v>
      </c>
      <c r="AF669" t="s">
        <v>74</v>
      </c>
      <c r="AG669">
        <v>68</v>
      </c>
      <c r="AH669">
        <v>19</v>
      </c>
      <c r="AI669">
        <v>20</v>
      </c>
      <c r="AJ669">
        <v>10</v>
      </c>
      <c r="AK669">
        <v>16</v>
      </c>
      <c r="AL669" t="s">
        <v>203</v>
      </c>
      <c r="AM669" t="s">
        <v>204</v>
      </c>
      <c r="AN669" t="s">
        <v>205</v>
      </c>
      <c r="AO669" t="s">
        <v>1502</v>
      </c>
      <c r="AP669" t="s">
        <v>1503</v>
      </c>
      <c r="AQ669" t="s">
        <v>74</v>
      </c>
      <c r="AR669" t="s">
        <v>1491</v>
      </c>
      <c r="AS669" t="s">
        <v>1504</v>
      </c>
      <c r="AT669" t="s">
        <v>13018</v>
      </c>
      <c r="AU669">
        <v>2023</v>
      </c>
      <c r="AV669">
        <v>614</v>
      </c>
      <c r="AW669">
        <v>7948</v>
      </c>
      <c r="AX669" t="s">
        <v>74</v>
      </c>
      <c r="AY669" t="s">
        <v>74</v>
      </c>
      <c r="AZ669" t="s">
        <v>74</v>
      </c>
      <c r="BA669" t="s">
        <v>74</v>
      </c>
      <c r="BB669">
        <v>479</v>
      </c>
      <c r="BC669" t="s">
        <v>1385</v>
      </c>
      <c r="BD669" t="s">
        <v>74</v>
      </c>
      <c r="BE669" t="s">
        <v>13127</v>
      </c>
      <c r="BF669" t="str">
        <f>HYPERLINK("http://dx.doi.org/10.1038/s41586-022-05586-0","http://dx.doi.org/10.1038/s41586-022-05586-0")</f>
        <v>http://dx.doi.org/10.1038/s41586-022-05586-0</v>
      </c>
      <c r="BG669" t="s">
        <v>74</v>
      </c>
      <c r="BH669" t="s">
        <v>74</v>
      </c>
      <c r="BI669">
        <v>21</v>
      </c>
      <c r="BJ669" t="s">
        <v>210</v>
      </c>
      <c r="BK669" t="s">
        <v>103</v>
      </c>
      <c r="BL669" t="s">
        <v>211</v>
      </c>
      <c r="BM669" t="s">
        <v>13111</v>
      </c>
      <c r="BN669">
        <v>36792735</v>
      </c>
      <c r="BO669" t="s">
        <v>12127</v>
      </c>
      <c r="BP669" t="s">
        <v>1849</v>
      </c>
      <c r="BQ669" t="s">
        <v>1850</v>
      </c>
      <c r="BR669" t="s">
        <v>106</v>
      </c>
      <c r="BS669" t="s">
        <v>13128</v>
      </c>
      <c r="BT669" t="str">
        <f>HYPERLINK("https%3A%2F%2Fwww.webofscience.com%2Fwos%2Fwoscc%2Ffull-record%2FWOS:000936873800003","View Full Record in Web of Science")</f>
        <v>View Full Record in Web of Science</v>
      </c>
    </row>
    <row r="670" spans="1:72" x14ac:dyDescent="0.15">
      <c r="A670" t="s">
        <v>72</v>
      </c>
      <c r="B670" t="s">
        <v>13129</v>
      </c>
      <c r="C670" t="s">
        <v>74</v>
      </c>
      <c r="D670" t="s">
        <v>74</v>
      </c>
      <c r="E670" t="s">
        <v>74</v>
      </c>
      <c r="F670" t="s">
        <v>13130</v>
      </c>
      <c r="G670" t="s">
        <v>74</v>
      </c>
      <c r="H670" t="s">
        <v>74</v>
      </c>
      <c r="I670" t="s">
        <v>13131</v>
      </c>
      <c r="J670" t="s">
        <v>9044</v>
      </c>
      <c r="K670" t="s">
        <v>74</v>
      </c>
      <c r="L670" t="s">
        <v>74</v>
      </c>
      <c r="M670" t="s">
        <v>78</v>
      </c>
      <c r="N670" t="s">
        <v>112</v>
      </c>
      <c r="O670" t="s">
        <v>74</v>
      </c>
      <c r="P670" t="s">
        <v>74</v>
      </c>
      <c r="Q670" t="s">
        <v>74</v>
      </c>
      <c r="R670" t="s">
        <v>74</v>
      </c>
      <c r="S670" t="s">
        <v>74</v>
      </c>
      <c r="T670" t="s">
        <v>13132</v>
      </c>
      <c r="U670" t="s">
        <v>13133</v>
      </c>
      <c r="V670" t="s">
        <v>13134</v>
      </c>
      <c r="W670" t="s">
        <v>13135</v>
      </c>
      <c r="X670" t="s">
        <v>13136</v>
      </c>
      <c r="Y670" t="s">
        <v>13137</v>
      </c>
      <c r="Z670" t="s">
        <v>13138</v>
      </c>
      <c r="AA670" t="s">
        <v>13139</v>
      </c>
      <c r="AB670" t="s">
        <v>13140</v>
      </c>
      <c r="AC670" t="s">
        <v>13141</v>
      </c>
      <c r="AD670" t="s">
        <v>13142</v>
      </c>
      <c r="AE670" t="s">
        <v>13143</v>
      </c>
      <c r="AF670" t="s">
        <v>74</v>
      </c>
      <c r="AG670">
        <v>83</v>
      </c>
      <c r="AH670">
        <v>0</v>
      </c>
      <c r="AI670">
        <v>0</v>
      </c>
      <c r="AJ670">
        <v>0</v>
      </c>
      <c r="AK670">
        <v>1</v>
      </c>
      <c r="AL670" t="s">
        <v>1405</v>
      </c>
      <c r="AM670" t="s">
        <v>6606</v>
      </c>
      <c r="AN670" t="s">
        <v>6607</v>
      </c>
      <c r="AO670" t="s">
        <v>9055</v>
      </c>
      <c r="AP670" t="s">
        <v>9056</v>
      </c>
      <c r="AQ670" t="s">
        <v>74</v>
      </c>
      <c r="AR670" t="s">
        <v>9057</v>
      </c>
      <c r="AS670" t="s">
        <v>9058</v>
      </c>
      <c r="AT670" t="s">
        <v>1437</v>
      </c>
      <c r="AU670">
        <v>2023</v>
      </c>
      <c r="AV670">
        <v>182</v>
      </c>
      <c r="AW670" t="s">
        <v>74</v>
      </c>
      <c r="AX670" t="s">
        <v>74</v>
      </c>
      <c r="AY670" t="s">
        <v>74</v>
      </c>
      <c r="AZ670" t="s">
        <v>74</v>
      </c>
      <c r="BA670" t="s">
        <v>74</v>
      </c>
      <c r="BB670" t="s">
        <v>74</v>
      </c>
      <c r="BC670" t="s">
        <v>74</v>
      </c>
      <c r="BD670">
        <v>102178</v>
      </c>
      <c r="BE670" t="s">
        <v>13144</v>
      </c>
      <c r="BF670" t="str">
        <f>HYPERLINK("http://dx.doi.org/10.1016/j.ocemod.2023.102178","http://dx.doi.org/10.1016/j.ocemod.2023.102178")</f>
        <v>http://dx.doi.org/10.1016/j.ocemod.2023.102178</v>
      </c>
      <c r="BG670" t="s">
        <v>74</v>
      </c>
      <c r="BH670" t="s">
        <v>11628</v>
      </c>
      <c r="BI670">
        <v>20</v>
      </c>
      <c r="BJ670" t="s">
        <v>4434</v>
      </c>
      <c r="BK670" t="s">
        <v>103</v>
      </c>
      <c r="BL670" t="s">
        <v>4434</v>
      </c>
      <c r="BM670" t="s">
        <v>13145</v>
      </c>
      <c r="BN670" t="s">
        <v>74</v>
      </c>
      <c r="BO670" t="s">
        <v>105</v>
      </c>
      <c r="BP670" t="s">
        <v>74</v>
      </c>
      <c r="BQ670" t="s">
        <v>74</v>
      </c>
      <c r="BR670" t="s">
        <v>106</v>
      </c>
      <c r="BS670" t="s">
        <v>13146</v>
      </c>
      <c r="BT670" t="str">
        <f>HYPERLINK("https%3A%2F%2Fwww.webofscience.com%2Fwos%2Fwoscc%2Ffull-record%2FWOS:000942408400001","View Full Record in Web of Science")</f>
        <v>View Full Record in Web of Science</v>
      </c>
    </row>
    <row r="671" spans="1:72" x14ac:dyDescent="0.15">
      <c r="A671" t="s">
        <v>72</v>
      </c>
      <c r="B671" t="s">
        <v>13147</v>
      </c>
      <c r="C671" t="s">
        <v>74</v>
      </c>
      <c r="D671" t="s">
        <v>74</v>
      </c>
      <c r="E671" t="s">
        <v>74</v>
      </c>
      <c r="F671" t="s">
        <v>13148</v>
      </c>
      <c r="G671" t="s">
        <v>74</v>
      </c>
      <c r="H671" t="s">
        <v>74</v>
      </c>
      <c r="I671" t="s">
        <v>13149</v>
      </c>
      <c r="J671" t="s">
        <v>11745</v>
      </c>
      <c r="K671" t="s">
        <v>74</v>
      </c>
      <c r="L671" t="s">
        <v>74</v>
      </c>
      <c r="M671" t="s">
        <v>78</v>
      </c>
      <c r="N671" t="s">
        <v>112</v>
      </c>
      <c r="O671" t="s">
        <v>74</v>
      </c>
      <c r="P671" t="s">
        <v>74</v>
      </c>
      <c r="Q671" t="s">
        <v>74</v>
      </c>
      <c r="R671" t="s">
        <v>74</v>
      </c>
      <c r="S671" t="s">
        <v>74</v>
      </c>
      <c r="T671" t="s">
        <v>13150</v>
      </c>
      <c r="U671" t="s">
        <v>13151</v>
      </c>
      <c r="V671" t="s">
        <v>13152</v>
      </c>
      <c r="W671" t="s">
        <v>13153</v>
      </c>
      <c r="X671" t="s">
        <v>13154</v>
      </c>
      <c r="Y671" t="s">
        <v>13155</v>
      </c>
      <c r="Z671" t="s">
        <v>13156</v>
      </c>
      <c r="AA671" t="s">
        <v>13157</v>
      </c>
      <c r="AB671" t="s">
        <v>13158</v>
      </c>
      <c r="AC671" t="s">
        <v>13159</v>
      </c>
      <c r="AD671" t="s">
        <v>13160</v>
      </c>
      <c r="AE671" t="s">
        <v>13161</v>
      </c>
      <c r="AF671" t="s">
        <v>74</v>
      </c>
      <c r="AG671">
        <v>78</v>
      </c>
      <c r="AH671">
        <v>0</v>
      </c>
      <c r="AI671">
        <v>0</v>
      </c>
      <c r="AJ671">
        <v>2</v>
      </c>
      <c r="AK671">
        <v>12</v>
      </c>
      <c r="AL671" t="s">
        <v>1599</v>
      </c>
      <c r="AM671" t="s">
        <v>306</v>
      </c>
      <c r="AN671" t="s">
        <v>1600</v>
      </c>
      <c r="AO671" t="s">
        <v>11758</v>
      </c>
      <c r="AP671" t="s">
        <v>74</v>
      </c>
      <c r="AQ671" t="s">
        <v>74</v>
      </c>
      <c r="AR671" t="s">
        <v>11745</v>
      </c>
      <c r="AS671" t="s">
        <v>11759</v>
      </c>
      <c r="AT671" t="s">
        <v>886</v>
      </c>
      <c r="AU671">
        <v>2023</v>
      </c>
      <c r="AV671">
        <v>8</v>
      </c>
      <c r="AW671">
        <v>2</v>
      </c>
      <c r="AX671" t="s">
        <v>74</v>
      </c>
      <c r="AY671" t="s">
        <v>74</v>
      </c>
      <c r="AZ671" t="s">
        <v>74</v>
      </c>
      <c r="BA671" t="s">
        <v>74</v>
      </c>
      <c r="BB671" t="s">
        <v>74</v>
      </c>
      <c r="BC671" t="s">
        <v>74</v>
      </c>
      <c r="BD671" t="s">
        <v>74</v>
      </c>
      <c r="BE671" t="s">
        <v>13162</v>
      </c>
      <c r="BF671" t="str">
        <f>HYPERLINK("http://dx.doi.org/10.1128/msystems.01260-22","http://dx.doi.org/10.1128/msystems.01260-22")</f>
        <v>http://dx.doi.org/10.1128/msystems.01260-22</v>
      </c>
      <c r="BG671" t="s">
        <v>74</v>
      </c>
      <c r="BH671" t="s">
        <v>11628</v>
      </c>
      <c r="BI671">
        <v>17</v>
      </c>
      <c r="BJ671" t="s">
        <v>1387</v>
      </c>
      <c r="BK671" t="s">
        <v>103</v>
      </c>
      <c r="BL671" t="s">
        <v>1387</v>
      </c>
      <c r="BM671" t="s">
        <v>11761</v>
      </c>
      <c r="BN671">
        <v>36794943</v>
      </c>
      <c r="BO671" t="s">
        <v>136</v>
      </c>
      <c r="BP671" t="s">
        <v>74</v>
      </c>
      <c r="BQ671" t="s">
        <v>74</v>
      </c>
      <c r="BR671" t="s">
        <v>106</v>
      </c>
      <c r="BS671" t="s">
        <v>13163</v>
      </c>
      <c r="BT671" t="str">
        <f>HYPERLINK("https%3A%2F%2Fwww.webofscience.com%2Fwos%2Fwoscc%2Ffull-record%2FWOS:000937400300001","View Full Record in Web of Science")</f>
        <v>View Full Record in Web of Science</v>
      </c>
    </row>
    <row r="672" spans="1:72" x14ac:dyDescent="0.15">
      <c r="A672" t="s">
        <v>72</v>
      </c>
      <c r="B672" t="s">
        <v>13164</v>
      </c>
      <c r="C672" t="s">
        <v>74</v>
      </c>
      <c r="D672" t="s">
        <v>74</v>
      </c>
      <c r="E672" t="s">
        <v>74</v>
      </c>
      <c r="F672" t="s">
        <v>13165</v>
      </c>
      <c r="G672" t="s">
        <v>74</v>
      </c>
      <c r="H672" t="s">
        <v>74</v>
      </c>
      <c r="I672" t="s">
        <v>13166</v>
      </c>
      <c r="J672" t="s">
        <v>13167</v>
      </c>
      <c r="K672" t="s">
        <v>74</v>
      </c>
      <c r="L672" t="s">
        <v>74</v>
      </c>
      <c r="M672" t="s">
        <v>78</v>
      </c>
      <c r="N672" t="s">
        <v>112</v>
      </c>
      <c r="O672" t="s">
        <v>74</v>
      </c>
      <c r="P672" t="s">
        <v>74</v>
      </c>
      <c r="Q672" t="s">
        <v>74</v>
      </c>
      <c r="R672" t="s">
        <v>74</v>
      </c>
      <c r="S672" t="s">
        <v>74</v>
      </c>
      <c r="T672" t="s">
        <v>13168</v>
      </c>
      <c r="U672" t="s">
        <v>13169</v>
      </c>
      <c r="V672" t="s">
        <v>13170</v>
      </c>
      <c r="W672" t="s">
        <v>13171</v>
      </c>
      <c r="X672" t="s">
        <v>9538</v>
      </c>
      <c r="Y672" t="s">
        <v>13172</v>
      </c>
      <c r="Z672" t="s">
        <v>13173</v>
      </c>
      <c r="AA672" t="s">
        <v>13174</v>
      </c>
      <c r="AB672" t="s">
        <v>13175</v>
      </c>
      <c r="AC672" t="s">
        <v>13176</v>
      </c>
      <c r="AD672" t="s">
        <v>13177</v>
      </c>
      <c r="AE672" t="s">
        <v>13178</v>
      </c>
      <c r="AF672" t="s">
        <v>74</v>
      </c>
      <c r="AG672">
        <v>44</v>
      </c>
      <c r="AH672">
        <v>3</v>
      </c>
      <c r="AI672">
        <v>3</v>
      </c>
      <c r="AJ672">
        <v>7</v>
      </c>
      <c r="AK672">
        <v>16</v>
      </c>
      <c r="AL672" t="s">
        <v>768</v>
      </c>
      <c r="AM672" t="s">
        <v>179</v>
      </c>
      <c r="AN672" t="s">
        <v>769</v>
      </c>
      <c r="AO672" t="s">
        <v>13179</v>
      </c>
      <c r="AP672" t="s">
        <v>13180</v>
      </c>
      <c r="AQ672" t="s">
        <v>74</v>
      </c>
      <c r="AR672" t="s">
        <v>13181</v>
      </c>
      <c r="AS672" t="s">
        <v>13182</v>
      </c>
      <c r="AT672" t="s">
        <v>507</v>
      </c>
      <c r="AU672">
        <v>2023</v>
      </c>
      <c r="AV672">
        <v>16</v>
      </c>
      <c r="AW672">
        <v>8</v>
      </c>
      <c r="AX672" t="s">
        <v>74</v>
      </c>
      <c r="AY672" t="s">
        <v>74</v>
      </c>
      <c r="AZ672" t="s">
        <v>74</v>
      </c>
      <c r="BA672" t="s">
        <v>74</v>
      </c>
      <c r="BB672">
        <v>1690</v>
      </c>
      <c r="BC672">
        <v>1702</v>
      </c>
      <c r="BD672" t="s">
        <v>74</v>
      </c>
      <c r="BE672" t="s">
        <v>13183</v>
      </c>
      <c r="BF672" t="str">
        <f>HYPERLINK("http://dx.doi.org/10.1007/s11947-023-03027-y","http://dx.doi.org/10.1007/s11947-023-03027-y")</f>
        <v>http://dx.doi.org/10.1007/s11947-023-03027-y</v>
      </c>
      <c r="BG672" t="s">
        <v>74</v>
      </c>
      <c r="BH672" t="s">
        <v>11628</v>
      </c>
      <c r="BI672">
        <v>13</v>
      </c>
      <c r="BJ672" t="s">
        <v>1528</v>
      </c>
      <c r="BK672" t="s">
        <v>103</v>
      </c>
      <c r="BL672" t="s">
        <v>1528</v>
      </c>
      <c r="BM672" t="s">
        <v>13184</v>
      </c>
      <c r="BN672" t="s">
        <v>74</v>
      </c>
      <c r="BO672" t="s">
        <v>1389</v>
      </c>
      <c r="BP672" t="s">
        <v>74</v>
      </c>
      <c r="BQ672" t="s">
        <v>74</v>
      </c>
      <c r="BR672" t="s">
        <v>106</v>
      </c>
      <c r="BS672" t="s">
        <v>13185</v>
      </c>
      <c r="BT672" t="str">
        <f>HYPERLINK("https%3A%2F%2Fwww.webofscience.com%2Fwos%2Fwoscc%2Ffull-record%2FWOS:000937454000001","View Full Record in Web of Science")</f>
        <v>View Full Record in Web of Science</v>
      </c>
    </row>
    <row r="673" spans="1:72" x14ac:dyDescent="0.15">
      <c r="A673" t="s">
        <v>72</v>
      </c>
      <c r="B673" t="s">
        <v>13186</v>
      </c>
      <c r="C673" t="s">
        <v>74</v>
      </c>
      <c r="D673" t="s">
        <v>74</v>
      </c>
      <c r="E673" t="s">
        <v>74</v>
      </c>
      <c r="F673" t="s">
        <v>13187</v>
      </c>
      <c r="G673" t="s">
        <v>74</v>
      </c>
      <c r="H673" t="s">
        <v>74</v>
      </c>
      <c r="I673" t="s">
        <v>13188</v>
      </c>
      <c r="J673" t="s">
        <v>2032</v>
      </c>
      <c r="K673" t="s">
        <v>74</v>
      </c>
      <c r="L673" t="s">
        <v>74</v>
      </c>
      <c r="M673" t="s">
        <v>78</v>
      </c>
      <c r="N673" t="s">
        <v>112</v>
      </c>
      <c r="O673" t="s">
        <v>74</v>
      </c>
      <c r="P673" t="s">
        <v>74</v>
      </c>
      <c r="Q673" t="s">
        <v>74</v>
      </c>
      <c r="R673" t="s">
        <v>74</v>
      </c>
      <c r="S673" t="s">
        <v>74</v>
      </c>
      <c r="T673" t="s">
        <v>74</v>
      </c>
      <c r="U673" t="s">
        <v>13189</v>
      </c>
      <c r="V673" t="s">
        <v>13190</v>
      </c>
      <c r="W673" t="s">
        <v>13191</v>
      </c>
      <c r="X673" t="s">
        <v>13192</v>
      </c>
      <c r="Y673" t="s">
        <v>13193</v>
      </c>
      <c r="Z673" t="s">
        <v>13194</v>
      </c>
      <c r="AA673" t="s">
        <v>13195</v>
      </c>
      <c r="AB673" t="s">
        <v>13196</v>
      </c>
      <c r="AC673" t="s">
        <v>13197</v>
      </c>
      <c r="AD673" t="s">
        <v>12066</v>
      </c>
      <c r="AE673" t="s">
        <v>74</v>
      </c>
      <c r="AF673" t="s">
        <v>74</v>
      </c>
      <c r="AG673">
        <v>59</v>
      </c>
      <c r="AH673">
        <v>1</v>
      </c>
      <c r="AI673">
        <v>1</v>
      </c>
      <c r="AJ673">
        <v>1</v>
      </c>
      <c r="AK673">
        <v>1</v>
      </c>
      <c r="AL673" t="s">
        <v>2044</v>
      </c>
      <c r="AM673" t="s">
        <v>2045</v>
      </c>
      <c r="AN673" t="s">
        <v>2046</v>
      </c>
      <c r="AO673" t="s">
        <v>2047</v>
      </c>
      <c r="AP673" t="s">
        <v>74</v>
      </c>
      <c r="AQ673" t="s">
        <v>74</v>
      </c>
      <c r="AR673" t="s">
        <v>2032</v>
      </c>
      <c r="AS673" t="s">
        <v>2048</v>
      </c>
      <c r="AT673" t="s">
        <v>13198</v>
      </c>
      <c r="AU673">
        <v>2023</v>
      </c>
      <c r="AV673">
        <v>18</v>
      </c>
      <c r="AW673">
        <v>2</v>
      </c>
      <c r="AX673" t="s">
        <v>74</v>
      </c>
      <c r="AY673" t="s">
        <v>74</v>
      </c>
      <c r="AZ673" t="s">
        <v>74</v>
      </c>
      <c r="BA673" t="s">
        <v>74</v>
      </c>
      <c r="BB673" t="s">
        <v>74</v>
      </c>
      <c r="BC673" t="s">
        <v>74</v>
      </c>
      <c r="BD673" t="s">
        <v>13199</v>
      </c>
      <c r="BE673" t="s">
        <v>13200</v>
      </c>
      <c r="BF673" t="str">
        <f>HYPERLINK("http://dx.doi.org/10.1371/journal.pone.0280218","http://dx.doi.org/10.1371/journal.pone.0280218")</f>
        <v>http://dx.doi.org/10.1371/journal.pone.0280218</v>
      </c>
      <c r="BG673" t="s">
        <v>74</v>
      </c>
      <c r="BH673" t="s">
        <v>74</v>
      </c>
      <c r="BI673">
        <v>24</v>
      </c>
      <c r="BJ673" t="s">
        <v>210</v>
      </c>
      <c r="BK673" t="s">
        <v>103</v>
      </c>
      <c r="BL673" t="s">
        <v>211</v>
      </c>
      <c r="BM673" t="s">
        <v>13201</v>
      </c>
      <c r="BN673">
        <v>36791148</v>
      </c>
      <c r="BO673" t="s">
        <v>614</v>
      </c>
      <c r="BP673" t="s">
        <v>74</v>
      </c>
      <c r="BQ673" t="s">
        <v>74</v>
      </c>
      <c r="BR673" t="s">
        <v>106</v>
      </c>
      <c r="BS673" t="s">
        <v>13202</v>
      </c>
      <c r="BT673" t="str">
        <f>HYPERLINK("https%3A%2F%2Fwww.webofscience.com%2Fwos%2Fwoscc%2Ffull-record%2FWOS:001056479600024","View Full Record in Web of Science")</f>
        <v>View Full Record in Web of Science</v>
      </c>
    </row>
    <row r="674" spans="1:72" x14ac:dyDescent="0.15">
      <c r="A674" t="s">
        <v>72</v>
      </c>
      <c r="B674" t="s">
        <v>13203</v>
      </c>
      <c r="C674" t="s">
        <v>74</v>
      </c>
      <c r="D674" t="s">
        <v>74</v>
      </c>
      <c r="E674" t="s">
        <v>74</v>
      </c>
      <c r="F674" t="s">
        <v>13204</v>
      </c>
      <c r="G674" t="s">
        <v>74</v>
      </c>
      <c r="H674" t="s">
        <v>74</v>
      </c>
      <c r="I674" t="s">
        <v>13205</v>
      </c>
      <c r="J674" t="s">
        <v>9081</v>
      </c>
      <c r="K674" t="s">
        <v>74</v>
      </c>
      <c r="L674" t="s">
        <v>74</v>
      </c>
      <c r="M674" t="s">
        <v>78</v>
      </c>
      <c r="N674" t="s">
        <v>112</v>
      </c>
      <c r="O674" t="s">
        <v>74</v>
      </c>
      <c r="P674" t="s">
        <v>74</v>
      </c>
      <c r="Q674" t="s">
        <v>74</v>
      </c>
      <c r="R674" t="s">
        <v>74</v>
      </c>
      <c r="S674" t="s">
        <v>74</v>
      </c>
      <c r="T674" t="s">
        <v>13206</v>
      </c>
      <c r="U674" t="s">
        <v>13207</v>
      </c>
      <c r="V674" t="s">
        <v>13208</v>
      </c>
      <c r="W674" t="s">
        <v>13209</v>
      </c>
      <c r="X674" t="s">
        <v>13210</v>
      </c>
      <c r="Y674" t="s">
        <v>13211</v>
      </c>
      <c r="Z674" t="s">
        <v>13212</v>
      </c>
      <c r="AA674" t="s">
        <v>13213</v>
      </c>
      <c r="AB674" t="s">
        <v>13214</v>
      </c>
      <c r="AC674" t="s">
        <v>13215</v>
      </c>
      <c r="AD674" t="s">
        <v>13216</v>
      </c>
      <c r="AE674" t="s">
        <v>13217</v>
      </c>
      <c r="AF674" t="s">
        <v>74</v>
      </c>
      <c r="AG674">
        <v>101</v>
      </c>
      <c r="AH674">
        <v>3</v>
      </c>
      <c r="AI674">
        <v>3</v>
      </c>
      <c r="AJ674">
        <v>4</v>
      </c>
      <c r="AK674">
        <v>7</v>
      </c>
      <c r="AL674" t="s">
        <v>225</v>
      </c>
      <c r="AM674" t="s">
        <v>226</v>
      </c>
      <c r="AN674" t="s">
        <v>227</v>
      </c>
      <c r="AO674" t="s">
        <v>9094</v>
      </c>
      <c r="AP674" t="s">
        <v>9095</v>
      </c>
      <c r="AQ674" t="s">
        <v>74</v>
      </c>
      <c r="AR674" t="s">
        <v>9096</v>
      </c>
      <c r="AS674" t="s">
        <v>9097</v>
      </c>
      <c r="AT674" t="s">
        <v>8107</v>
      </c>
      <c r="AU674">
        <v>2023</v>
      </c>
      <c r="AV674">
        <v>304</v>
      </c>
      <c r="AW674" t="s">
        <v>74</v>
      </c>
      <c r="AX674" t="s">
        <v>74</v>
      </c>
      <c r="AY674" t="s">
        <v>74</v>
      </c>
      <c r="AZ674" t="s">
        <v>74</v>
      </c>
      <c r="BA674" t="s">
        <v>74</v>
      </c>
      <c r="BB674" t="s">
        <v>74</v>
      </c>
      <c r="BC674" t="s">
        <v>74</v>
      </c>
      <c r="BD674">
        <v>107873</v>
      </c>
      <c r="BE674" t="s">
        <v>13218</v>
      </c>
      <c r="BF674" t="str">
        <f>HYPERLINK("http://dx.doi.org/10.1016/j.quascirev.2022.107873","http://dx.doi.org/10.1016/j.quascirev.2022.107873")</f>
        <v>http://dx.doi.org/10.1016/j.quascirev.2022.107873</v>
      </c>
      <c r="BG674" t="s">
        <v>74</v>
      </c>
      <c r="BH674" t="s">
        <v>11628</v>
      </c>
      <c r="BI674">
        <v>19</v>
      </c>
      <c r="BJ674" t="s">
        <v>801</v>
      </c>
      <c r="BK674" t="s">
        <v>103</v>
      </c>
      <c r="BL674" t="s">
        <v>802</v>
      </c>
      <c r="BM674" t="s">
        <v>13219</v>
      </c>
      <c r="BN674" t="s">
        <v>74</v>
      </c>
      <c r="BO674" t="s">
        <v>387</v>
      </c>
      <c r="BP674" t="s">
        <v>74</v>
      </c>
      <c r="BQ674" t="s">
        <v>74</v>
      </c>
      <c r="BR674" t="s">
        <v>106</v>
      </c>
      <c r="BS674" t="s">
        <v>13220</v>
      </c>
      <c r="BT674" t="str">
        <f>HYPERLINK("https%3A%2F%2Fwww.webofscience.com%2Fwos%2Fwoscc%2Ffull-record%2FWOS:000992807400001","View Full Record in Web of Science")</f>
        <v>View Full Record in Web of Science</v>
      </c>
    </row>
    <row r="675" spans="1:72" x14ac:dyDescent="0.15">
      <c r="A675" t="s">
        <v>72</v>
      </c>
      <c r="B675" t="s">
        <v>13221</v>
      </c>
      <c r="C675" t="s">
        <v>74</v>
      </c>
      <c r="D675" t="s">
        <v>74</v>
      </c>
      <c r="E675" t="s">
        <v>74</v>
      </c>
      <c r="F675" t="s">
        <v>13222</v>
      </c>
      <c r="G675" t="s">
        <v>74</v>
      </c>
      <c r="H675" t="s">
        <v>74</v>
      </c>
      <c r="I675" t="s">
        <v>13223</v>
      </c>
      <c r="J675" t="s">
        <v>435</v>
      </c>
      <c r="K675" t="s">
        <v>74</v>
      </c>
      <c r="L675" t="s">
        <v>74</v>
      </c>
      <c r="M675" t="s">
        <v>78</v>
      </c>
      <c r="N675" t="s">
        <v>112</v>
      </c>
      <c r="O675" t="s">
        <v>74</v>
      </c>
      <c r="P675" t="s">
        <v>74</v>
      </c>
      <c r="Q675" t="s">
        <v>74</v>
      </c>
      <c r="R675" t="s">
        <v>74</v>
      </c>
      <c r="S675" t="s">
        <v>74</v>
      </c>
      <c r="T675" t="s">
        <v>13224</v>
      </c>
      <c r="U675" t="s">
        <v>13225</v>
      </c>
      <c r="V675" t="s">
        <v>13226</v>
      </c>
      <c r="W675" t="s">
        <v>13227</v>
      </c>
      <c r="X675" t="s">
        <v>13228</v>
      </c>
      <c r="Y675" t="s">
        <v>13229</v>
      </c>
      <c r="Z675" t="s">
        <v>13230</v>
      </c>
      <c r="AA675" t="s">
        <v>74</v>
      </c>
      <c r="AB675" t="s">
        <v>74</v>
      </c>
      <c r="AC675" t="s">
        <v>74</v>
      </c>
      <c r="AD675" t="s">
        <v>74</v>
      </c>
      <c r="AE675" t="s">
        <v>74</v>
      </c>
      <c r="AF675" t="s">
        <v>74</v>
      </c>
      <c r="AG675">
        <v>47</v>
      </c>
      <c r="AH675">
        <v>2</v>
      </c>
      <c r="AI675">
        <v>2</v>
      </c>
      <c r="AJ675">
        <v>6</v>
      </c>
      <c r="AK675">
        <v>9</v>
      </c>
      <c r="AL675" t="s">
        <v>447</v>
      </c>
      <c r="AM675" t="s">
        <v>448</v>
      </c>
      <c r="AN675" t="s">
        <v>449</v>
      </c>
      <c r="AO675" t="s">
        <v>450</v>
      </c>
      <c r="AP675" t="s">
        <v>451</v>
      </c>
      <c r="AQ675" t="s">
        <v>74</v>
      </c>
      <c r="AR675" t="s">
        <v>452</v>
      </c>
      <c r="AS675" t="s">
        <v>453</v>
      </c>
      <c r="AT675" t="s">
        <v>4546</v>
      </c>
      <c r="AU675">
        <v>2023</v>
      </c>
      <c r="AV675">
        <v>615</v>
      </c>
      <c r="AW675" t="s">
        <v>74</v>
      </c>
      <c r="AX675" t="s">
        <v>74</v>
      </c>
      <c r="AY675" t="s">
        <v>74</v>
      </c>
      <c r="AZ675" t="s">
        <v>74</v>
      </c>
      <c r="BA675" t="s">
        <v>74</v>
      </c>
      <c r="BB675" t="s">
        <v>74</v>
      </c>
      <c r="BC675" t="s">
        <v>74</v>
      </c>
      <c r="BD675">
        <v>111443</v>
      </c>
      <c r="BE675" t="s">
        <v>13231</v>
      </c>
      <c r="BF675" t="str">
        <f>HYPERLINK("http://dx.doi.org/10.1016/j.palaeo.2023.111443","http://dx.doi.org/10.1016/j.palaeo.2023.111443")</f>
        <v>http://dx.doi.org/10.1016/j.palaeo.2023.111443</v>
      </c>
      <c r="BG675" t="s">
        <v>74</v>
      </c>
      <c r="BH675" t="s">
        <v>11628</v>
      </c>
      <c r="BI675">
        <v>6</v>
      </c>
      <c r="BJ675" t="s">
        <v>456</v>
      </c>
      <c r="BK675" t="s">
        <v>103</v>
      </c>
      <c r="BL675" t="s">
        <v>457</v>
      </c>
      <c r="BM675" t="s">
        <v>13232</v>
      </c>
      <c r="BN675" t="s">
        <v>74</v>
      </c>
      <c r="BO675" t="s">
        <v>74</v>
      </c>
      <c r="BP675" t="s">
        <v>74</v>
      </c>
      <c r="BQ675" t="s">
        <v>74</v>
      </c>
      <c r="BR675" t="s">
        <v>106</v>
      </c>
      <c r="BS675" t="s">
        <v>13233</v>
      </c>
      <c r="BT675" t="str">
        <f>HYPERLINK("https%3A%2F%2Fwww.webofscience.com%2Fwos%2Fwoscc%2Ffull-record%2FWOS:000993650600001","View Full Record in Web of Science")</f>
        <v>View Full Record in Web of Science</v>
      </c>
    </row>
    <row r="676" spans="1:72" x14ac:dyDescent="0.15">
      <c r="A676" t="s">
        <v>72</v>
      </c>
      <c r="B676" t="s">
        <v>13234</v>
      </c>
      <c r="C676" t="s">
        <v>74</v>
      </c>
      <c r="D676" t="s">
        <v>74</v>
      </c>
      <c r="E676" t="s">
        <v>74</v>
      </c>
      <c r="F676" t="s">
        <v>13235</v>
      </c>
      <c r="G676" t="s">
        <v>74</v>
      </c>
      <c r="H676" t="s">
        <v>74</v>
      </c>
      <c r="I676" t="s">
        <v>13236</v>
      </c>
      <c r="J676" t="s">
        <v>13237</v>
      </c>
      <c r="K676" t="s">
        <v>74</v>
      </c>
      <c r="L676" t="s">
        <v>74</v>
      </c>
      <c r="M676" t="s">
        <v>78</v>
      </c>
      <c r="N676" t="s">
        <v>112</v>
      </c>
      <c r="O676" t="s">
        <v>74</v>
      </c>
      <c r="P676" t="s">
        <v>74</v>
      </c>
      <c r="Q676" t="s">
        <v>74</v>
      </c>
      <c r="R676" t="s">
        <v>74</v>
      </c>
      <c r="S676" t="s">
        <v>74</v>
      </c>
      <c r="T676" t="s">
        <v>13238</v>
      </c>
      <c r="U676" t="s">
        <v>13239</v>
      </c>
      <c r="V676" t="s">
        <v>13240</v>
      </c>
      <c r="W676" t="s">
        <v>13241</v>
      </c>
      <c r="X676" t="s">
        <v>4852</v>
      </c>
      <c r="Y676" t="s">
        <v>13242</v>
      </c>
      <c r="Z676" t="s">
        <v>13243</v>
      </c>
      <c r="AA676" t="s">
        <v>13244</v>
      </c>
      <c r="AB676" t="s">
        <v>13245</v>
      </c>
      <c r="AC676" t="s">
        <v>13246</v>
      </c>
      <c r="AD676" t="s">
        <v>13247</v>
      </c>
      <c r="AE676" t="s">
        <v>13248</v>
      </c>
      <c r="AF676" t="s">
        <v>74</v>
      </c>
      <c r="AG676">
        <v>29</v>
      </c>
      <c r="AH676">
        <v>1</v>
      </c>
      <c r="AI676">
        <v>1</v>
      </c>
      <c r="AJ676">
        <v>3</v>
      </c>
      <c r="AK676">
        <v>6</v>
      </c>
      <c r="AL676" t="s">
        <v>13249</v>
      </c>
      <c r="AM676" t="s">
        <v>13250</v>
      </c>
      <c r="AN676" t="s">
        <v>13251</v>
      </c>
      <c r="AO676" t="s">
        <v>13252</v>
      </c>
      <c r="AP676" t="s">
        <v>13253</v>
      </c>
      <c r="AQ676" t="s">
        <v>74</v>
      </c>
      <c r="AR676" t="s">
        <v>13254</v>
      </c>
      <c r="AS676" t="s">
        <v>13255</v>
      </c>
      <c r="AT676" t="s">
        <v>13198</v>
      </c>
      <c r="AU676">
        <v>2023</v>
      </c>
      <c r="AV676">
        <v>23</v>
      </c>
      <c r="AW676">
        <v>4</v>
      </c>
      <c r="AX676" t="s">
        <v>74</v>
      </c>
      <c r="AY676" t="s">
        <v>74</v>
      </c>
      <c r="AZ676" t="s">
        <v>74</v>
      </c>
      <c r="BA676" t="s">
        <v>74</v>
      </c>
      <c r="BB676">
        <v>3924</v>
      </c>
      <c r="BC676">
        <v>3935</v>
      </c>
      <c r="BD676" t="s">
        <v>74</v>
      </c>
      <c r="BE676" t="s">
        <v>13256</v>
      </c>
      <c r="BF676" t="str">
        <f>HYPERLINK("http://dx.doi.org/10.1109/JSEN.2023.3234098","http://dx.doi.org/10.1109/JSEN.2023.3234098")</f>
        <v>http://dx.doi.org/10.1109/JSEN.2023.3234098</v>
      </c>
      <c r="BG676" t="s">
        <v>74</v>
      </c>
      <c r="BH676" t="s">
        <v>74</v>
      </c>
      <c r="BI676">
        <v>12</v>
      </c>
      <c r="BJ676" t="s">
        <v>13257</v>
      </c>
      <c r="BK676" t="s">
        <v>103</v>
      </c>
      <c r="BL676" t="s">
        <v>13258</v>
      </c>
      <c r="BM676" t="s">
        <v>13259</v>
      </c>
      <c r="BN676" t="s">
        <v>74</v>
      </c>
      <c r="BO676" t="s">
        <v>74</v>
      </c>
      <c r="BP676" t="s">
        <v>74</v>
      </c>
      <c r="BQ676" t="s">
        <v>74</v>
      </c>
      <c r="BR676" t="s">
        <v>106</v>
      </c>
      <c r="BS676" t="s">
        <v>13260</v>
      </c>
      <c r="BT676" t="str">
        <f>HYPERLINK("https%3A%2F%2Fwww.webofscience.com%2Fwos%2Fwoscc%2Ffull-record%2FWOS:000966313600001","View Full Record in Web of Science")</f>
        <v>View Full Record in Web of Science</v>
      </c>
    </row>
    <row r="677" spans="1:72" x14ac:dyDescent="0.15">
      <c r="A677" t="s">
        <v>72</v>
      </c>
      <c r="B677" t="s">
        <v>13261</v>
      </c>
      <c r="C677" t="s">
        <v>74</v>
      </c>
      <c r="D677" t="s">
        <v>74</v>
      </c>
      <c r="E677" t="s">
        <v>74</v>
      </c>
      <c r="F677" t="s">
        <v>13262</v>
      </c>
      <c r="G677" t="s">
        <v>74</v>
      </c>
      <c r="H677" t="s">
        <v>74</v>
      </c>
      <c r="I677" t="s">
        <v>13263</v>
      </c>
      <c r="J677" t="s">
        <v>13237</v>
      </c>
      <c r="K677" t="s">
        <v>74</v>
      </c>
      <c r="L677" t="s">
        <v>74</v>
      </c>
      <c r="M677" t="s">
        <v>78</v>
      </c>
      <c r="N677" t="s">
        <v>112</v>
      </c>
      <c r="O677" t="s">
        <v>74</v>
      </c>
      <c r="P677" t="s">
        <v>74</v>
      </c>
      <c r="Q677" t="s">
        <v>74</v>
      </c>
      <c r="R677" t="s">
        <v>74</v>
      </c>
      <c r="S677" t="s">
        <v>74</v>
      </c>
      <c r="T677" t="s">
        <v>13264</v>
      </c>
      <c r="U677" t="s">
        <v>13265</v>
      </c>
      <c r="V677" t="s">
        <v>13266</v>
      </c>
      <c r="W677" t="s">
        <v>13267</v>
      </c>
      <c r="X677" t="s">
        <v>4852</v>
      </c>
      <c r="Y677" t="s">
        <v>13268</v>
      </c>
      <c r="Z677" t="s">
        <v>13269</v>
      </c>
      <c r="AA677" t="s">
        <v>13244</v>
      </c>
      <c r="AB677" t="s">
        <v>13270</v>
      </c>
      <c r="AC677" t="s">
        <v>13271</v>
      </c>
      <c r="AD677" t="s">
        <v>13272</v>
      </c>
      <c r="AE677" t="s">
        <v>13273</v>
      </c>
      <c r="AF677" t="s">
        <v>74</v>
      </c>
      <c r="AG677">
        <v>35</v>
      </c>
      <c r="AH677">
        <v>4</v>
      </c>
      <c r="AI677">
        <v>6</v>
      </c>
      <c r="AJ677">
        <v>9</v>
      </c>
      <c r="AK677">
        <v>16</v>
      </c>
      <c r="AL677" t="s">
        <v>13249</v>
      </c>
      <c r="AM677" t="s">
        <v>13250</v>
      </c>
      <c r="AN677" t="s">
        <v>13251</v>
      </c>
      <c r="AO677" t="s">
        <v>13252</v>
      </c>
      <c r="AP677" t="s">
        <v>13253</v>
      </c>
      <c r="AQ677" t="s">
        <v>74</v>
      </c>
      <c r="AR677" t="s">
        <v>13254</v>
      </c>
      <c r="AS677" t="s">
        <v>13255</v>
      </c>
      <c r="AT677" t="s">
        <v>13198</v>
      </c>
      <c r="AU677">
        <v>2023</v>
      </c>
      <c r="AV677">
        <v>23</v>
      </c>
      <c r="AW677">
        <v>4</v>
      </c>
      <c r="AX677" t="s">
        <v>74</v>
      </c>
      <c r="AY677" t="s">
        <v>74</v>
      </c>
      <c r="AZ677" t="s">
        <v>74</v>
      </c>
      <c r="BA677" t="s">
        <v>74</v>
      </c>
      <c r="BB677">
        <v>4129</v>
      </c>
      <c r="BC677">
        <v>4142</v>
      </c>
      <c r="BD677" t="s">
        <v>74</v>
      </c>
      <c r="BE677" t="s">
        <v>13274</v>
      </c>
      <c r="BF677" t="str">
        <f>HYPERLINK("http://dx.doi.org/10.1109/JSEN.2023.3234216","http://dx.doi.org/10.1109/JSEN.2023.3234216")</f>
        <v>http://dx.doi.org/10.1109/JSEN.2023.3234216</v>
      </c>
      <c r="BG677" t="s">
        <v>74</v>
      </c>
      <c r="BH677" t="s">
        <v>74</v>
      </c>
      <c r="BI677">
        <v>14</v>
      </c>
      <c r="BJ677" t="s">
        <v>13257</v>
      </c>
      <c r="BK677" t="s">
        <v>103</v>
      </c>
      <c r="BL677" t="s">
        <v>13258</v>
      </c>
      <c r="BM677" t="s">
        <v>13275</v>
      </c>
      <c r="BN677" t="s">
        <v>74</v>
      </c>
      <c r="BO677" t="s">
        <v>74</v>
      </c>
      <c r="BP677" t="s">
        <v>74</v>
      </c>
      <c r="BQ677" t="s">
        <v>74</v>
      </c>
      <c r="BR677" t="s">
        <v>106</v>
      </c>
      <c r="BS677" t="s">
        <v>13276</v>
      </c>
      <c r="BT677" t="str">
        <f>HYPERLINK("https%3A%2F%2Fwww.webofscience.com%2Fwos%2Fwoscc%2Ffull-record%2FWOS:000965953400001","View Full Record in Web of Science")</f>
        <v>View Full Record in Web of Science</v>
      </c>
    </row>
    <row r="678" spans="1:72" x14ac:dyDescent="0.15">
      <c r="A678" t="s">
        <v>72</v>
      </c>
      <c r="B678" t="s">
        <v>13277</v>
      </c>
      <c r="C678" t="s">
        <v>74</v>
      </c>
      <c r="D678" t="s">
        <v>74</v>
      </c>
      <c r="E678" t="s">
        <v>74</v>
      </c>
      <c r="F678" t="s">
        <v>13278</v>
      </c>
      <c r="G678" t="s">
        <v>74</v>
      </c>
      <c r="H678" t="s">
        <v>74</v>
      </c>
      <c r="I678" t="s">
        <v>13279</v>
      </c>
      <c r="J678" t="s">
        <v>6166</v>
      </c>
      <c r="K678" t="s">
        <v>74</v>
      </c>
      <c r="L678" t="s">
        <v>74</v>
      </c>
      <c r="M678" t="s">
        <v>78</v>
      </c>
      <c r="N678" t="s">
        <v>112</v>
      </c>
      <c r="O678" t="s">
        <v>74</v>
      </c>
      <c r="P678" t="s">
        <v>74</v>
      </c>
      <c r="Q678" t="s">
        <v>74</v>
      </c>
      <c r="R678" t="s">
        <v>74</v>
      </c>
      <c r="S678" t="s">
        <v>74</v>
      </c>
      <c r="T678" t="s">
        <v>13280</v>
      </c>
      <c r="U678" t="s">
        <v>13281</v>
      </c>
      <c r="V678" t="s">
        <v>13282</v>
      </c>
      <c r="W678" t="s">
        <v>13283</v>
      </c>
      <c r="X678" t="s">
        <v>13284</v>
      </c>
      <c r="Y678" t="s">
        <v>13285</v>
      </c>
      <c r="Z678" t="s">
        <v>13286</v>
      </c>
      <c r="AA678" t="s">
        <v>13287</v>
      </c>
      <c r="AB678" t="s">
        <v>13288</v>
      </c>
      <c r="AC678" t="s">
        <v>13289</v>
      </c>
      <c r="AD678" t="s">
        <v>13290</v>
      </c>
      <c r="AE678" t="s">
        <v>13291</v>
      </c>
      <c r="AF678" t="s">
        <v>74</v>
      </c>
      <c r="AG678">
        <v>21</v>
      </c>
      <c r="AH678">
        <v>1</v>
      </c>
      <c r="AI678">
        <v>1</v>
      </c>
      <c r="AJ678">
        <v>2</v>
      </c>
      <c r="AK678">
        <v>5</v>
      </c>
      <c r="AL678" t="s">
        <v>2116</v>
      </c>
      <c r="AM678" t="s">
        <v>226</v>
      </c>
      <c r="AN678" t="s">
        <v>2117</v>
      </c>
      <c r="AO678" t="s">
        <v>6179</v>
      </c>
      <c r="AP678" t="s">
        <v>6180</v>
      </c>
      <c r="AQ678" t="s">
        <v>74</v>
      </c>
      <c r="AR678" t="s">
        <v>6181</v>
      </c>
      <c r="AS678" t="s">
        <v>6182</v>
      </c>
      <c r="AT678" t="s">
        <v>13198</v>
      </c>
      <c r="AU678">
        <v>2023</v>
      </c>
      <c r="AV678">
        <v>520</v>
      </c>
      <c r="AW678">
        <v>3</v>
      </c>
      <c r="AX678" t="s">
        <v>74</v>
      </c>
      <c r="AY678" t="s">
        <v>74</v>
      </c>
      <c r="AZ678" t="s">
        <v>74</v>
      </c>
      <c r="BA678" t="s">
        <v>74</v>
      </c>
      <c r="BB678">
        <v>4601</v>
      </c>
      <c r="BC678">
        <v>4608</v>
      </c>
      <c r="BD678" t="s">
        <v>74</v>
      </c>
      <c r="BE678" t="s">
        <v>13292</v>
      </c>
      <c r="BF678" t="str">
        <f>HYPERLINK("http://dx.doi.org/10.1093/mnras/stad310","http://dx.doi.org/10.1093/mnras/stad310")</f>
        <v>http://dx.doi.org/10.1093/mnras/stad310</v>
      </c>
      <c r="BG678" t="s">
        <v>74</v>
      </c>
      <c r="BH678" t="s">
        <v>74</v>
      </c>
      <c r="BI678">
        <v>8</v>
      </c>
      <c r="BJ678" t="s">
        <v>159</v>
      </c>
      <c r="BK678" t="s">
        <v>103</v>
      </c>
      <c r="BL678" t="s">
        <v>159</v>
      </c>
      <c r="BM678" t="s">
        <v>13293</v>
      </c>
      <c r="BN678" t="s">
        <v>74</v>
      </c>
      <c r="BO678" t="s">
        <v>74</v>
      </c>
      <c r="BP678" t="s">
        <v>74</v>
      </c>
      <c r="BQ678" t="s">
        <v>74</v>
      </c>
      <c r="BR678" t="s">
        <v>106</v>
      </c>
      <c r="BS678" t="s">
        <v>13294</v>
      </c>
      <c r="BT678" t="str">
        <f>HYPERLINK("https%3A%2F%2Fwww.webofscience.com%2Fwos%2Fwoscc%2Ffull-record%2FWOS:000939893000003","View Full Record in Web of Science")</f>
        <v>View Full Record in Web of Science</v>
      </c>
    </row>
    <row r="679" spans="1:72" x14ac:dyDescent="0.15">
      <c r="A679" t="s">
        <v>72</v>
      </c>
      <c r="B679" t="s">
        <v>13295</v>
      </c>
      <c r="C679" t="s">
        <v>74</v>
      </c>
      <c r="D679" t="s">
        <v>74</v>
      </c>
      <c r="E679" t="s">
        <v>74</v>
      </c>
      <c r="F679" t="s">
        <v>13296</v>
      </c>
      <c r="G679" t="s">
        <v>74</v>
      </c>
      <c r="H679" t="s">
        <v>74</v>
      </c>
      <c r="I679" t="s">
        <v>13297</v>
      </c>
      <c r="J679" t="s">
        <v>13298</v>
      </c>
      <c r="K679" t="s">
        <v>74</v>
      </c>
      <c r="L679" t="s">
        <v>74</v>
      </c>
      <c r="M679" t="s">
        <v>78</v>
      </c>
      <c r="N679" t="s">
        <v>112</v>
      </c>
      <c r="O679" t="s">
        <v>74</v>
      </c>
      <c r="P679" t="s">
        <v>74</v>
      </c>
      <c r="Q679" t="s">
        <v>74</v>
      </c>
      <c r="R679" t="s">
        <v>74</v>
      </c>
      <c r="S679" t="s">
        <v>74</v>
      </c>
      <c r="T679" t="s">
        <v>74</v>
      </c>
      <c r="U679" t="s">
        <v>13299</v>
      </c>
      <c r="V679" t="s">
        <v>13300</v>
      </c>
      <c r="W679" t="s">
        <v>13301</v>
      </c>
      <c r="X679" t="s">
        <v>13302</v>
      </c>
      <c r="Y679" t="s">
        <v>13303</v>
      </c>
      <c r="Z679" t="s">
        <v>13304</v>
      </c>
      <c r="AA679" t="s">
        <v>13305</v>
      </c>
      <c r="AB679" t="s">
        <v>13306</v>
      </c>
      <c r="AC679" t="s">
        <v>74</v>
      </c>
      <c r="AD679" t="s">
        <v>74</v>
      </c>
      <c r="AE679" t="s">
        <v>74</v>
      </c>
      <c r="AF679" t="s">
        <v>74</v>
      </c>
      <c r="AG679">
        <v>85</v>
      </c>
      <c r="AH679">
        <v>2</v>
      </c>
      <c r="AI679">
        <v>2</v>
      </c>
      <c r="AJ679">
        <v>0</v>
      </c>
      <c r="AK679">
        <v>0</v>
      </c>
      <c r="AL679" t="s">
        <v>13307</v>
      </c>
      <c r="AM679" t="s">
        <v>13308</v>
      </c>
      <c r="AN679" t="s">
        <v>13309</v>
      </c>
      <c r="AO679" t="s">
        <v>13310</v>
      </c>
      <c r="AP679" t="s">
        <v>13311</v>
      </c>
      <c r="AQ679" t="s">
        <v>74</v>
      </c>
      <c r="AR679" t="s">
        <v>13312</v>
      </c>
      <c r="AS679" t="s">
        <v>13313</v>
      </c>
      <c r="AT679" t="s">
        <v>8042</v>
      </c>
      <c r="AU679">
        <v>2023</v>
      </c>
      <c r="AV679">
        <v>89</v>
      </c>
      <c r="AW679">
        <v>1</v>
      </c>
      <c r="AX679" t="s">
        <v>74</v>
      </c>
      <c r="AY679" t="s">
        <v>74</v>
      </c>
      <c r="AZ679" t="s">
        <v>74</v>
      </c>
      <c r="BA679" t="s">
        <v>74</v>
      </c>
      <c r="BB679">
        <v>213</v>
      </c>
      <c r="BC679">
        <v>227</v>
      </c>
      <c r="BD679" t="s">
        <v>74</v>
      </c>
      <c r="BE679" t="s">
        <v>13314</v>
      </c>
      <c r="BF679" t="str">
        <f>HYPERLINK("http://dx.doi.org/10.1007/s43538-023-00154-0","http://dx.doi.org/10.1007/s43538-023-00154-0")</f>
        <v>http://dx.doi.org/10.1007/s43538-023-00154-0</v>
      </c>
      <c r="BG679" t="s">
        <v>74</v>
      </c>
      <c r="BH679" t="s">
        <v>11628</v>
      </c>
      <c r="BI679">
        <v>15</v>
      </c>
      <c r="BJ679" t="s">
        <v>210</v>
      </c>
      <c r="BK679" t="s">
        <v>160</v>
      </c>
      <c r="BL679" t="s">
        <v>211</v>
      </c>
      <c r="BM679" t="s">
        <v>13315</v>
      </c>
      <c r="BN679" t="s">
        <v>74</v>
      </c>
      <c r="BO679" t="s">
        <v>74</v>
      </c>
      <c r="BP679" t="s">
        <v>74</v>
      </c>
      <c r="BQ679" t="s">
        <v>74</v>
      </c>
      <c r="BR679" t="s">
        <v>106</v>
      </c>
      <c r="BS679" t="s">
        <v>13316</v>
      </c>
      <c r="BT679" t="str">
        <f>HYPERLINK("https%3A%2F%2Fwww.webofscience.com%2Fwos%2Fwoscc%2Ffull-record%2FWOS:000933678800001","View Full Record in Web of Science")</f>
        <v>View Full Record in Web of Science</v>
      </c>
    </row>
    <row r="680" spans="1:72" x14ac:dyDescent="0.15">
      <c r="A680" t="s">
        <v>72</v>
      </c>
      <c r="B680" t="s">
        <v>13317</v>
      </c>
      <c r="C680" t="s">
        <v>74</v>
      </c>
      <c r="D680" t="s">
        <v>74</v>
      </c>
      <c r="E680" t="s">
        <v>74</v>
      </c>
      <c r="F680" t="s">
        <v>13318</v>
      </c>
      <c r="G680" t="s">
        <v>74</v>
      </c>
      <c r="H680" t="s">
        <v>74</v>
      </c>
      <c r="I680" t="s">
        <v>13319</v>
      </c>
      <c r="J680" t="s">
        <v>1146</v>
      </c>
      <c r="K680" t="s">
        <v>74</v>
      </c>
      <c r="L680" t="s">
        <v>74</v>
      </c>
      <c r="M680" t="s">
        <v>78</v>
      </c>
      <c r="N680" t="s">
        <v>112</v>
      </c>
      <c r="O680" t="s">
        <v>74</v>
      </c>
      <c r="P680" t="s">
        <v>74</v>
      </c>
      <c r="Q680" t="s">
        <v>74</v>
      </c>
      <c r="R680" t="s">
        <v>74</v>
      </c>
      <c r="S680" t="s">
        <v>74</v>
      </c>
      <c r="T680" t="s">
        <v>13320</v>
      </c>
      <c r="U680" t="s">
        <v>13321</v>
      </c>
      <c r="V680" t="s">
        <v>13322</v>
      </c>
      <c r="W680" t="s">
        <v>13323</v>
      </c>
      <c r="X680" t="s">
        <v>13324</v>
      </c>
      <c r="Y680" t="s">
        <v>13325</v>
      </c>
      <c r="Z680" t="s">
        <v>13326</v>
      </c>
      <c r="AA680" t="s">
        <v>13327</v>
      </c>
      <c r="AB680" t="s">
        <v>13328</v>
      </c>
      <c r="AC680" t="s">
        <v>13329</v>
      </c>
      <c r="AD680" t="s">
        <v>13330</v>
      </c>
      <c r="AE680" t="s">
        <v>13331</v>
      </c>
      <c r="AF680" t="s">
        <v>74</v>
      </c>
      <c r="AG680">
        <v>88</v>
      </c>
      <c r="AH680">
        <v>1</v>
      </c>
      <c r="AI680">
        <v>1</v>
      </c>
      <c r="AJ680">
        <v>10</v>
      </c>
      <c r="AK680">
        <v>25</v>
      </c>
      <c r="AL680" t="s">
        <v>225</v>
      </c>
      <c r="AM680" t="s">
        <v>226</v>
      </c>
      <c r="AN680" t="s">
        <v>227</v>
      </c>
      <c r="AO680" t="s">
        <v>1159</v>
      </c>
      <c r="AP680" t="s">
        <v>1160</v>
      </c>
      <c r="AQ680" t="s">
        <v>74</v>
      </c>
      <c r="AR680" t="s">
        <v>1146</v>
      </c>
      <c r="AS680" t="s">
        <v>1161</v>
      </c>
      <c r="AT680" t="s">
        <v>1437</v>
      </c>
      <c r="AU680">
        <v>2023</v>
      </c>
      <c r="AV680">
        <v>321</v>
      </c>
      <c r="AW680" t="s">
        <v>74</v>
      </c>
      <c r="AX680" t="s">
        <v>74</v>
      </c>
      <c r="AY680" t="s">
        <v>74</v>
      </c>
      <c r="AZ680" t="s">
        <v>74</v>
      </c>
      <c r="BA680" t="s">
        <v>74</v>
      </c>
      <c r="BB680" t="s">
        <v>74</v>
      </c>
      <c r="BC680" t="s">
        <v>74</v>
      </c>
      <c r="BD680">
        <v>138134</v>
      </c>
      <c r="BE680" t="s">
        <v>13332</v>
      </c>
      <c r="BF680" t="str">
        <f>HYPERLINK("http://dx.doi.org/10.1016/j.chemosphere.2023.138134","http://dx.doi.org/10.1016/j.chemosphere.2023.138134")</f>
        <v>http://dx.doi.org/10.1016/j.chemosphere.2023.138134</v>
      </c>
      <c r="BG680" t="s">
        <v>74</v>
      </c>
      <c r="BH680" t="s">
        <v>11628</v>
      </c>
      <c r="BI680">
        <v>11</v>
      </c>
      <c r="BJ680" t="s">
        <v>1163</v>
      </c>
      <c r="BK680" t="s">
        <v>103</v>
      </c>
      <c r="BL680" t="s">
        <v>1164</v>
      </c>
      <c r="BM680" t="s">
        <v>13333</v>
      </c>
      <c r="BN680">
        <v>36780994</v>
      </c>
      <c r="BO680" t="s">
        <v>12127</v>
      </c>
      <c r="BP680" t="s">
        <v>74</v>
      </c>
      <c r="BQ680" t="s">
        <v>74</v>
      </c>
      <c r="BR680" t="s">
        <v>106</v>
      </c>
      <c r="BS680" t="s">
        <v>13334</v>
      </c>
      <c r="BT680" t="str">
        <f>HYPERLINK("https%3A%2F%2Fwww.webofscience.com%2Fwos%2Fwoscc%2Ffull-record%2FWOS:000939594600001","View Full Record in Web of Science")</f>
        <v>View Full Record in Web of Science</v>
      </c>
    </row>
    <row r="681" spans="1:72" x14ac:dyDescent="0.15">
      <c r="A681" t="s">
        <v>72</v>
      </c>
      <c r="B681" t="s">
        <v>13335</v>
      </c>
      <c r="C681" t="s">
        <v>74</v>
      </c>
      <c r="D681" t="s">
        <v>74</v>
      </c>
      <c r="E681" t="s">
        <v>74</v>
      </c>
      <c r="F681" t="s">
        <v>13336</v>
      </c>
      <c r="G681" t="s">
        <v>74</v>
      </c>
      <c r="H681" t="s">
        <v>74</v>
      </c>
      <c r="I681" t="s">
        <v>13337</v>
      </c>
      <c r="J681" t="s">
        <v>13338</v>
      </c>
      <c r="K681" t="s">
        <v>74</v>
      </c>
      <c r="L681" t="s">
        <v>74</v>
      </c>
      <c r="M681" t="s">
        <v>78</v>
      </c>
      <c r="N681" t="s">
        <v>112</v>
      </c>
      <c r="O681" t="s">
        <v>74</v>
      </c>
      <c r="P681" t="s">
        <v>74</v>
      </c>
      <c r="Q681" t="s">
        <v>74</v>
      </c>
      <c r="R681" t="s">
        <v>74</v>
      </c>
      <c r="S681" t="s">
        <v>74</v>
      </c>
      <c r="T681" t="s">
        <v>13339</v>
      </c>
      <c r="U681" t="s">
        <v>13340</v>
      </c>
      <c r="V681" t="s">
        <v>13341</v>
      </c>
      <c r="W681" t="s">
        <v>13342</v>
      </c>
      <c r="X681" t="s">
        <v>13343</v>
      </c>
      <c r="Y681" t="s">
        <v>13344</v>
      </c>
      <c r="Z681" t="s">
        <v>13345</v>
      </c>
      <c r="AA681" t="s">
        <v>74</v>
      </c>
      <c r="AB681" t="s">
        <v>13346</v>
      </c>
      <c r="AC681" t="s">
        <v>13347</v>
      </c>
      <c r="AD681" t="s">
        <v>13347</v>
      </c>
      <c r="AE681" t="s">
        <v>13348</v>
      </c>
      <c r="AF681" t="s">
        <v>74</v>
      </c>
      <c r="AG681">
        <v>105</v>
      </c>
      <c r="AH681">
        <v>0</v>
      </c>
      <c r="AI681">
        <v>0</v>
      </c>
      <c r="AJ681">
        <v>3</v>
      </c>
      <c r="AK681">
        <v>5</v>
      </c>
      <c r="AL681" t="s">
        <v>13349</v>
      </c>
      <c r="AM681" t="s">
        <v>13350</v>
      </c>
      <c r="AN681" t="s">
        <v>13351</v>
      </c>
      <c r="AO681" t="s">
        <v>13352</v>
      </c>
      <c r="AP681" t="s">
        <v>13353</v>
      </c>
      <c r="AQ681" t="s">
        <v>74</v>
      </c>
      <c r="AR681" t="s">
        <v>13354</v>
      </c>
      <c r="AS681" t="s">
        <v>13355</v>
      </c>
      <c r="AT681" t="s">
        <v>13198</v>
      </c>
      <c r="AU681">
        <v>2023</v>
      </c>
      <c r="AV681">
        <v>44</v>
      </c>
      <c r="AW681">
        <v>2</v>
      </c>
      <c r="AX681" t="s">
        <v>74</v>
      </c>
      <c r="AY681" t="s">
        <v>74</v>
      </c>
      <c r="AZ681" t="s">
        <v>74</v>
      </c>
      <c r="BA681" t="s">
        <v>74</v>
      </c>
      <c r="BB681">
        <v>61</v>
      </c>
      <c r="BC681">
        <v>88</v>
      </c>
      <c r="BD681" t="s">
        <v>74</v>
      </c>
      <c r="BE681" t="s">
        <v>13356</v>
      </c>
      <c r="BF681" t="str">
        <f>HYPERLINK("http://dx.doi.org/10.5252/cryptogamie-bryologie2023v44a2","http://dx.doi.org/10.5252/cryptogamie-bryologie2023v44a2")</f>
        <v>http://dx.doi.org/10.5252/cryptogamie-bryologie2023v44a2</v>
      </c>
      <c r="BG681" t="s">
        <v>74</v>
      </c>
      <c r="BH681" t="s">
        <v>74</v>
      </c>
      <c r="BI681">
        <v>28</v>
      </c>
      <c r="BJ681" t="s">
        <v>2123</v>
      </c>
      <c r="BK681" t="s">
        <v>103</v>
      </c>
      <c r="BL681" t="s">
        <v>2123</v>
      </c>
      <c r="BM681" t="s">
        <v>13357</v>
      </c>
      <c r="BN681" t="s">
        <v>74</v>
      </c>
      <c r="BO681" t="s">
        <v>74</v>
      </c>
      <c r="BP681" t="s">
        <v>74</v>
      </c>
      <c r="BQ681" t="s">
        <v>74</v>
      </c>
      <c r="BR681" t="s">
        <v>106</v>
      </c>
      <c r="BS681" t="s">
        <v>13358</v>
      </c>
      <c r="BT681" t="str">
        <f>HYPERLINK("https%3A%2F%2Fwww.webofscience.com%2Fwos%2Fwoscc%2Ffull-record%2FWOS:000939484900001","View Full Record in Web of Science")</f>
        <v>View Full Record in Web of Science</v>
      </c>
    </row>
    <row r="682" spans="1:72" x14ac:dyDescent="0.15">
      <c r="A682" t="s">
        <v>72</v>
      </c>
      <c r="B682" t="s">
        <v>13359</v>
      </c>
      <c r="C682" t="s">
        <v>74</v>
      </c>
      <c r="D682" t="s">
        <v>74</v>
      </c>
      <c r="E682" t="s">
        <v>74</v>
      </c>
      <c r="F682" t="s">
        <v>13360</v>
      </c>
      <c r="G682" t="s">
        <v>74</v>
      </c>
      <c r="H682" t="s">
        <v>74</v>
      </c>
      <c r="I682" t="s">
        <v>13361</v>
      </c>
      <c r="J682" t="s">
        <v>3089</v>
      </c>
      <c r="K682" t="s">
        <v>74</v>
      </c>
      <c r="L682" t="s">
        <v>74</v>
      </c>
      <c r="M682" t="s">
        <v>78</v>
      </c>
      <c r="N682" t="s">
        <v>112</v>
      </c>
      <c r="O682" t="s">
        <v>74</v>
      </c>
      <c r="P682" t="s">
        <v>74</v>
      </c>
      <c r="Q682" t="s">
        <v>74</v>
      </c>
      <c r="R682" t="s">
        <v>74</v>
      </c>
      <c r="S682" t="s">
        <v>74</v>
      </c>
      <c r="T682" t="s">
        <v>13362</v>
      </c>
      <c r="U682" t="s">
        <v>13363</v>
      </c>
      <c r="V682" t="s">
        <v>13364</v>
      </c>
      <c r="W682" t="s">
        <v>13365</v>
      </c>
      <c r="X682" t="s">
        <v>13366</v>
      </c>
      <c r="Y682" t="s">
        <v>13367</v>
      </c>
      <c r="Z682" t="s">
        <v>5594</v>
      </c>
      <c r="AA682" t="s">
        <v>13368</v>
      </c>
      <c r="AB682" t="s">
        <v>74</v>
      </c>
      <c r="AC682" t="s">
        <v>13369</v>
      </c>
      <c r="AD682" t="s">
        <v>13370</v>
      </c>
      <c r="AE682" t="s">
        <v>13371</v>
      </c>
      <c r="AF682" t="s">
        <v>74</v>
      </c>
      <c r="AG682">
        <v>69</v>
      </c>
      <c r="AH682">
        <v>2</v>
      </c>
      <c r="AI682">
        <v>2</v>
      </c>
      <c r="AJ682">
        <v>18</v>
      </c>
      <c r="AK682">
        <v>32</v>
      </c>
      <c r="AL682" t="s">
        <v>700</v>
      </c>
      <c r="AM682" t="s">
        <v>701</v>
      </c>
      <c r="AN682" t="s">
        <v>702</v>
      </c>
      <c r="AO682" t="s">
        <v>74</v>
      </c>
      <c r="AP682" t="s">
        <v>3098</v>
      </c>
      <c r="AQ682" t="s">
        <v>74</v>
      </c>
      <c r="AR682" t="s">
        <v>3099</v>
      </c>
      <c r="AS682" t="s">
        <v>3100</v>
      </c>
      <c r="AT682" t="s">
        <v>13198</v>
      </c>
      <c r="AU682">
        <v>2023</v>
      </c>
      <c r="AV682">
        <v>14</v>
      </c>
      <c r="AW682" t="s">
        <v>74</v>
      </c>
      <c r="AX682" t="s">
        <v>74</v>
      </c>
      <c r="AY682" t="s">
        <v>74</v>
      </c>
      <c r="AZ682" t="s">
        <v>74</v>
      </c>
      <c r="BA682" t="s">
        <v>74</v>
      </c>
      <c r="BB682" t="s">
        <v>74</v>
      </c>
      <c r="BC682" t="s">
        <v>74</v>
      </c>
      <c r="BD682">
        <v>1040201</v>
      </c>
      <c r="BE682" t="s">
        <v>13372</v>
      </c>
      <c r="BF682" t="str">
        <f>HYPERLINK("http://dx.doi.org/10.3389/fmicb.2023.1040201","http://dx.doi.org/10.3389/fmicb.2023.1040201")</f>
        <v>http://dx.doi.org/10.3389/fmicb.2023.1040201</v>
      </c>
      <c r="BG682" t="s">
        <v>74</v>
      </c>
      <c r="BH682" t="s">
        <v>74</v>
      </c>
      <c r="BI682">
        <v>11</v>
      </c>
      <c r="BJ682" t="s">
        <v>1387</v>
      </c>
      <c r="BK682" t="s">
        <v>103</v>
      </c>
      <c r="BL682" t="s">
        <v>1387</v>
      </c>
      <c r="BM682" t="s">
        <v>13373</v>
      </c>
      <c r="BN682">
        <v>36876078</v>
      </c>
      <c r="BO682" t="s">
        <v>136</v>
      </c>
      <c r="BP682" t="s">
        <v>74</v>
      </c>
      <c r="BQ682" t="s">
        <v>74</v>
      </c>
      <c r="BR682" t="s">
        <v>106</v>
      </c>
      <c r="BS682" t="s">
        <v>13374</v>
      </c>
      <c r="BT682" t="str">
        <f>HYPERLINK("https%3A%2F%2Fwww.webofscience.com%2Fwos%2Fwoscc%2Ffull-record%2FWOS:000940904500001","View Full Record in Web of Science")</f>
        <v>View Full Record in Web of Science</v>
      </c>
    </row>
    <row r="683" spans="1:72" x14ac:dyDescent="0.15">
      <c r="A683" t="s">
        <v>72</v>
      </c>
      <c r="B683" t="s">
        <v>13375</v>
      </c>
      <c r="C683" t="s">
        <v>74</v>
      </c>
      <c r="D683" t="s">
        <v>74</v>
      </c>
      <c r="E683" t="s">
        <v>74</v>
      </c>
      <c r="F683" t="s">
        <v>13376</v>
      </c>
      <c r="G683" t="s">
        <v>74</v>
      </c>
      <c r="H683" t="s">
        <v>74</v>
      </c>
      <c r="I683" t="s">
        <v>13377</v>
      </c>
      <c r="J683" t="s">
        <v>1685</v>
      </c>
      <c r="K683" t="s">
        <v>74</v>
      </c>
      <c r="L683" t="s">
        <v>74</v>
      </c>
      <c r="M683" t="s">
        <v>78</v>
      </c>
      <c r="N683" t="s">
        <v>112</v>
      </c>
      <c r="O683" t="s">
        <v>74</v>
      </c>
      <c r="P683" t="s">
        <v>74</v>
      </c>
      <c r="Q683" t="s">
        <v>74</v>
      </c>
      <c r="R683" t="s">
        <v>74</v>
      </c>
      <c r="S683" t="s">
        <v>74</v>
      </c>
      <c r="T683" t="s">
        <v>74</v>
      </c>
      <c r="U683" t="s">
        <v>13378</v>
      </c>
      <c r="V683" t="s">
        <v>13379</v>
      </c>
      <c r="W683" t="s">
        <v>13380</v>
      </c>
      <c r="X683" t="s">
        <v>13381</v>
      </c>
      <c r="Y683" t="s">
        <v>13382</v>
      </c>
      <c r="Z683" t="s">
        <v>13383</v>
      </c>
      <c r="AA683" t="s">
        <v>13384</v>
      </c>
      <c r="AB683" t="s">
        <v>13385</v>
      </c>
      <c r="AC683" t="s">
        <v>13386</v>
      </c>
      <c r="AD683" t="s">
        <v>13387</v>
      </c>
      <c r="AE683" t="s">
        <v>13388</v>
      </c>
      <c r="AF683" t="s">
        <v>74</v>
      </c>
      <c r="AG683">
        <v>65</v>
      </c>
      <c r="AH683">
        <v>5</v>
      </c>
      <c r="AI683">
        <v>6</v>
      </c>
      <c r="AJ683">
        <v>4</v>
      </c>
      <c r="AK683">
        <v>24</v>
      </c>
      <c r="AL683" t="s">
        <v>203</v>
      </c>
      <c r="AM683" t="s">
        <v>204</v>
      </c>
      <c r="AN683" t="s">
        <v>205</v>
      </c>
      <c r="AO683" t="s">
        <v>74</v>
      </c>
      <c r="AP683" t="s">
        <v>1696</v>
      </c>
      <c r="AQ683" t="s">
        <v>74</v>
      </c>
      <c r="AR683" t="s">
        <v>1697</v>
      </c>
      <c r="AS683" t="s">
        <v>1698</v>
      </c>
      <c r="AT683" t="s">
        <v>13198</v>
      </c>
      <c r="AU683">
        <v>2023</v>
      </c>
      <c r="AV683">
        <v>14</v>
      </c>
      <c r="AW683">
        <v>1</v>
      </c>
      <c r="AX683" t="s">
        <v>74</v>
      </c>
      <c r="AY683" t="s">
        <v>74</v>
      </c>
      <c r="AZ683" t="s">
        <v>74</v>
      </c>
      <c r="BA683" t="s">
        <v>74</v>
      </c>
      <c r="BB683" t="s">
        <v>74</v>
      </c>
      <c r="BC683" t="s">
        <v>74</v>
      </c>
      <c r="BD683">
        <v>730</v>
      </c>
      <c r="BE683" t="s">
        <v>13389</v>
      </c>
      <c r="BF683" t="str">
        <f>HYPERLINK("http://dx.doi.org/10.1038/s41467-023-36245-1","http://dx.doi.org/10.1038/s41467-023-36245-1")</f>
        <v>http://dx.doi.org/10.1038/s41467-023-36245-1</v>
      </c>
      <c r="BG683" t="s">
        <v>74</v>
      </c>
      <c r="BH683" t="s">
        <v>74</v>
      </c>
      <c r="BI683">
        <v>14</v>
      </c>
      <c r="BJ683" t="s">
        <v>210</v>
      </c>
      <c r="BK683" t="s">
        <v>103</v>
      </c>
      <c r="BL683" t="s">
        <v>211</v>
      </c>
      <c r="BM683" t="s">
        <v>13390</v>
      </c>
      <c r="BN683">
        <v>36792917</v>
      </c>
      <c r="BO683" t="s">
        <v>1702</v>
      </c>
      <c r="BP683" t="s">
        <v>74</v>
      </c>
      <c r="BQ683" t="s">
        <v>74</v>
      </c>
      <c r="BR683" t="s">
        <v>106</v>
      </c>
      <c r="BS683" t="s">
        <v>13391</v>
      </c>
      <c r="BT683" t="str">
        <f>HYPERLINK("https%3A%2F%2Fwww.webofscience.com%2Fwos%2Fwoscc%2Ffull-record%2FWOS:000940806000005","View Full Record in Web of Science")</f>
        <v>View Full Record in Web of Science</v>
      </c>
    </row>
    <row r="684" spans="1:72" x14ac:dyDescent="0.15">
      <c r="A684" t="s">
        <v>72</v>
      </c>
      <c r="B684" t="s">
        <v>13392</v>
      </c>
      <c r="C684" t="s">
        <v>74</v>
      </c>
      <c r="D684" t="s">
        <v>74</v>
      </c>
      <c r="E684" t="s">
        <v>74</v>
      </c>
      <c r="F684" t="s">
        <v>13393</v>
      </c>
      <c r="G684" t="s">
        <v>74</v>
      </c>
      <c r="H684" t="s">
        <v>74</v>
      </c>
      <c r="I684" t="s">
        <v>13394</v>
      </c>
      <c r="J684" t="s">
        <v>13395</v>
      </c>
      <c r="K684" t="s">
        <v>74</v>
      </c>
      <c r="L684" t="s">
        <v>74</v>
      </c>
      <c r="M684" t="s">
        <v>78</v>
      </c>
      <c r="N684" t="s">
        <v>365</v>
      </c>
      <c r="O684" t="s">
        <v>74</v>
      </c>
      <c r="P684" t="s">
        <v>74</v>
      </c>
      <c r="Q684" t="s">
        <v>74</v>
      </c>
      <c r="R684" t="s">
        <v>74</v>
      </c>
      <c r="S684" t="s">
        <v>74</v>
      </c>
      <c r="T684" t="s">
        <v>13396</v>
      </c>
      <c r="U684" t="s">
        <v>13397</v>
      </c>
      <c r="V684" t="s">
        <v>13398</v>
      </c>
      <c r="W684" t="s">
        <v>13399</v>
      </c>
      <c r="X684" t="s">
        <v>13400</v>
      </c>
      <c r="Y684" t="s">
        <v>13401</v>
      </c>
      <c r="Z684" t="s">
        <v>13402</v>
      </c>
      <c r="AA684" t="s">
        <v>13403</v>
      </c>
      <c r="AB684" t="s">
        <v>13404</v>
      </c>
      <c r="AC684" t="s">
        <v>74</v>
      </c>
      <c r="AD684" t="s">
        <v>74</v>
      </c>
      <c r="AE684" t="s">
        <v>74</v>
      </c>
      <c r="AF684" t="s">
        <v>74</v>
      </c>
      <c r="AG684">
        <v>120</v>
      </c>
      <c r="AH684">
        <v>1</v>
      </c>
      <c r="AI684">
        <v>1</v>
      </c>
      <c r="AJ684">
        <v>4</v>
      </c>
      <c r="AK684">
        <v>13</v>
      </c>
      <c r="AL684" t="s">
        <v>768</v>
      </c>
      <c r="AM684" t="s">
        <v>179</v>
      </c>
      <c r="AN684" t="s">
        <v>769</v>
      </c>
      <c r="AO684" t="s">
        <v>13405</v>
      </c>
      <c r="AP684" t="s">
        <v>13406</v>
      </c>
      <c r="AQ684" t="s">
        <v>74</v>
      </c>
      <c r="AR684" t="s">
        <v>13407</v>
      </c>
      <c r="AS684" t="s">
        <v>13408</v>
      </c>
      <c r="AT684" t="s">
        <v>8210</v>
      </c>
      <c r="AU684">
        <v>2023</v>
      </c>
      <c r="AV684">
        <v>25</v>
      </c>
      <c r="AW684">
        <v>2</v>
      </c>
      <c r="AX684" t="s">
        <v>74</v>
      </c>
      <c r="AY684" t="s">
        <v>74</v>
      </c>
      <c r="AZ684" t="s">
        <v>74</v>
      </c>
      <c r="BA684" t="s">
        <v>74</v>
      </c>
      <c r="BB684">
        <v>73</v>
      </c>
      <c r="BC684">
        <v>91</v>
      </c>
      <c r="BD684" t="s">
        <v>74</v>
      </c>
      <c r="BE684" t="s">
        <v>13409</v>
      </c>
      <c r="BF684" t="str">
        <f>HYPERLINK("http://dx.doi.org/10.1007/s11920-022-01407-3","http://dx.doi.org/10.1007/s11920-022-01407-3")</f>
        <v>http://dx.doi.org/10.1007/s11920-022-01407-3</v>
      </c>
      <c r="BG684" t="s">
        <v>74</v>
      </c>
      <c r="BH684" t="s">
        <v>11628</v>
      </c>
      <c r="BI684">
        <v>19</v>
      </c>
      <c r="BJ684" t="s">
        <v>13410</v>
      </c>
      <c r="BK684" t="s">
        <v>595</v>
      </c>
      <c r="BL684" t="s">
        <v>13410</v>
      </c>
      <c r="BM684" t="s">
        <v>13411</v>
      </c>
      <c r="BN684">
        <v>36790725</v>
      </c>
      <c r="BO684" t="s">
        <v>74</v>
      </c>
      <c r="BP684" t="s">
        <v>74</v>
      </c>
      <c r="BQ684" t="s">
        <v>74</v>
      </c>
      <c r="BR684" t="s">
        <v>106</v>
      </c>
      <c r="BS684" t="s">
        <v>13412</v>
      </c>
      <c r="BT684" t="str">
        <f>HYPERLINK("https%3A%2F%2Fwww.webofscience.com%2Fwos%2Fwoscc%2Ffull-record%2FWOS:000931229500001","View Full Record in Web of Science")</f>
        <v>View Full Record in Web of Science</v>
      </c>
    </row>
    <row r="685" spans="1:72" x14ac:dyDescent="0.15">
      <c r="A685" t="s">
        <v>72</v>
      </c>
      <c r="B685" t="s">
        <v>13413</v>
      </c>
      <c r="C685" t="s">
        <v>74</v>
      </c>
      <c r="D685" t="s">
        <v>74</v>
      </c>
      <c r="E685" t="s">
        <v>74</v>
      </c>
      <c r="F685" t="s">
        <v>13414</v>
      </c>
      <c r="G685" t="s">
        <v>74</v>
      </c>
      <c r="H685" t="s">
        <v>74</v>
      </c>
      <c r="I685" t="s">
        <v>13415</v>
      </c>
      <c r="J685" t="s">
        <v>194</v>
      </c>
      <c r="K685" t="s">
        <v>74</v>
      </c>
      <c r="L685" t="s">
        <v>74</v>
      </c>
      <c r="M685" t="s">
        <v>78</v>
      </c>
      <c r="N685" t="s">
        <v>112</v>
      </c>
      <c r="O685" t="s">
        <v>74</v>
      </c>
      <c r="P685" t="s">
        <v>74</v>
      </c>
      <c r="Q685" t="s">
        <v>74</v>
      </c>
      <c r="R685" t="s">
        <v>74</v>
      </c>
      <c r="S685" t="s">
        <v>74</v>
      </c>
      <c r="T685" t="s">
        <v>74</v>
      </c>
      <c r="U685" t="s">
        <v>13416</v>
      </c>
      <c r="V685" t="s">
        <v>13417</v>
      </c>
      <c r="W685" t="s">
        <v>13418</v>
      </c>
      <c r="X685" t="s">
        <v>13419</v>
      </c>
      <c r="Y685" t="s">
        <v>13420</v>
      </c>
      <c r="Z685" t="s">
        <v>13421</v>
      </c>
      <c r="AA685" t="s">
        <v>13422</v>
      </c>
      <c r="AB685" t="s">
        <v>13423</v>
      </c>
      <c r="AC685" t="s">
        <v>13424</v>
      </c>
      <c r="AD685" t="s">
        <v>13425</v>
      </c>
      <c r="AE685" t="s">
        <v>13426</v>
      </c>
      <c r="AF685" t="s">
        <v>74</v>
      </c>
      <c r="AG685">
        <v>60</v>
      </c>
      <c r="AH685">
        <v>0</v>
      </c>
      <c r="AI685">
        <v>0</v>
      </c>
      <c r="AJ685">
        <v>5</v>
      </c>
      <c r="AK685">
        <v>7</v>
      </c>
      <c r="AL685" t="s">
        <v>203</v>
      </c>
      <c r="AM685" t="s">
        <v>204</v>
      </c>
      <c r="AN685" t="s">
        <v>205</v>
      </c>
      <c r="AO685" t="s">
        <v>206</v>
      </c>
      <c r="AP685" t="s">
        <v>74</v>
      </c>
      <c r="AQ685" t="s">
        <v>74</v>
      </c>
      <c r="AR685" t="s">
        <v>207</v>
      </c>
      <c r="AS685" t="s">
        <v>208</v>
      </c>
      <c r="AT685" t="s">
        <v>13427</v>
      </c>
      <c r="AU685">
        <v>2023</v>
      </c>
      <c r="AV685">
        <v>13</v>
      </c>
      <c r="AW685">
        <v>1</v>
      </c>
      <c r="AX685" t="s">
        <v>74</v>
      </c>
      <c r="AY685" t="s">
        <v>74</v>
      </c>
      <c r="AZ685" t="s">
        <v>74</v>
      </c>
      <c r="BA685" t="s">
        <v>74</v>
      </c>
      <c r="BB685" t="s">
        <v>74</v>
      </c>
      <c r="BC685" t="s">
        <v>74</v>
      </c>
      <c r="BD685">
        <v>2633</v>
      </c>
      <c r="BE685" t="s">
        <v>13428</v>
      </c>
      <c r="BF685" t="str">
        <f>HYPERLINK("http://dx.doi.org/10.1038/s41598-022-24373-5","http://dx.doi.org/10.1038/s41598-022-24373-5")</f>
        <v>http://dx.doi.org/10.1038/s41598-022-24373-5</v>
      </c>
      <c r="BG685" t="s">
        <v>74</v>
      </c>
      <c r="BH685" t="s">
        <v>74</v>
      </c>
      <c r="BI685">
        <v>11</v>
      </c>
      <c r="BJ685" t="s">
        <v>210</v>
      </c>
      <c r="BK685" t="s">
        <v>103</v>
      </c>
      <c r="BL685" t="s">
        <v>211</v>
      </c>
      <c r="BM685" t="s">
        <v>13429</v>
      </c>
      <c r="BN685">
        <v>36788266</v>
      </c>
      <c r="BO685" t="s">
        <v>1702</v>
      </c>
      <c r="BP685" t="s">
        <v>74</v>
      </c>
      <c r="BQ685" t="s">
        <v>74</v>
      </c>
      <c r="BR685" t="s">
        <v>106</v>
      </c>
      <c r="BS685" t="s">
        <v>13430</v>
      </c>
      <c r="BT685" t="str">
        <f>HYPERLINK("https%3A%2F%2Fwww.webofscience.com%2Fwos%2Fwoscc%2Ffull-record%2FWOS:001100562500001","View Full Record in Web of Science")</f>
        <v>View Full Record in Web of Science</v>
      </c>
    </row>
    <row r="686" spans="1:72" x14ac:dyDescent="0.15">
      <c r="A686" t="s">
        <v>72</v>
      </c>
      <c r="B686" t="s">
        <v>13431</v>
      </c>
      <c r="C686" t="s">
        <v>74</v>
      </c>
      <c r="D686" t="s">
        <v>74</v>
      </c>
      <c r="E686" t="s">
        <v>74</v>
      </c>
      <c r="F686" t="s">
        <v>13432</v>
      </c>
      <c r="G686" t="s">
        <v>74</v>
      </c>
      <c r="H686" t="s">
        <v>74</v>
      </c>
      <c r="I686" t="s">
        <v>13433</v>
      </c>
      <c r="J686" t="s">
        <v>1685</v>
      </c>
      <c r="K686" t="s">
        <v>74</v>
      </c>
      <c r="L686" t="s">
        <v>74</v>
      </c>
      <c r="M686" t="s">
        <v>78</v>
      </c>
      <c r="N686" t="s">
        <v>112</v>
      </c>
      <c r="O686" t="s">
        <v>74</v>
      </c>
      <c r="P686" t="s">
        <v>74</v>
      </c>
      <c r="Q686" t="s">
        <v>74</v>
      </c>
      <c r="R686" t="s">
        <v>74</v>
      </c>
      <c r="S686" t="s">
        <v>74</v>
      </c>
      <c r="T686" t="s">
        <v>74</v>
      </c>
      <c r="U686" t="s">
        <v>13434</v>
      </c>
      <c r="V686" t="s">
        <v>13435</v>
      </c>
      <c r="W686" t="s">
        <v>13436</v>
      </c>
      <c r="X686" t="s">
        <v>13437</v>
      </c>
      <c r="Y686" t="s">
        <v>13438</v>
      </c>
      <c r="Z686" t="s">
        <v>13439</v>
      </c>
      <c r="AA686" t="s">
        <v>13440</v>
      </c>
      <c r="AB686" t="s">
        <v>13441</v>
      </c>
      <c r="AC686" t="s">
        <v>13442</v>
      </c>
      <c r="AD686" t="s">
        <v>13443</v>
      </c>
      <c r="AE686" t="s">
        <v>13444</v>
      </c>
      <c r="AF686" t="s">
        <v>74</v>
      </c>
      <c r="AG686">
        <v>71</v>
      </c>
      <c r="AH686">
        <v>3</v>
      </c>
      <c r="AI686">
        <v>3</v>
      </c>
      <c r="AJ686">
        <v>8</v>
      </c>
      <c r="AK686">
        <v>26</v>
      </c>
      <c r="AL686" t="s">
        <v>203</v>
      </c>
      <c r="AM686" t="s">
        <v>204</v>
      </c>
      <c r="AN686" t="s">
        <v>205</v>
      </c>
      <c r="AO686" t="s">
        <v>74</v>
      </c>
      <c r="AP686" t="s">
        <v>1696</v>
      </c>
      <c r="AQ686" t="s">
        <v>74</v>
      </c>
      <c r="AR686" t="s">
        <v>1697</v>
      </c>
      <c r="AS686" t="s">
        <v>1698</v>
      </c>
      <c r="AT686" t="s">
        <v>13427</v>
      </c>
      <c r="AU686">
        <v>2023</v>
      </c>
      <c r="AV686">
        <v>14</v>
      </c>
      <c r="AW686">
        <v>1</v>
      </c>
      <c r="AX686" t="s">
        <v>74</v>
      </c>
      <c r="AY686" t="s">
        <v>74</v>
      </c>
      <c r="AZ686" t="s">
        <v>74</v>
      </c>
      <c r="BA686" t="s">
        <v>74</v>
      </c>
      <c r="BB686" t="s">
        <v>74</v>
      </c>
      <c r="BC686" t="s">
        <v>74</v>
      </c>
      <c r="BD686">
        <v>636</v>
      </c>
      <c r="BE686" t="s">
        <v>13445</v>
      </c>
      <c r="BF686" t="str">
        <f>HYPERLINK("http://dx.doi.org/10.1038/s41467-023-36051-9","http://dx.doi.org/10.1038/s41467-023-36051-9")</f>
        <v>http://dx.doi.org/10.1038/s41467-023-36051-9</v>
      </c>
      <c r="BG686" t="s">
        <v>74</v>
      </c>
      <c r="BH686" t="s">
        <v>74</v>
      </c>
      <c r="BI686">
        <v>11</v>
      </c>
      <c r="BJ686" t="s">
        <v>210</v>
      </c>
      <c r="BK686" t="s">
        <v>103</v>
      </c>
      <c r="BL686" t="s">
        <v>211</v>
      </c>
      <c r="BM686" t="s">
        <v>13446</v>
      </c>
      <c r="BN686">
        <v>36788205</v>
      </c>
      <c r="BO686" t="s">
        <v>136</v>
      </c>
      <c r="BP686" t="s">
        <v>74</v>
      </c>
      <c r="BQ686" t="s">
        <v>74</v>
      </c>
      <c r="BR686" t="s">
        <v>106</v>
      </c>
      <c r="BS686" t="s">
        <v>13447</v>
      </c>
      <c r="BT686" t="str">
        <f>HYPERLINK("https%3A%2F%2Fwww.webofscience.com%2Fwos%2Fwoscc%2Ffull-record%2FWOS:001009872700002","View Full Record in Web of Science")</f>
        <v>View Full Record in Web of Science</v>
      </c>
    </row>
    <row r="687" spans="1:72" x14ac:dyDescent="0.15">
      <c r="A687" t="s">
        <v>72</v>
      </c>
      <c r="B687" t="s">
        <v>13448</v>
      </c>
      <c r="C687" t="s">
        <v>74</v>
      </c>
      <c r="D687" t="s">
        <v>74</v>
      </c>
      <c r="E687" t="s">
        <v>74</v>
      </c>
      <c r="F687" t="s">
        <v>13449</v>
      </c>
      <c r="G687" t="s">
        <v>74</v>
      </c>
      <c r="H687" t="s">
        <v>74</v>
      </c>
      <c r="I687" t="s">
        <v>13450</v>
      </c>
      <c r="J687" t="s">
        <v>1048</v>
      </c>
      <c r="K687" t="s">
        <v>74</v>
      </c>
      <c r="L687" t="s">
        <v>74</v>
      </c>
      <c r="M687" t="s">
        <v>78</v>
      </c>
      <c r="N687" t="s">
        <v>365</v>
      </c>
      <c r="O687" t="s">
        <v>74</v>
      </c>
      <c r="P687" t="s">
        <v>74</v>
      </c>
      <c r="Q687" t="s">
        <v>74</v>
      </c>
      <c r="R687" t="s">
        <v>74</v>
      </c>
      <c r="S687" t="s">
        <v>74</v>
      </c>
      <c r="T687" t="s">
        <v>13451</v>
      </c>
      <c r="U687" t="s">
        <v>13452</v>
      </c>
      <c r="V687" t="s">
        <v>13453</v>
      </c>
      <c r="W687" t="s">
        <v>13454</v>
      </c>
      <c r="X687" t="s">
        <v>13455</v>
      </c>
      <c r="Y687" t="s">
        <v>13456</v>
      </c>
      <c r="Z687" t="s">
        <v>13457</v>
      </c>
      <c r="AA687" t="s">
        <v>13458</v>
      </c>
      <c r="AB687" t="s">
        <v>13459</v>
      </c>
      <c r="AC687" t="s">
        <v>1057</v>
      </c>
      <c r="AD687" t="s">
        <v>1058</v>
      </c>
      <c r="AE687" t="s">
        <v>13460</v>
      </c>
      <c r="AF687" t="s">
        <v>74</v>
      </c>
      <c r="AG687">
        <v>193</v>
      </c>
      <c r="AH687">
        <v>1</v>
      </c>
      <c r="AI687">
        <v>1</v>
      </c>
      <c r="AJ687">
        <v>23</v>
      </c>
      <c r="AK687">
        <v>42</v>
      </c>
      <c r="AL687" t="s">
        <v>447</v>
      </c>
      <c r="AM687" t="s">
        <v>448</v>
      </c>
      <c r="AN687" t="s">
        <v>449</v>
      </c>
      <c r="AO687" t="s">
        <v>1060</v>
      </c>
      <c r="AP687" t="s">
        <v>1061</v>
      </c>
      <c r="AQ687" t="s">
        <v>74</v>
      </c>
      <c r="AR687" t="s">
        <v>1048</v>
      </c>
      <c r="AS687" t="s">
        <v>1062</v>
      </c>
      <c r="AT687" t="s">
        <v>12002</v>
      </c>
      <c r="AU687">
        <v>2023</v>
      </c>
      <c r="AV687">
        <v>568</v>
      </c>
      <c r="AW687" t="s">
        <v>74</v>
      </c>
      <c r="AX687" t="s">
        <v>74</v>
      </c>
      <c r="AY687" t="s">
        <v>74</v>
      </c>
      <c r="AZ687" t="s">
        <v>74</v>
      </c>
      <c r="BA687" t="s">
        <v>74</v>
      </c>
      <c r="BB687" t="s">
        <v>74</v>
      </c>
      <c r="BC687" t="s">
        <v>74</v>
      </c>
      <c r="BD687">
        <v>739295</v>
      </c>
      <c r="BE687" t="s">
        <v>13461</v>
      </c>
      <c r="BF687" t="str">
        <f>HYPERLINK("http://dx.doi.org/10.1016/j.aquaculture.2023.739295","http://dx.doi.org/10.1016/j.aquaculture.2023.739295")</f>
        <v>http://dx.doi.org/10.1016/j.aquaculture.2023.739295</v>
      </c>
      <c r="BG687" t="s">
        <v>74</v>
      </c>
      <c r="BH687" t="s">
        <v>11628</v>
      </c>
      <c r="BI687">
        <v>11</v>
      </c>
      <c r="BJ687" t="s">
        <v>1065</v>
      </c>
      <c r="BK687" t="s">
        <v>103</v>
      </c>
      <c r="BL687" t="s">
        <v>1065</v>
      </c>
      <c r="BM687" t="s">
        <v>13462</v>
      </c>
      <c r="BN687" t="s">
        <v>74</v>
      </c>
      <c r="BO687" t="s">
        <v>74</v>
      </c>
      <c r="BP687" t="s">
        <v>74</v>
      </c>
      <c r="BQ687" t="s">
        <v>74</v>
      </c>
      <c r="BR687" t="s">
        <v>106</v>
      </c>
      <c r="BS687" t="s">
        <v>13463</v>
      </c>
      <c r="BT687" t="str">
        <f>HYPERLINK("https%3A%2F%2Fwww.webofscience.com%2Fwos%2Fwoscc%2Ffull-record%2FWOS:000992032000001","View Full Record in Web of Science")</f>
        <v>View Full Record in Web of Science</v>
      </c>
    </row>
    <row r="688" spans="1:72" x14ac:dyDescent="0.15">
      <c r="A688" t="s">
        <v>72</v>
      </c>
      <c r="B688" t="s">
        <v>13464</v>
      </c>
      <c r="C688" t="s">
        <v>74</v>
      </c>
      <c r="D688" t="s">
        <v>74</v>
      </c>
      <c r="E688" t="s">
        <v>74</v>
      </c>
      <c r="F688" t="s">
        <v>13465</v>
      </c>
      <c r="G688" t="s">
        <v>74</v>
      </c>
      <c r="H688" t="s">
        <v>74</v>
      </c>
      <c r="I688" t="s">
        <v>13466</v>
      </c>
      <c r="J688" t="s">
        <v>13467</v>
      </c>
      <c r="K688" t="s">
        <v>74</v>
      </c>
      <c r="L688" t="s">
        <v>74</v>
      </c>
      <c r="M688" t="s">
        <v>78</v>
      </c>
      <c r="N688" t="s">
        <v>365</v>
      </c>
      <c r="O688" t="s">
        <v>74</v>
      </c>
      <c r="P688" t="s">
        <v>74</v>
      </c>
      <c r="Q688" t="s">
        <v>74</v>
      </c>
      <c r="R688" t="s">
        <v>74</v>
      </c>
      <c r="S688" t="s">
        <v>74</v>
      </c>
      <c r="T688" t="s">
        <v>74</v>
      </c>
      <c r="U688" t="s">
        <v>13468</v>
      </c>
      <c r="V688" t="s">
        <v>13469</v>
      </c>
      <c r="W688" t="s">
        <v>13470</v>
      </c>
      <c r="X688" t="s">
        <v>13471</v>
      </c>
      <c r="Y688" t="s">
        <v>13472</v>
      </c>
      <c r="Z688" t="s">
        <v>13473</v>
      </c>
      <c r="AA688" t="s">
        <v>13474</v>
      </c>
      <c r="AB688" t="s">
        <v>13475</v>
      </c>
      <c r="AC688" t="s">
        <v>13476</v>
      </c>
      <c r="AD688" t="s">
        <v>13477</v>
      </c>
      <c r="AE688" t="s">
        <v>13478</v>
      </c>
      <c r="AF688" t="s">
        <v>74</v>
      </c>
      <c r="AG688">
        <v>95</v>
      </c>
      <c r="AH688">
        <v>11</v>
      </c>
      <c r="AI688">
        <v>11</v>
      </c>
      <c r="AJ688">
        <v>16</v>
      </c>
      <c r="AK688">
        <v>54</v>
      </c>
      <c r="AL688" t="s">
        <v>7999</v>
      </c>
      <c r="AM688" t="s">
        <v>1102</v>
      </c>
      <c r="AN688" t="s">
        <v>8000</v>
      </c>
      <c r="AO688" t="s">
        <v>13479</v>
      </c>
      <c r="AP688" t="s">
        <v>13480</v>
      </c>
      <c r="AQ688" t="s">
        <v>74</v>
      </c>
      <c r="AR688" t="s">
        <v>13481</v>
      </c>
      <c r="AS688" t="s">
        <v>13482</v>
      </c>
      <c r="AT688" t="s">
        <v>8042</v>
      </c>
      <c r="AU688">
        <v>2023</v>
      </c>
      <c r="AV688">
        <v>38</v>
      </c>
      <c r="AW688">
        <v>3</v>
      </c>
      <c r="AX688" t="s">
        <v>74</v>
      </c>
      <c r="AY688" t="s">
        <v>74</v>
      </c>
      <c r="AZ688" t="s">
        <v>74</v>
      </c>
      <c r="BA688" t="s">
        <v>74</v>
      </c>
      <c r="BB688">
        <v>238</v>
      </c>
      <c r="BC688">
        <v>249</v>
      </c>
      <c r="BD688" t="s">
        <v>74</v>
      </c>
      <c r="BE688" t="s">
        <v>13483</v>
      </c>
      <c r="BF688" t="str">
        <f>HYPERLINK("http://dx.doi.org/10.1016/j.tree.2022.10.012","http://dx.doi.org/10.1016/j.tree.2022.10.012")</f>
        <v>http://dx.doi.org/10.1016/j.tree.2022.10.012</v>
      </c>
      <c r="BG688" t="s">
        <v>74</v>
      </c>
      <c r="BH688" t="s">
        <v>11628</v>
      </c>
      <c r="BI688">
        <v>12</v>
      </c>
      <c r="BJ688" t="s">
        <v>13484</v>
      </c>
      <c r="BK688" t="s">
        <v>103</v>
      </c>
      <c r="BL688" t="s">
        <v>13485</v>
      </c>
      <c r="BM688" t="s">
        <v>13486</v>
      </c>
      <c r="BN688">
        <v>36528413</v>
      </c>
      <c r="BO688" t="s">
        <v>1748</v>
      </c>
      <c r="BP688" t="s">
        <v>74</v>
      </c>
      <c r="BQ688" t="s">
        <v>74</v>
      </c>
      <c r="BR688" t="s">
        <v>106</v>
      </c>
      <c r="BS688" t="s">
        <v>13487</v>
      </c>
      <c r="BT688" t="str">
        <f>HYPERLINK("https%3A%2F%2Fwww.webofscience.com%2Fwos%2Fwoscc%2Ffull-record%2FWOS:000953652400001","View Full Record in Web of Science")</f>
        <v>View Full Record in Web of Science</v>
      </c>
    </row>
    <row r="689" spans="1:72" x14ac:dyDescent="0.15">
      <c r="A689" t="s">
        <v>72</v>
      </c>
      <c r="B689" t="s">
        <v>13488</v>
      </c>
      <c r="C689" t="s">
        <v>74</v>
      </c>
      <c r="D689" t="s">
        <v>74</v>
      </c>
      <c r="E689" t="s">
        <v>74</v>
      </c>
      <c r="F689" t="s">
        <v>13489</v>
      </c>
      <c r="G689" t="s">
        <v>74</v>
      </c>
      <c r="H689" t="s">
        <v>74</v>
      </c>
      <c r="I689" t="s">
        <v>13490</v>
      </c>
      <c r="J689" t="s">
        <v>13491</v>
      </c>
      <c r="K689" t="s">
        <v>74</v>
      </c>
      <c r="L689" t="s">
        <v>74</v>
      </c>
      <c r="M689" t="s">
        <v>78</v>
      </c>
      <c r="N689" t="s">
        <v>112</v>
      </c>
      <c r="O689" t="s">
        <v>74</v>
      </c>
      <c r="P689" t="s">
        <v>74</v>
      </c>
      <c r="Q689" t="s">
        <v>74</v>
      </c>
      <c r="R689" t="s">
        <v>74</v>
      </c>
      <c r="S689" t="s">
        <v>74</v>
      </c>
      <c r="T689" t="s">
        <v>13492</v>
      </c>
      <c r="U689" t="s">
        <v>13493</v>
      </c>
      <c r="V689" t="s">
        <v>13494</v>
      </c>
      <c r="W689" t="s">
        <v>13495</v>
      </c>
      <c r="X689" t="s">
        <v>13496</v>
      </c>
      <c r="Y689" t="s">
        <v>13497</v>
      </c>
      <c r="Z689" t="s">
        <v>13498</v>
      </c>
      <c r="AA689" t="s">
        <v>74</v>
      </c>
      <c r="AB689" t="s">
        <v>74</v>
      </c>
      <c r="AC689" t="s">
        <v>13499</v>
      </c>
      <c r="AD689" t="s">
        <v>13500</v>
      </c>
      <c r="AE689" t="s">
        <v>13501</v>
      </c>
      <c r="AF689" t="s">
        <v>74</v>
      </c>
      <c r="AG689">
        <v>88</v>
      </c>
      <c r="AH689">
        <v>0</v>
      </c>
      <c r="AI689">
        <v>0</v>
      </c>
      <c r="AJ689">
        <v>0</v>
      </c>
      <c r="AK689">
        <v>9</v>
      </c>
      <c r="AL689" t="s">
        <v>2939</v>
      </c>
      <c r="AM689" t="s">
        <v>2940</v>
      </c>
      <c r="AN689" t="s">
        <v>2941</v>
      </c>
      <c r="AO689" t="s">
        <v>13502</v>
      </c>
      <c r="AP689" t="s">
        <v>13503</v>
      </c>
      <c r="AQ689" t="s">
        <v>74</v>
      </c>
      <c r="AR689" t="s">
        <v>13504</v>
      </c>
      <c r="AS689" t="s">
        <v>13505</v>
      </c>
      <c r="AT689" t="s">
        <v>1437</v>
      </c>
      <c r="AU689">
        <v>2023</v>
      </c>
      <c r="AV689">
        <v>72</v>
      </c>
      <c r="AW689" t="s">
        <v>74</v>
      </c>
      <c r="AX689" t="s">
        <v>74</v>
      </c>
      <c r="AY689" t="s">
        <v>74</v>
      </c>
      <c r="AZ689" t="s">
        <v>74</v>
      </c>
      <c r="BA689" t="s">
        <v>74</v>
      </c>
      <c r="BB689" t="s">
        <v>74</v>
      </c>
      <c r="BC689" t="s">
        <v>74</v>
      </c>
      <c r="BD689">
        <v>126354</v>
      </c>
      <c r="BE689" t="s">
        <v>13506</v>
      </c>
      <c r="BF689" t="str">
        <f>HYPERLINK("http://dx.doi.org/10.1016/j.jnc.2023.126354","http://dx.doi.org/10.1016/j.jnc.2023.126354")</f>
        <v>http://dx.doi.org/10.1016/j.jnc.2023.126354</v>
      </c>
      <c r="BG689" t="s">
        <v>74</v>
      </c>
      <c r="BH689" t="s">
        <v>11628</v>
      </c>
      <c r="BI689">
        <v>10</v>
      </c>
      <c r="BJ689" t="s">
        <v>775</v>
      </c>
      <c r="BK689" t="s">
        <v>103</v>
      </c>
      <c r="BL689" t="s">
        <v>776</v>
      </c>
      <c r="BM689" t="s">
        <v>13507</v>
      </c>
      <c r="BN689" t="s">
        <v>74</v>
      </c>
      <c r="BO689" t="s">
        <v>74</v>
      </c>
      <c r="BP689" t="s">
        <v>74</v>
      </c>
      <c r="BQ689" t="s">
        <v>74</v>
      </c>
      <c r="BR689" t="s">
        <v>106</v>
      </c>
      <c r="BS689" t="s">
        <v>13508</v>
      </c>
      <c r="BT689" t="str">
        <f>HYPERLINK("https%3A%2F%2Fwww.webofscience.com%2Fwos%2Fwoscc%2Ffull-record%2FWOS:000939789500001","View Full Record in Web of Science")</f>
        <v>View Full Record in Web of Science</v>
      </c>
    </row>
    <row r="690" spans="1:72" x14ac:dyDescent="0.15">
      <c r="A690" t="s">
        <v>72</v>
      </c>
      <c r="B690" t="s">
        <v>13509</v>
      </c>
      <c r="C690" t="s">
        <v>74</v>
      </c>
      <c r="D690" t="s">
        <v>74</v>
      </c>
      <c r="E690" t="s">
        <v>74</v>
      </c>
      <c r="F690" t="s">
        <v>13510</v>
      </c>
      <c r="G690" t="s">
        <v>74</v>
      </c>
      <c r="H690" t="s">
        <v>74</v>
      </c>
      <c r="I690" t="s">
        <v>13511</v>
      </c>
      <c r="J690" t="s">
        <v>13512</v>
      </c>
      <c r="K690" t="s">
        <v>74</v>
      </c>
      <c r="L690" t="s">
        <v>74</v>
      </c>
      <c r="M690" t="s">
        <v>78</v>
      </c>
      <c r="N690" t="s">
        <v>112</v>
      </c>
      <c r="O690" t="s">
        <v>74</v>
      </c>
      <c r="P690" t="s">
        <v>74</v>
      </c>
      <c r="Q690" t="s">
        <v>74</v>
      </c>
      <c r="R690" t="s">
        <v>74</v>
      </c>
      <c r="S690" t="s">
        <v>74</v>
      </c>
      <c r="T690" t="s">
        <v>13513</v>
      </c>
      <c r="U690" t="s">
        <v>13514</v>
      </c>
      <c r="V690" t="s">
        <v>13515</v>
      </c>
      <c r="W690" t="s">
        <v>13516</v>
      </c>
      <c r="X690" t="s">
        <v>13517</v>
      </c>
      <c r="Y690" t="s">
        <v>13518</v>
      </c>
      <c r="Z690" t="s">
        <v>13519</v>
      </c>
      <c r="AA690" t="s">
        <v>13520</v>
      </c>
      <c r="AB690" t="s">
        <v>13521</v>
      </c>
      <c r="AC690" t="s">
        <v>13522</v>
      </c>
      <c r="AD690" t="s">
        <v>13523</v>
      </c>
      <c r="AE690" t="s">
        <v>13524</v>
      </c>
      <c r="AF690" t="s">
        <v>74</v>
      </c>
      <c r="AG690">
        <v>87</v>
      </c>
      <c r="AH690">
        <v>4</v>
      </c>
      <c r="AI690">
        <v>4</v>
      </c>
      <c r="AJ690">
        <v>3</v>
      </c>
      <c r="AK690">
        <v>10</v>
      </c>
      <c r="AL690" t="s">
        <v>2092</v>
      </c>
      <c r="AM690" t="s">
        <v>2093</v>
      </c>
      <c r="AN690" t="s">
        <v>2094</v>
      </c>
      <c r="AO690" t="s">
        <v>13525</v>
      </c>
      <c r="AP690" t="s">
        <v>13526</v>
      </c>
      <c r="AQ690" t="s">
        <v>74</v>
      </c>
      <c r="AR690" t="s">
        <v>13527</v>
      </c>
      <c r="AS690" t="s">
        <v>13528</v>
      </c>
      <c r="AT690" t="s">
        <v>232</v>
      </c>
      <c r="AU690">
        <v>2023</v>
      </c>
      <c r="AV690">
        <v>54</v>
      </c>
      <c r="AW690">
        <v>3</v>
      </c>
      <c r="AX690" t="s">
        <v>74</v>
      </c>
      <c r="AY690" t="s">
        <v>74</v>
      </c>
      <c r="AZ690" t="s">
        <v>74</v>
      </c>
      <c r="BA690" t="s">
        <v>74</v>
      </c>
      <c r="BB690">
        <v>645</v>
      </c>
      <c r="BC690">
        <v>665</v>
      </c>
      <c r="BD690" t="s">
        <v>74</v>
      </c>
      <c r="BE690" t="s">
        <v>13529</v>
      </c>
      <c r="BF690" t="str">
        <f>HYPERLINK("http://dx.doi.org/10.1111/jwas.12943","http://dx.doi.org/10.1111/jwas.12943")</f>
        <v>http://dx.doi.org/10.1111/jwas.12943</v>
      </c>
      <c r="BG690" t="s">
        <v>74</v>
      </c>
      <c r="BH690" t="s">
        <v>11628</v>
      </c>
      <c r="BI690">
        <v>21</v>
      </c>
      <c r="BJ690" t="s">
        <v>3222</v>
      </c>
      <c r="BK690" t="s">
        <v>103</v>
      </c>
      <c r="BL690" t="s">
        <v>3222</v>
      </c>
      <c r="BM690" t="s">
        <v>13530</v>
      </c>
      <c r="BN690" t="s">
        <v>74</v>
      </c>
      <c r="BO690" t="s">
        <v>359</v>
      </c>
      <c r="BP690" t="s">
        <v>74</v>
      </c>
      <c r="BQ690" t="s">
        <v>74</v>
      </c>
      <c r="BR690" t="s">
        <v>106</v>
      </c>
      <c r="BS690" t="s">
        <v>13531</v>
      </c>
      <c r="BT690" t="str">
        <f>HYPERLINK("https%3A%2F%2Fwww.webofscience.com%2Fwos%2Fwoscc%2Ffull-record%2FWOS:000936613100001","View Full Record in Web of Science")</f>
        <v>View Full Record in Web of Science</v>
      </c>
    </row>
    <row r="691" spans="1:72" x14ac:dyDescent="0.15">
      <c r="A691" t="s">
        <v>72</v>
      </c>
      <c r="B691" t="s">
        <v>13532</v>
      </c>
      <c r="C691" t="s">
        <v>74</v>
      </c>
      <c r="D691" t="s">
        <v>74</v>
      </c>
      <c r="E691" t="s">
        <v>74</v>
      </c>
      <c r="F691" t="s">
        <v>13533</v>
      </c>
      <c r="G691" t="s">
        <v>74</v>
      </c>
      <c r="H691" t="s">
        <v>74</v>
      </c>
      <c r="I691" t="s">
        <v>13534</v>
      </c>
      <c r="J691" t="s">
        <v>13535</v>
      </c>
      <c r="K691" t="s">
        <v>74</v>
      </c>
      <c r="L691" t="s">
        <v>74</v>
      </c>
      <c r="M691" t="s">
        <v>78</v>
      </c>
      <c r="N691" t="s">
        <v>112</v>
      </c>
      <c r="O691" t="s">
        <v>74</v>
      </c>
      <c r="P691" t="s">
        <v>74</v>
      </c>
      <c r="Q691" t="s">
        <v>74</v>
      </c>
      <c r="R691" t="s">
        <v>74</v>
      </c>
      <c r="S691" t="s">
        <v>74</v>
      </c>
      <c r="T691" t="s">
        <v>13536</v>
      </c>
      <c r="U691" t="s">
        <v>13537</v>
      </c>
      <c r="V691" t="s">
        <v>13538</v>
      </c>
      <c r="W691" t="s">
        <v>13539</v>
      </c>
      <c r="X691" t="s">
        <v>13540</v>
      </c>
      <c r="Y691" t="s">
        <v>13541</v>
      </c>
      <c r="Z691" t="s">
        <v>13542</v>
      </c>
      <c r="AA691" t="s">
        <v>74</v>
      </c>
      <c r="AB691" t="s">
        <v>13543</v>
      </c>
      <c r="AC691" t="s">
        <v>74</v>
      </c>
      <c r="AD691" t="s">
        <v>74</v>
      </c>
      <c r="AE691" t="s">
        <v>74</v>
      </c>
      <c r="AF691" t="s">
        <v>74</v>
      </c>
      <c r="AG691">
        <v>30</v>
      </c>
      <c r="AH691">
        <v>0</v>
      </c>
      <c r="AI691">
        <v>0</v>
      </c>
      <c r="AJ691">
        <v>0</v>
      </c>
      <c r="AK691">
        <v>5</v>
      </c>
      <c r="AL691" t="s">
        <v>2092</v>
      </c>
      <c r="AM691" t="s">
        <v>2093</v>
      </c>
      <c r="AN691" t="s">
        <v>2094</v>
      </c>
      <c r="AO691" t="s">
        <v>13544</v>
      </c>
      <c r="AP691" t="s">
        <v>13545</v>
      </c>
      <c r="AQ691" t="s">
        <v>74</v>
      </c>
      <c r="AR691" t="s">
        <v>13546</v>
      </c>
      <c r="AS691" t="s">
        <v>13547</v>
      </c>
      <c r="AT691" t="s">
        <v>1437</v>
      </c>
      <c r="AU691">
        <v>2023</v>
      </c>
      <c r="AV691">
        <v>39</v>
      </c>
      <c r="AW691">
        <v>2</v>
      </c>
      <c r="AX691" t="s">
        <v>74</v>
      </c>
      <c r="AY691" t="s">
        <v>74</v>
      </c>
      <c r="AZ691" t="s">
        <v>74</v>
      </c>
      <c r="BA691" t="s">
        <v>74</v>
      </c>
      <c r="BB691">
        <v>671</v>
      </c>
      <c r="BC691">
        <v>687</v>
      </c>
      <c r="BD691" t="s">
        <v>74</v>
      </c>
      <c r="BE691" t="s">
        <v>13548</v>
      </c>
      <c r="BF691" t="str">
        <f>HYPERLINK("http://dx.doi.org/10.1111/mms.13006","http://dx.doi.org/10.1111/mms.13006")</f>
        <v>http://dx.doi.org/10.1111/mms.13006</v>
      </c>
      <c r="BG691" t="s">
        <v>74</v>
      </c>
      <c r="BH691" t="s">
        <v>11628</v>
      </c>
      <c r="BI691">
        <v>17</v>
      </c>
      <c r="BJ691" t="s">
        <v>4657</v>
      </c>
      <c r="BK691" t="s">
        <v>103</v>
      </c>
      <c r="BL691" t="s">
        <v>4657</v>
      </c>
      <c r="BM691" t="s">
        <v>13549</v>
      </c>
      <c r="BN691" t="s">
        <v>74</v>
      </c>
      <c r="BO691" t="s">
        <v>74</v>
      </c>
      <c r="BP691" t="s">
        <v>74</v>
      </c>
      <c r="BQ691" t="s">
        <v>74</v>
      </c>
      <c r="BR691" t="s">
        <v>106</v>
      </c>
      <c r="BS691" t="s">
        <v>13550</v>
      </c>
      <c r="BT691" t="str">
        <f>HYPERLINK("https%3A%2F%2Fwww.webofscience.com%2Fwos%2Fwoscc%2Ffull-record%2FWOS:000931930700001","View Full Record in Web of Science")</f>
        <v>View Full Record in Web of Science</v>
      </c>
    </row>
    <row r="692" spans="1:72" x14ac:dyDescent="0.15">
      <c r="A692" t="s">
        <v>72</v>
      </c>
      <c r="B692" t="s">
        <v>13551</v>
      </c>
      <c r="C692" t="s">
        <v>74</v>
      </c>
      <c r="D692" t="s">
        <v>74</v>
      </c>
      <c r="E692" t="s">
        <v>74</v>
      </c>
      <c r="F692" t="s">
        <v>13552</v>
      </c>
      <c r="G692" t="s">
        <v>74</v>
      </c>
      <c r="H692" t="s">
        <v>74</v>
      </c>
      <c r="I692" t="s">
        <v>13553</v>
      </c>
      <c r="J692" t="s">
        <v>194</v>
      </c>
      <c r="K692" t="s">
        <v>74</v>
      </c>
      <c r="L692" t="s">
        <v>74</v>
      </c>
      <c r="M692" t="s">
        <v>78</v>
      </c>
      <c r="N692" t="s">
        <v>112</v>
      </c>
      <c r="O692" t="s">
        <v>74</v>
      </c>
      <c r="P692" t="s">
        <v>74</v>
      </c>
      <c r="Q692" t="s">
        <v>74</v>
      </c>
      <c r="R692" t="s">
        <v>74</v>
      </c>
      <c r="S692" t="s">
        <v>74</v>
      </c>
      <c r="T692" t="s">
        <v>74</v>
      </c>
      <c r="U692" t="s">
        <v>13554</v>
      </c>
      <c r="V692" t="s">
        <v>13555</v>
      </c>
      <c r="W692" t="s">
        <v>13556</v>
      </c>
      <c r="X692" t="s">
        <v>13557</v>
      </c>
      <c r="Y692" t="s">
        <v>13558</v>
      </c>
      <c r="Z692" t="s">
        <v>13559</v>
      </c>
      <c r="AA692" t="s">
        <v>13560</v>
      </c>
      <c r="AB692" t="s">
        <v>13561</v>
      </c>
      <c r="AC692" t="s">
        <v>13562</v>
      </c>
      <c r="AD692" t="s">
        <v>13563</v>
      </c>
      <c r="AE692" t="s">
        <v>13564</v>
      </c>
      <c r="AF692" t="s">
        <v>74</v>
      </c>
      <c r="AG692">
        <v>71</v>
      </c>
      <c r="AH692">
        <v>4</v>
      </c>
      <c r="AI692">
        <v>4</v>
      </c>
      <c r="AJ692">
        <v>2</v>
      </c>
      <c r="AK692">
        <v>5</v>
      </c>
      <c r="AL692" t="s">
        <v>203</v>
      </c>
      <c r="AM692" t="s">
        <v>204</v>
      </c>
      <c r="AN692" t="s">
        <v>205</v>
      </c>
      <c r="AO692" t="s">
        <v>206</v>
      </c>
      <c r="AP692" t="s">
        <v>74</v>
      </c>
      <c r="AQ692" t="s">
        <v>74</v>
      </c>
      <c r="AR692" t="s">
        <v>207</v>
      </c>
      <c r="AS692" t="s">
        <v>208</v>
      </c>
      <c r="AT692" t="s">
        <v>13565</v>
      </c>
      <c r="AU692">
        <v>2023</v>
      </c>
      <c r="AV692">
        <v>13</v>
      </c>
      <c r="AW692">
        <v>1</v>
      </c>
      <c r="AX692" t="s">
        <v>74</v>
      </c>
      <c r="AY692" t="s">
        <v>74</v>
      </c>
      <c r="AZ692" t="s">
        <v>74</v>
      </c>
      <c r="BA692" t="s">
        <v>74</v>
      </c>
      <c r="BB692" t="s">
        <v>74</v>
      </c>
      <c r="BC692" t="s">
        <v>74</v>
      </c>
      <c r="BD692" t="s">
        <v>74</v>
      </c>
      <c r="BE692" t="s">
        <v>13566</v>
      </c>
      <c r="BF692" t="str">
        <f>HYPERLINK("http://dx.doi.org/10.1038/s41598-023-29465-4","http://dx.doi.org/10.1038/s41598-023-29465-4")</f>
        <v>http://dx.doi.org/10.1038/s41598-023-29465-4</v>
      </c>
      <c r="BG692" t="s">
        <v>74</v>
      </c>
      <c r="BH692" t="s">
        <v>74</v>
      </c>
      <c r="BI692">
        <v>12</v>
      </c>
      <c r="BJ692" t="s">
        <v>210</v>
      </c>
      <c r="BK692" t="s">
        <v>103</v>
      </c>
      <c r="BL692" t="s">
        <v>211</v>
      </c>
      <c r="BM692" t="s">
        <v>13567</v>
      </c>
      <c r="BN692">
        <v>36782007</v>
      </c>
      <c r="BO692" t="s">
        <v>13568</v>
      </c>
      <c r="BP692" t="s">
        <v>74</v>
      </c>
      <c r="BQ692" t="s">
        <v>74</v>
      </c>
      <c r="BR692" t="s">
        <v>106</v>
      </c>
      <c r="BS692" t="s">
        <v>13569</v>
      </c>
      <c r="BT692" t="str">
        <f>HYPERLINK("https%3A%2F%2Fwww.webofscience.com%2Fwos%2Fwoscc%2Ffull-record%2FWOS:000984284300061","View Full Record in Web of Science")</f>
        <v>View Full Record in Web of Science</v>
      </c>
    </row>
    <row r="693" spans="1:72" x14ac:dyDescent="0.15">
      <c r="A693" t="s">
        <v>72</v>
      </c>
      <c r="B693" t="s">
        <v>13570</v>
      </c>
      <c r="C693" t="s">
        <v>74</v>
      </c>
      <c r="D693" t="s">
        <v>74</v>
      </c>
      <c r="E693" t="s">
        <v>74</v>
      </c>
      <c r="F693" t="s">
        <v>13571</v>
      </c>
      <c r="G693" t="s">
        <v>74</v>
      </c>
      <c r="H693" t="s">
        <v>74</v>
      </c>
      <c r="I693" t="s">
        <v>13572</v>
      </c>
      <c r="J693" t="s">
        <v>12296</v>
      </c>
      <c r="K693" t="s">
        <v>74</v>
      </c>
      <c r="L693" t="s">
        <v>74</v>
      </c>
      <c r="M693" t="s">
        <v>78</v>
      </c>
      <c r="N693" t="s">
        <v>112</v>
      </c>
      <c r="O693" t="s">
        <v>74</v>
      </c>
      <c r="P693" t="s">
        <v>74</v>
      </c>
      <c r="Q693" t="s">
        <v>74</v>
      </c>
      <c r="R693" t="s">
        <v>74</v>
      </c>
      <c r="S693" t="s">
        <v>74</v>
      </c>
      <c r="T693" t="s">
        <v>13573</v>
      </c>
      <c r="U693" t="s">
        <v>13574</v>
      </c>
      <c r="V693" t="s">
        <v>13575</v>
      </c>
      <c r="W693" t="s">
        <v>13576</v>
      </c>
      <c r="X693" t="s">
        <v>13577</v>
      </c>
      <c r="Y693" t="s">
        <v>13578</v>
      </c>
      <c r="Z693" t="s">
        <v>13579</v>
      </c>
      <c r="AA693" t="s">
        <v>13580</v>
      </c>
      <c r="AB693" t="s">
        <v>13581</v>
      </c>
      <c r="AC693" t="s">
        <v>74</v>
      </c>
      <c r="AD693" t="s">
        <v>74</v>
      </c>
      <c r="AE693" t="s">
        <v>74</v>
      </c>
      <c r="AF693" t="s">
        <v>74</v>
      </c>
      <c r="AG693">
        <v>40</v>
      </c>
      <c r="AH693">
        <v>3</v>
      </c>
      <c r="AI693">
        <v>3</v>
      </c>
      <c r="AJ693">
        <v>3</v>
      </c>
      <c r="AK693">
        <v>8</v>
      </c>
      <c r="AL693" t="s">
        <v>700</v>
      </c>
      <c r="AM693" t="s">
        <v>701</v>
      </c>
      <c r="AN693" t="s">
        <v>702</v>
      </c>
      <c r="AO693" t="s">
        <v>12309</v>
      </c>
      <c r="AP693" t="s">
        <v>74</v>
      </c>
      <c r="AQ693" t="s">
        <v>74</v>
      </c>
      <c r="AR693" t="s">
        <v>12310</v>
      </c>
      <c r="AS693" t="s">
        <v>12311</v>
      </c>
      <c r="AT693" t="s">
        <v>13565</v>
      </c>
      <c r="AU693">
        <v>2023</v>
      </c>
      <c r="AV693">
        <v>10</v>
      </c>
      <c r="AW693" t="s">
        <v>74</v>
      </c>
      <c r="AX693" t="s">
        <v>74</v>
      </c>
      <c r="AY693" t="s">
        <v>74</v>
      </c>
      <c r="AZ693" t="s">
        <v>74</v>
      </c>
      <c r="BA693" t="s">
        <v>74</v>
      </c>
      <c r="BB693" t="s">
        <v>74</v>
      </c>
      <c r="BC693" t="s">
        <v>74</v>
      </c>
      <c r="BD693">
        <v>1139230</v>
      </c>
      <c r="BE693" t="s">
        <v>13582</v>
      </c>
      <c r="BF693" t="str">
        <f>HYPERLINK("http://dx.doi.org/10.3389/fspas.2023.1139230","http://dx.doi.org/10.3389/fspas.2023.1139230")</f>
        <v>http://dx.doi.org/10.3389/fspas.2023.1139230</v>
      </c>
      <c r="BG693" t="s">
        <v>74</v>
      </c>
      <c r="BH693" t="s">
        <v>74</v>
      </c>
      <c r="BI693">
        <v>5</v>
      </c>
      <c r="BJ693" t="s">
        <v>159</v>
      </c>
      <c r="BK693" t="s">
        <v>103</v>
      </c>
      <c r="BL693" t="s">
        <v>159</v>
      </c>
      <c r="BM693" t="s">
        <v>13583</v>
      </c>
      <c r="BN693" t="s">
        <v>74</v>
      </c>
      <c r="BO693" t="s">
        <v>2053</v>
      </c>
      <c r="BP693" t="s">
        <v>74</v>
      </c>
      <c r="BQ693" t="s">
        <v>74</v>
      </c>
      <c r="BR693" t="s">
        <v>106</v>
      </c>
      <c r="BS693" t="s">
        <v>13584</v>
      </c>
      <c r="BT693" t="str">
        <f>HYPERLINK("https%3A%2F%2Fwww.webofscience.com%2Fwos%2Fwoscc%2Ffull-record%2FWOS:000945977700001","View Full Record in Web of Science")</f>
        <v>View Full Record in Web of Science</v>
      </c>
    </row>
    <row r="694" spans="1:72" x14ac:dyDescent="0.15">
      <c r="A694" t="s">
        <v>72</v>
      </c>
      <c r="B694" t="s">
        <v>13585</v>
      </c>
      <c r="C694" t="s">
        <v>74</v>
      </c>
      <c r="D694" t="s">
        <v>74</v>
      </c>
      <c r="E694" t="s">
        <v>74</v>
      </c>
      <c r="F694" t="s">
        <v>13586</v>
      </c>
      <c r="G694" t="s">
        <v>74</v>
      </c>
      <c r="H694" t="s">
        <v>74</v>
      </c>
      <c r="I694" t="s">
        <v>13587</v>
      </c>
      <c r="J694" t="s">
        <v>13588</v>
      </c>
      <c r="K694" t="s">
        <v>74</v>
      </c>
      <c r="L694" t="s">
        <v>74</v>
      </c>
      <c r="M694" t="s">
        <v>78</v>
      </c>
      <c r="N694" t="s">
        <v>1754</v>
      </c>
      <c r="O694" t="s">
        <v>74</v>
      </c>
      <c r="P694" t="s">
        <v>74</v>
      </c>
      <c r="Q694" t="s">
        <v>74</v>
      </c>
      <c r="R694" t="s">
        <v>74</v>
      </c>
      <c r="S694" t="s">
        <v>74</v>
      </c>
      <c r="T694" t="s">
        <v>74</v>
      </c>
      <c r="U694" t="s">
        <v>13589</v>
      </c>
      <c r="V694" t="s">
        <v>13590</v>
      </c>
      <c r="W694" t="s">
        <v>13591</v>
      </c>
      <c r="X694" t="s">
        <v>13592</v>
      </c>
      <c r="Y694" t="s">
        <v>13593</v>
      </c>
      <c r="Z694" t="s">
        <v>13594</v>
      </c>
      <c r="AA694" t="s">
        <v>74</v>
      </c>
      <c r="AB694" t="s">
        <v>74</v>
      </c>
      <c r="AC694" t="s">
        <v>74</v>
      </c>
      <c r="AD694" t="s">
        <v>74</v>
      </c>
      <c r="AE694" t="s">
        <v>74</v>
      </c>
      <c r="AF694" t="s">
        <v>74</v>
      </c>
      <c r="AG694">
        <v>73</v>
      </c>
      <c r="AH694">
        <v>0</v>
      </c>
      <c r="AI694">
        <v>0</v>
      </c>
      <c r="AJ694">
        <v>3</v>
      </c>
      <c r="AK694">
        <v>5</v>
      </c>
      <c r="AL694" t="s">
        <v>1101</v>
      </c>
      <c r="AM694" t="s">
        <v>179</v>
      </c>
      <c r="AN694" t="s">
        <v>1543</v>
      </c>
      <c r="AO694" t="s">
        <v>13595</v>
      </c>
      <c r="AP694" t="s">
        <v>13596</v>
      </c>
      <c r="AQ694" t="s">
        <v>74</v>
      </c>
      <c r="AR694" t="s">
        <v>13597</v>
      </c>
      <c r="AS694" t="s">
        <v>13598</v>
      </c>
      <c r="AT694" t="s">
        <v>13599</v>
      </c>
      <c r="AU694">
        <v>2023</v>
      </c>
      <c r="AV694" t="s">
        <v>74</v>
      </c>
      <c r="AW694" t="s">
        <v>74</v>
      </c>
      <c r="AX694" t="s">
        <v>74</v>
      </c>
      <c r="AY694" t="s">
        <v>74</v>
      </c>
      <c r="AZ694" t="s">
        <v>74</v>
      </c>
      <c r="BA694" t="s">
        <v>74</v>
      </c>
      <c r="BB694" t="s">
        <v>74</v>
      </c>
      <c r="BC694" t="s">
        <v>74</v>
      </c>
      <c r="BD694" t="s">
        <v>74</v>
      </c>
      <c r="BE694" t="s">
        <v>13600</v>
      </c>
      <c r="BF694" t="str">
        <f>HYPERLINK("http://dx.doi.org/10.1017/S000708742300002X","http://dx.doi.org/10.1017/S000708742300002X")</f>
        <v>http://dx.doi.org/10.1017/S000708742300002X</v>
      </c>
      <c r="BG694" t="s">
        <v>74</v>
      </c>
      <c r="BH694" t="s">
        <v>11628</v>
      </c>
      <c r="BI694">
        <v>21</v>
      </c>
      <c r="BJ694" t="s">
        <v>13601</v>
      </c>
      <c r="BK694" t="s">
        <v>13602</v>
      </c>
      <c r="BL694" t="s">
        <v>13603</v>
      </c>
      <c r="BM694" t="s">
        <v>13604</v>
      </c>
      <c r="BN694">
        <v>36776108</v>
      </c>
      <c r="BO694" t="s">
        <v>13605</v>
      </c>
      <c r="BP694" t="s">
        <v>74</v>
      </c>
      <c r="BQ694" t="s">
        <v>74</v>
      </c>
      <c r="BR694" t="s">
        <v>106</v>
      </c>
      <c r="BS694" t="s">
        <v>13606</v>
      </c>
      <c r="BT694" t="str">
        <f>HYPERLINK("https%3A%2F%2Fwww.webofscience.com%2Fwos%2Fwoscc%2Ffull-record%2FWOS:000933170700001","View Full Record in Web of Science")</f>
        <v>View Full Record in Web of Science</v>
      </c>
    </row>
    <row r="695" spans="1:72" x14ac:dyDescent="0.15">
      <c r="A695" t="s">
        <v>72</v>
      </c>
      <c r="B695" t="s">
        <v>13607</v>
      </c>
      <c r="C695" t="s">
        <v>74</v>
      </c>
      <c r="D695" t="s">
        <v>74</v>
      </c>
      <c r="E695" t="s">
        <v>74</v>
      </c>
      <c r="F695" t="s">
        <v>13608</v>
      </c>
      <c r="G695" t="s">
        <v>74</v>
      </c>
      <c r="H695" t="s">
        <v>74</v>
      </c>
      <c r="I695" t="s">
        <v>13609</v>
      </c>
      <c r="J695" t="s">
        <v>13610</v>
      </c>
      <c r="K695" t="s">
        <v>74</v>
      </c>
      <c r="L695" t="s">
        <v>74</v>
      </c>
      <c r="M695" t="s">
        <v>78</v>
      </c>
      <c r="N695" t="s">
        <v>112</v>
      </c>
      <c r="O695" t="s">
        <v>74</v>
      </c>
      <c r="P695" t="s">
        <v>74</v>
      </c>
      <c r="Q695" t="s">
        <v>74</v>
      </c>
      <c r="R695" t="s">
        <v>74</v>
      </c>
      <c r="S695" t="s">
        <v>74</v>
      </c>
      <c r="T695" t="s">
        <v>13611</v>
      </c>
      <c r="U695" t="s">
        <v>13612</v>
      </c>
      <c r="V695" t="s">
        <v>13613</v>
      </c>
      <c r="W695" t="s">
        <v>13614</v>
      </c>
      <c r="X695" t="s">
        <v>13615</v>
      </c>
      <c r="Y695" t="s">
        <v>13616</v>
      </c>
      <c r="Z695" t="s">
        <v>13617</v>
      </c>
      <c r="AA695" t="s">
        <v>13618</v>
      </c>
      <c r="AB695" t="s">
        <v>13619</v>
      </c>
      <c r="AC695" t="s">
        <v>13620</v>
      </c>
      <c r="AD695" t="s">
        <v>13621</v>
      </c>
      <c r="AE695" t="s">
        <v>13622</v>
      </c>
      <c r="AF695" t="s">
        <v>74</v>
      </c>
      <c r="AG695">
        <v>51</v>
      </c>
      <c r="AH695">
        <v>0</v>
      </c>
      <c r="AI695">
        <v>1</v>
      </c>
      <c r="AJ695">
        <v>4</v>
      </c>
      <c r="AK695">
        <v>8</v>
      </c>
      <c r="AL695" t="s">
        <v>500</v>
      </c>
      <c r="AM695" t="s">
        <v>501</v>
      </c>
      <c r="AN695" t="s">
        <v>502</v>
      </c>
      <c r="AO695" t="s">
        <v>13623</v>
      </c>
      <c r="AP695" t="s">
        <v>13624</v>
      </c>
      <c r="AQ695" t="s">
        <v>74</v>
      </c>
      <c r="AR695" t="s">
        <v>13625</v>
      </c>
      <c r="AS695" t="s">
        <v>13626</v>
      </c>
      <c r="AT695" t="s">
        <v>8042</v>
      </c>
      <c r="AU695">
        <v>2023</v>
      </c>
      <c r="AV695">
        <v>66</v>
      </c>
      <c r="AW695">
        <v>3</v>
      </c>
      <c r="AX695" t="s">
        <v>74</v>
      </c>
      <c r="AY695" t="s">
        <v>74</v>
      </c>
      <c r="AZ695" t="s">
        <v>74</v>
      </c>
      <c r="BA695" t="s">
        <v>74</v>
      </c>
      <c r="BB695">
        <v>654</v>
      </c>
      <c r="BC695">
        <v>662</v>
      </c>
      <c r="BD695" t="s">
        <v>74</v>
      </c>
      <c r="BE695" t="s">
        <v>13627</v>
      </c>
      <c r="BF695" t="str">
        <f>HYPERLINK("http://dx.doi.org/10.1007/s11431-022-2244-0","http://dx.doi.org/10.1007/s11431-022-2244-0")</f>
        <v>http://dx.doi.org/10.1007/s11431-022-2244-0</v>
      </c>
      <c r="BG695" t="s">
        <v>74</v>
      </c>
      <c r="BH695" t="s">
        <v>11628</v>
      </c>
      <c r="BI695">
        <v>9</v>
      </c>
      <c r="BJ695" t="s">
        <v>13628</v>
      </c>
      <c r="BK695" t="s">
        <v>103</v>
      </c>
      <c r="BL695" t="s">
        <v>13629</v>
      </c>
      <c r="BM695" t="s">
        <v>13630</v>
      </c>
      <c r="BN695" t="s">
        <v>74</v>
      </c>
      <c r="BO695" t="s">
        <v>74</v>
      </c>
      <c r="BP695" t="s">
        <v>74</v>
      </c>
      <c r="BQ695" t="s">
        <v>74</v>
      </c>
      <c r="BR695" t="s">
        <v>106</v>
      </c>
      <c r="BS695" t="s">
        <v>13631</v>
      </c>
      <c r="BT695" t="str">
        <f>HYPERLINK("https%3A%2F%2Fwww.webofscience.com%2Fwos%2Fwoscc%2Ffull-record%2FWOS:000934841700001","View Full Record in Web of Science")</f>
        <v>View Full Record in Web of Science</v>
      </c>
    </row>
    <row r="696" spans="1:72" x14ac:dyDescent="0.15">
      <c r="A696" t="s">
        <v>72</v>
      </c>
      <c r="B696" t="s">
        <v>13632</v>
      </c>
      <c r="C696" t="s">
        <v>74</v>
      </c>
      <c r="D696" t="s">
        <v>74</v>
      </c>
      <c r="E696" t="s">
        <v>74</v>
      </c>
      <c r="F696" t="s">
        <v>13633</v>
      </c>
      <c r="G696" t="s">
        <v>74</v>
      </c>
      <c r="H696" t="s">
        <v>74</v>
      </c>
      <c r="I696" t="s">
        <v>13634</v>
      </c>
      <c r="J696" t="s">
        <v>782</v>
      </c>
      <c r="K696" t="s">
        <v>74</v>
      </c>
      <c r="L696" t="s">
        <v>74</v>
      </c>
      <c r="M696" t="s">
        <v>78</v>
      </c>
      <c r="N696" t="s">
        <v>112</v>
      </c>
      <c r="O696" t="s">
        <v>74</v>
      </c>
      <c r="P696" t="s">
        <v>74</v>
      </c>
      <c r="Q696" t="s">
        <v>74</v>
      </c>
      <c r="R696" t="s">
        <v>74</v>
      </c>
      <c r="S696" t="s">
        <v>74</v>
      </c>
      <c r="T696" t="s">
        <v>74</v>
      </c>
      <c r="U696" t="s">
        <v>13635</v>
      </c>
      <c r="V696" t="s">
        <v>13636</v>
      </c>
      <c r="W696" t="s">
        <v>13637</v>
      </c>
      <c r="X696" t="s">
        <v>74</v>
      </c>
      <c r="Y696" t="s">
        <v>13638</v>
      </c>
      <c r="Z696" t="s">
        <v>13639</v>
      </c>
      <c r="AA696" t="s">
        <v>10304</v>
      </c>
      <c r="AB696" t="s">
        <v>13640</v>
      </c>
      <c r="AC696" t="s">
        <v>13641</v>
      </c>
      <c r="AD696" t="s">
        <v>13642</v>
      </c>
      <c r="AE696" t="s">
        <v>13643</v>
      </c>
      <c r="AF696" t="s">
        <v>74</v>
      </c>
      <c r="AG696">
        <v>96</v>
      </c>
      <c r="AH696">
        <v>6</v>
      </c>
      <c r="AI696">
        <v>7</v>
      </c>
      <c r="AJ696">
        <v>4</v>
      </c>
      <c r="AK696">
        <v>10</v>
      </c>
      <c r="AL696" t="s">
        <v>794</v>
      </c>
      <c r="AM696" t="s">
        <v>795</v>
      </c>
      <c r="AN696" t="s">
        <v>796</v>
      </c>
      <c r="AO696" t="s">
        <v>797</v>
      </c>
      <c r="AP696" t="s">
        <v>798</v>
      </c>
      <c r="AQ696" t="s">
        <v>74</v>
      </c>
      <c r="AR696" t="s">
        <v>782</v>
      </c>
      <c r="AS696" t="s">
        <v>799</v>
      </c>
      <c r="AT696" t="s">
        <v>13565</v>
      </c>
      <c r="AU696">
        <v>2023</v>
      </c>
      <c r="AV696">
        <v>17</v>
      </c>
      <c r="AW696">
        <v>2</v>
      </c>
      <c r="AX696" t="s">
        <v>74</v>
      </c>
      <c r="AY696" t="s">
        <v>74</v>
      </c>
      <c r="AZ696" t="s">
        <v>74</v>
      </c>
      <c r="BA696" t="s">
        <v>74</v>
      </c>
      <c r="BB696">
        <v>701</v>
      </c>
      <c r="BC696">
        <v>717</v>
      </c>
      <c r="BD696" t="s">
        <v>74</v>
      </c>
      <c r="BE696" t="s">
        <v>13644</v>
      </c>
      <c r="BF696" t="str">
        <f>HYPERLINK("http://dx.doi.org/10.5194/tc-17-701-2023","http://dx.doi.org/10.5194/tc-17-701-2023")</f>
        <v>http://dx.doi.org/10.5194/tc-17-701-2023</v>
      </c>
      <c r="BG696" t="s">
        <v>74</v>
      </c>
      <c r="BH696" t="s">
        <v>74</v>
      </c>
      <c r="BI696">
        <v>17</v>
      </c>
      <c r="BJ696" t="s">
        <v>801</v>
      </c>
      <c r="BK696" t="s">
        <v>103</v>
      </c>
      <c r="BL696" t="s">
        <v>802</v>
      </c>
      <c r="BM696" t="s">
        <v>13645</v>
      </c>
      <c r="BN696" t="s">
        <v>74</v>
      </c>
      <c r="BO696" t="s">
        <v>359</v>
      </c>
      <c r="BP696" t="s">
        <v>74</v>
      </c>
      <c r="BQ696" t="s">
        <v>74</v>
      </c>
      <c r="BR696" t="s">
        <v>106</v>
      </c>
      <c r="BS696" t="s">
        <v>13646</v>
      </c>
      <c r="BT696" t="str">
        <f>HYPERLINK("https%3A%2F%2Fwww.webofscience.com%2Fwos%2Fwoscc%2Ffull-record%2FWOS:000932960600001","View Full Record in Web of Science")</f>
        <v>View Full Record in Web of Science</v>
      </c>
    </row>
    <row r="697" spans="1:72" x14ac:dyDescent="0.15">
      <c r="A697" t="s">
        <v>72</v>
      </c>
      <c r="B697" t="s">
        <v>13647</v>
      </c>
      <c r="C697" t="s">
        <v>74</v>
      </c>
      <c r="D697" t="s">
        <v>74</v>
      </c>
      <c r="E697" t="s">
        <v>74</v>
      </c>
      <c r="F697" t="s">
        <v>13648</v>
      </c>
      <c r="G697" t="s">
        <v>74</v>
      </c>
      <c r="H697" t="s">
        <v>74</v>
      </c>
      <c r="I697" t="s">
        <v>13649</v>
      </c>
      <c r="J697" t="s">
        <v>759</v>
      </c>
      <c r="K697" t="s">
        <v>74</v>
      </c>
      <c r="L697" t="s">
        <v>74</v>
      </c>
      <c r="M697" t="s">
        <v>78</v>
      </c>
      <c r="N697" t="s">
        <v>112</v>
      </c>
      <c r="O697" t="s">
        <v>74</v>
      </c>
      <c r="P697" t="s">
        <v>74</v>
      </c>
      <c r="Q697" t="s">
        <v>74</v>
      </c>
      <c r="R697" t="s">
        <v>74</v>
      </c>
      <c r="S697" t="s">
        <v>74</v>
      </c>
      <c r="T697" t="s">
        <v>13650</v>
      </c>
      <c r="U697" t="s">
        <v>13651</v>
      </c>
      <c r="V697" t="s">
        <v>13652</v>
      </c>
      <c r="W697" t="s">
        <v>13653</v>
      </c>
      <c r="X697" t="s">
        <v>13654</v>
      </c>
      <c r="Y697" t="s">
        <v>13655</v>
      </c>
      <c r="Z697" t="s">
        <v>8606</v>
      </c>
      <c r="AA697" t="s">
        <v>13656</v>
      </c>
      <c r="AB697" t="s">
        <v>13657</v>
      </c>
      <c r="AC697" t="s">
        <v>13658</v>
      </c>
      <c r="AD697" t="s">
        <v>13659</v>
      </c>
      <c r="AE697" t="s">
        <v>13660</v>
      </c>
      <c r="AF697" t="s">
        <v>74</v>
      </c>
      <c r="AG697">
        <v>76</v>
      </c>
      <c r="AH697">
        <v>1</v>
      </c>
      <c r="AI697">
        <v>1</v>
      </c>
      <c r="AJ697">
        <v>3</v>
      </c>
      <c r="AK697">
        <v>6</v>
      </c>
      <c r="AL697" t="s">
        <v>768</v>
      </c>
      <c r="AM697" t="s">
        <v>179</v>
      </c>
      <c r="AN697" t="s">
        <v>769</v>
      </c>
      <c r="AO697" t="s">
        <v>770</v>
      </c>
      <c r="AP697" t="s">
        <v>771</v>
      </c>
      <c r="AQ697" t="s">
        <v>74</v>
      </c>
      <c r="AR697" t="s">
        <v>772</v>
      </c>
      <c r="AS697" t="s">
        <v>773</v>
      </c>
      <c r="AT697" t="s">
        <v>8042</v>
      </c>
      <c r="AU697">
        <v>2023</v>
      </c>
      <c r="AV697">
        <v>46</v>
      </c>
      <c r="AW697">
        <v>3</v>
      </c>
      <c r="AX697" t="s">
        <v>74</v>
      </c>
      <c r="AY697" t="s">
        <v>74</v>
      </c>
      <c r="AZ697" t="s">
        <v>74</v>
      </c>
      <c r="BA697" t="s">
        <v>74</v>
      </c>
      <c r="BB697">
        <v>185</v>
      </c>
      <c r="BC697">
        <v>197</v>
      </c>
      <c r="BD697" t="s">
        <v>74</v>
      </c>
      <c r="BE697" t="s">
        <v>13661</v>
      </c>
      <c r="BF697" t="str">
        <f>HYPERLINK("http://dx.doi.org/10.1007/s00300-023-03115-x","http://dx.doi.org/10.1007/s00300-023-03115-x")</f>
        <v>http://dx.doi.org/10.1007/s00300-023-03115-x</v>
      </c>
      <c r="BG697" t="s">
        <v>74</v>
      </c>
      <c r="BH697" t="s">
        <v>11628</v>
      </c>
      <c r="BI697">
        <v>13</v>
      </c>
      <c r="BJ697" t="s">
        <v>775</v>
      </c>
      <c r="BK697" t="s">
        <v>103</v>
      </c>
      <c r="BL697" t="s">
        <v>776</v>
      </c>
      <c r="BM697" t="s">
        <v>8776</v>
      </c>
      <c r="BN697" t="s">
        <v>74</v>
      </c>
      <c r="BO697" t="s">
        <v>74</v>
      </c>
      <c r="BP697" t="s">
        <v>74</v>
      </c>
      <c r="BQ697" t="s">
        <v>74</v>
      </c>
      <c r="BR697" t="s">
        <v>106</v>
      </c>
      <c r="BS697" t="s">
        <v>13662</v>
      </c>
      <c r="BT697" t="str">
        <f>HYPERLINK("https%3A%2F%2Fwww.webofscience.com%2Fwos%2Fwoscc%2Ffull-record%2FWOS:000934332300001","View Full Record in Web of Science")</f>
        <v>View Full Record in Web of Science</v>
      </c>
    </row>
    <row r="698" spans="1:72" x14ac:dyDescent="0.15">
      <c r="A698" t="s">
        <v>72</v>
      </c>
      <c r="B698" t="s">
        <v>13663</v>
      </c>
      <c r="C698" t="s">
        <v>74</v>
      </c>
      <c r="D698" t="s">
        <v>74</v>
      </c>
      <c r="E698" t="s">
        <v>74</v>
      </c>
      <c r="F698" t="s">
        <v>13664</v>
      </c>
      <c r="G698" t="s">
        <v>74</v>
      </c>
      <c r="H698" t="s">
        <v>74</v>
      </c>
      <c r="I698" t="s">
        <v>13665</v>
      </c>
      <c r="J698" t="s">
        <v>8701</v>
      </c>
      <c r="K698" t="s">
        <v>74</v>
      </c>
      <c r="L698" t="s">
        <v>74</v>
      </c>
      <c r="M698" t="s">
        <v>78</v>
      </c>
      <c r="N698" t="s">
        <v>112</v>
      </c>
      <c r="O698" t="s">
        <v>74</v>
      </c>
      <c r="P698" t="s">
        <v>74</v>
      </c>
      <c r="Q698" t="s">
        <v>74</v>
      </c>
      <c r="R698" t="s">
        <v>74</v>
      </c>
      <c r="S698" t="s">
        <v>74</v>
      </c>
      <c r="T698" t="s">
        <v>13666</v>
      </c>
      <c r="U698" t="s">
        <v>13667</v>
      </c>
      <c r="V698" t="s">
        <v>13668</v>
      </c>
      <c r="W698" t="s">
        <v>13669</v>
      </c>
      <c r="X698" t="s">
        <v>13670</v>
      </c>
      <c r="Y698" t="s">
        <v>13671</v>
      </c>
      <c r="Z698" t="s">
        <v>13672</v>
      </c>
      <c r="AA698" t="s">
        <v>74</v>
      </c>
      <c r="AB698" t="s">
        <v>13673</v>
      </c>
      <c r="AC698" t="s">
        <v>13674</v>
      </c>
      <c r="AD698" t="s">
        <v>13674</v>
      </c>
      <c r="AE698" t="s">
        <v>13675</v>
      </c>
      <c r="AF698" t="s">
        <v>74</v>
      </c>
      <c r="AG698">
        <v>81</v>
      </c>
      <c r="AH698">
        <v>4</v>
      </c>
      <c r="AI698">
        <v>4</v>
      </c>
      <c r="AJ698">
        <v>9</v>
      </c>
      <c r="AK698">
        <v>25</v>
      </c>
      <c r="AL698" t="s">
        <v>768</v>
      </c>
      <c r="AM698" t="s">
        <v>179</v>
      </c>
      <c r="AN698" t="s">
        <v>769</v>
      </c>
      <c r="AO698" t="s">
        <v>8714</v>
      </c>
      <c r="AP698" t="s">
        <v>8715</v>
      </c>
      <c r="AQ698" t="s">
        <v>74</v>
      </c>
      <c r="AR698" t="s">
        <v>8716</v>
      </c>
      <c r="AS698" t="s">
        <v>8717</v>
      </c>
      <c r="AT698" t="s">
        <v>8042</v>
      </c>
      <c r="AU698">
        <v>2023</v>
      </c>
      <c r="AV698">
        <v>107</v>
      </c>
      <c r="AW698" t="s">
        <v>13676</v>
      </c>
      <c r="AX698" t="s">
        <v>74</v>
      </c>
      <c r="AY698" t="s">
        <v>74</v>
      </c>
      <c r="AZ698" t="s">
        <v>74</v>
      </c>
      <c r="BA698" t="s">
        <v>74</v>
      </c>
      <c r="BB698">
        <v>1707</v>
      </c>
      <c r="BC698">
        <v>1724</v>
      </c>
      <c r="BD698" t="s">
        <v>74</v>
      </c>
      <c r="BE698" t="s">
        <v>13677</v>
      </c>
      <c r="BF698" t="str">
        <f>HYPERLINK("http://dx.doi.org/10.1007/s00253-023-12405-7","http://dx.doi.org/10.1007/s00253-023-12405-7")</f>
        <v>http://dx.doi.org/10.1007/s00253-023-12405-7</v>
      </c>
      <c r="BG698" t="s">
        <v>74</v>
      </c>
      <c r="BH698" t="s">
        <v>11628</v>
      </c>
      <c r="BI698">
        <v>18</v>
      </c>
      <c r="BJ698" t="s">
        <v>531</v>
      </c>
      <c r="BK698" t="s">
        <v>103</v>
      </c>
      <c r="BL698" t="s">
        <v>531</v>
      </c>
      <c r="BM698" t="s">
        <v>13678</v>
      </c>
      <c r="BN698">
        <v>36773063</v>
      </c>
      <c r="BO698" t="s">
        <v>74</v>
      </c>
      <c r="BP698" t="s">
        <v>74</v>
      </c>
      <c r="BQ698" t="s">
        <v>74</v>
      </c>
      <c r="BR698" t="s">
        <v>106</v>
      </c>
      <c r="BS698" t="s">
        <v>13679</v>
      </c>
      <c r="BT698" t="str">
        <f>HYPERLINK("https%3A%2F%2Fwww.webofscience.com%2Fwos%2Fwoscc%2Ffull-record%2FWOS:000932730000001","View Full Record in Web of Science")</f>
        <v>View Full Record in Web of Science</v>
      </c>
    </row>
    <row r="699" spans="1:72" x14ac:dyDescent="0.15">
      <c r="A699" t="s">
        <v>72</v>
      </c>
      <c r="B699" t="s">
        <v>13680</v>
      </c>
      <c r="C699" t="s">
        <v>74</v>
      </c>
      <c r="D699" t="s">
        <v>74</v>
      </c>
      <c r="E699" t="s">
        <v>74</v>
      </c>
      <c r="F699" t="s">
        <v>13681</v>
      </c>
      <c r="G699" t="s">
        <v>74</v>
      </c>
      <c r="H699" t="s">
        <v>74</v>
      </c>
      <c r="I699" t="s">
        <v>13682</v>
      </c>
      <c r="J699" t="s">
        <v>13683</v>
      </c>
      <c r="K699" t="s">
        <v>74</v>
      </c>
      <c r="L699" t="s">
        <v>74</v>
      </c>
      <c r="M699" t="s">
        <v>78</v>
      </c>
      <c r="N699" t="s">
        <v>112</v>
      </c>
      <c r="O699" t="s">
        <v>74</v>
      </c>
      <c r="P699" t="s">
        <v>74</v>
      </c>
      <c r="Q699" t="s">
        <v>74</v>
      </c>
      <c r="R699" t="s">
        <v>74</v>
      </c>
      <c r="S699" t="s">
        <v>74</v>
      </c>
      <c r="T699" t="s">
        <v>13684</v>
      </c>
      <c r="U699" t="s">
        <v>13685</v>
      </c>
      <c r="V699" t="s">
        <v>13686</v>
      </c>
      <c r="W699" t="s">
        <v>13687</v>
      </c>
      <c r="X699" t="s">
        <v>13688</v>
      </c>
      <c r="Y699" t="s">
        <v>13689</v>
      </c>
      <c r="Z699" t="s">
        <v>13690</v>
      </c>
      <c r="AA699" t="s">
        <v>13691</v>
      </c>
      <c r="AB699" t="s">
        <v>13692</v>
      </c>
      <c r="AC699" t="s">
        <v>74</v>
      </c>
      <c r="AD699" t="s">
        <v>74</v>
      </c>
      <c r="AE699" t="s">
        <v>74</v>
      </c>
      <c r="AF699" t="s">
        <v>74</v>
      </c>
      <c r="AG699">
        <v>230</v>
      </c>
      <c r="AH699">
        <v>0</v>
      </c>
      <c r="AI699">
        <v>0</v>
      </c>
      <c r="AJ699">
        <v>2</v>
      </c>
      <c r="AK699">
        <v>4</v>
      </c>
      <c r="AL699" t="s">
        <v>2939</v>
      </c>
      <c r="AM699" t="s">
        <v>2940</v>
      </c>
      <c r="AN699" t="s">
        <v>2941</v>
      </c>
      <c r="AO699" t="s">
        <v>13693</v>
      </c>
      <c r="AP699" t="s">
        <v>13694</v>
      </c>
      <c r="AQ699" t="s">
        <v>74</v>
      </c>
      <c r="AR699" t="s">
        <v>13695</v>
      </c>
      <c r="AS699" t="s">
        <v>13696</v>
      </c>
      <c r="AT699" t="s">
        <v>1437</v>
      </c>
      <c r="AU699">
        <v>2023</v>
      </c>
      <c r="AV699">
        <v>46</v>
      </c>
      <c r="AW699">
        <v>2</v>
      </c>
      <c r="AX699" t="s">
        <v>74</v>
      </c>
      <c r="AY699" t="s">
        <v>74</v>
      </c>
      <c r="AZ699" t="s">
        <v>74</v>
      </c>
      <c r="BA699" t="s">
        <v>74</v>
      </c>
      <c r="BB699" t="s">
        <v>74</v>
      </c>
      <c r="BC699" t="s">
        <v>74</v>
      </c>
      <c r="BD699">
        <v>126401</v>
      </c>
      <c r="BE699" t="s">
        <v>13697</v>
      </c>
      <c r="BF699" t="str">
        <f>HYPERLINK("http://dx.doi.org/10.1016/j.syapm.2023.126401","http://dx.doi.org/10.1016/j.syapm.2023.126401")</f>
        <v>http://dx.doi.org/10.1016/j.syapm.2023.126401</v>
      </c>
      <c r="BG699" t="s">
        <v>74</v>
      </c>
      <c r="BH699" t="s">
        <v>11628</v>
      </c>
      <c r="BI699">
        <v>22</v>
      </c>
      <c r="BJ699" t="s">
        <v>6865</v>
      </c>
      <c r="BK699" t="s">
        <v>103</v>
      </c>
      <c r="BL699" t="s">
        <v>6865</v>
      </c>
      <c r="BM699" t="s">
        <v>13698</v>
      </c>
      <c r="BN699">
        <v>36774720</v>
      </c>
      <c r="BO699" t="s">
        <v>74</v>
      </c>
      <c r="BP699" t="s">
        <v>74</v>
      </c>
      <c r="BQ699" t="s">
        <v>74</v>
      </c>
      <c r="BR699" t="s">
        <v>106</v>
      </c>
      <c r="BS699" t="s">
        <v>13699</v>
      </c>
      <c r="BT699" t="str">
        <f>HYPERLINK("https%3A%2F%2Fwww.webofscience.com%2Fwos%2Fwoscc%2Ffull-record%2FWOS:000995780800001","View Full Record in Web of Science")</f>
        <v>View Full Record in Web of Science</v>
      </c>
    </row>
    <row r="700" spans="1:72" x14ac:dyDescent="0.15">
      <c r="A700" t="s">
        <v>72</v>
      </c>
      <c r="B700" t="s">
        <v>13700</v>
      </c>
      <c r="C700" t="s">
        <v>74</v>
      </c>
      <c r="D700" t="s">
        <v>74</v>
      </c>
      <c r="E700" t="s">
        <v>74</v>
      </c>
      <c r="F700" t="s">
        <v>13701</v>
      </c>
      <c r="G700" t="s">
        <v>74</v>
      </c>
      <c r="H700" t="s">
        <v>74</v>
      </c>
      <c r="I700" t="s">
        <v>13702</v>
      </c>
      <c r="J700" t="s">
        <v>13703</v>
      </c>
      <c r="K700" t="s">
        <v>74</v>
      </c>
      <c r="L700" t="s">
        <v>74</v>
      </c>
      <c r="M700" t="s">
        <v>78</v>
      </c>
      <c r="N700" t="s">
        <v>112</v>
      </c>
      <c r="O700" t="s">
        <v>74</v>
      </c>
      <c r="P700" t="s">
        <v>74</v>
      </c>
      <c r="Q700" t="s">
        <v>74</v>
      </c>
      <c r="R700" t="s">
        <v>74</v>
      </c>
      <c r="S700" t="s">
        <v>74</v>
      </c>
      <c r="T700" t="s">
        <v>13704</v>
      </c>
      <c r="U700" t="s">
        <v>13705</v>
      </c>
      <c r="V700" t="s">
        <v>13706</v>
      </c>
      <c r="W700" t="s">
        <v>13707</v>
      </c>
      <c r="X700" t="s">
        <v>13708</v>
      </c>
      <c r="Y700" t="s">
        <v>13709</v>
      </c>
      <c r="Z700" t="s">
        <v>13710</v>
      </c>
      <c r="AA700" t="s">
        <v>13711</v>
      </c>
      <c r="AB700" t="s">
        <v>13712</v>
      </c>
      <c r="AC700" t="s">
        <v>13713</v>
      </c>
      <c r="AD700" t="s">
        <v>13714</v>
      </c>
      <c r="AE700" t="s">
        <v>13715</v>
      </c>
      <c r="AF700" t="s">
        <v>74</v>
      </c>
      <c r="AG700">
        <v>127</v>
      </c>
      <c r="AH700">
        <v>3</v>
      </c>
      <c r="AI700">
        <v>3</v>
      </c>
      <c r="AJ700">
        <v>3</v>
      </c>
      <c r="AK700">
        <v>11</v>
      </c>
      <c r="AL700" t="s">
        <v>225</v>
      </c>
      <c r="AM700" t="s">
        <v>226</v>
      </c>
      <c r="AN700" t="s">
        <v>227</v>
      </c>
      <c r="AO700" t="s">
        <v>13716</v>
      </c>
      <c r="AP700" t="s">
        <v>13717</v>
      </c>
      <c r="AQ700" t="s">
        <v>74</v>
      </c>
      <c r="AR700" t="s">
        <v>13718</v>
      </c>
      <c r="AS700" t="s">
        <v>13719</v>
      </c>
      <c r="AT700" t="s">
        <v>10271</v>
      </c>
      <c r="AU700">
        <v>2023</v>
      </c>
      <c r="AV700">
        <v>344</v>
      </c>
      <c r="AW700" t="s">
        <v>74</v>
      </c>
      <c r="AX700" t="s">
        <v>74</v>
      </c>
      <c r="AY700" t="s">
        <v>74</v>
      </c>
      <c r="AZ700" t="s">
        <v>74</v>
      </c>
      <c r="BA700" t="s">
        <v>74</v>
      </c>
      <c r="BB700">
        <v>190</v>
      </c>
      <c r="BC700">
        <v>206</v>
      </c>
      <c r="BD700" t="s">
        <v>74</v>
      </c>
      <c r="BE700" t="s">
        <v>13720</v>
      </c>
      <c r="BF700" t="str">
        <f>HYPERLINK("http://dx.doi.org/10.1016/j.gca.2023.01.001","http://dx.doi.org/10.1016/j.gca.2023.01.001")</f>
        <v>http://dx.doi.org/10.1016/j.gca.2023.01.001</v>
      </c>
      <c r="BG700" t="s">
        <v>74</v>
      </c>
      <c r="BH700" t="s">
        <v>11628</v>
      </c>
      <c r="BI700">
        <v>17</v>
      </c>
      <c r="BJ700" t="s">
        <v>313</v>
      </c>
      <c r="BK700" t="s">
        <v>103</v>
      </c>
      <c r="BL700" t="s">
        <v>313</v>
      </c>
      <c r="BM700" t="s">
        <v>13721</v>
      </c>
      <c r="BN700" t="s">
        <v>74</v>
      </c>
      <c r="BO700" t="s">
        <v>430</v>
      </c>
      <c r="BP700" t="s">
        <v>74</v>
      </c>
      <c r="BQ700" t="s">
        <v>74</v>
      </c>
      <c r="BR700" t="s">
        <v>106</v>
      </c>
      <c r="BS700" t="s">
        <v>13722</v>
      </c>
      <c r="BT700" t="str">
        <f>HYPERLINK("https%3A%2F%2Fwww.webofscience.com%2Fwos%2Fwoscc%2Ffull-record%2FWOS:000953346300001","View Full Record in Web of Science")</f>
        <v>View Full Record in Web of Science</v>
      </c>
    </row>
    <row r="701" spans="1:72" x14ac:dyDescent="0.15">
      <c r="A701" t="s">
        <v>72</v>
      </c>
      <c r="B701" t="s">
        <v>13723</v>
      </c>
      <c r="C701" t="s">
        <v>74</v>
      </c>
      <c r="D701" t="s">
        <v>74</v>
      </c>
      <c r="E701" t="s">
        <v>74</v>
      </c>
      <c r="F701" t="s">
        <v>13724</v>
      </c>
      <c r="G701" t="s">
        <v>74</v>
      </c>
      <c r="H701" t="s">
        <v>74</v>
      </c>
      <c r="I701" t="s">
        <v>13725</v>
      </c>
      <c r="J701" t="s">
        <v>619</v>
      </c>
      <c r="K701" t="s">
        <v>74</v>
      </c>
      <c r="L701" t="s">
        <v>74</v>
      </c>
      <c r="M701" t="s">
        <v>78</v>
      </c>
      <c r="N701" t="s">
        <v>112</v>
      </c>
      <c r="O701" t="s">
        <v>74</v>
      </c>
      <c r="P701" t="s">
        <v>74</v>
      </c>
      <c r="Q701" t="s">
        <v>74</v>
      </c>
      <c r="R701" t="s">
        <v>74</v>
      </c>
      <c r="S701" t="s">
        <v>74</v>
      </c>
      <c r="T701" t="s">
        <v>13726</v>
      </c>
      <c r="U701" t="s">
        <v>13727</v>
      </c>
      <c r="V701" t="s">
        <v>13728</v>
      </c>
      <c r="W701" t="s">
        <v>13729</v>
      </c>
      <c r="X701" t="s">
        <v>13730</v>
      </c>
      <c r="Y701" t="s">
        <v>13731</v>
      </c>
      <c r="Z701" t="s">
        <v>13732</v>
      </c>
      <c r="AA701" t="s">
        <v>13733</v>
      </c>
      <c r="AB701" t="s">
        <v>13734</v>
      </c>
      <c r="AC701" t="s">
        <v>13735</v>
      </c>
      <c r="AD701" t="s">
        <v>13736</v>
      </c>
      <c r="AE701" t="s">
        <v>13737</v>
      </c>
      <c r="AF701" t="s">
        <v>74</v>
      </c>
      <c r="AG701">
        <v>49</v>
      </c>
      <c r="AH701">
        <v>4</v>
      </c>
      <c r="AI701">
        <v>4</v>
      </c>
      <c r="AJ701">
        <v>4</v>
      </c>
      <c r="AK701">
        <v>12</v>
      </c>
      <c r="AL701" t="s">
        <v>225</v>
      </c>
      <c r="AM701" t="s">
        <v>226</v>
      </c>
      <c r="AN701" t="s">
        <v>227</v>
      </c>
      <c r="AO701" t="s">
        <v>631</v>
      </c>
      <c r="AP701" t="s">
        <v>632</v>
      </c>
      <c r="AQ701" t="s">
        <v>74</v>
      </c>
      <c r="AR701" t="s">
        <v>633</v>
      </c>
      <c r="AS701" t="s">
        <v>634</v>
      </c>
      <c r="AT701" t="s">
        <v>8042</v>
      </c>
      <c r="AU701">
        <v>2023</v>
      </c>
      <c r="AV701">
        <v>188</v>
      </c>
      <c r="AW701" t="s">
        <v>74</v>
      </c>
      <c r="AX701" t="s">
        <v>74</v>
      </c>
      <c r="AY701" t="s">
        <v>74</v>
      </c>
      <c r="AZ701" t="s">
        <v>74</v>
      </c>
      <c r="BA701" t="s">
        <v>74</v>
      </c>
      <c r="BB701" t="s">
        <v>74</v>
      </c>
      <c r="BC701" t="s">
        <v>74</v>
      </c>
      <c r="BD701">
        <v>114693</v>
      </c>
      <c r="BE701" t="s">
        <v>13738</v>
      </c>
      <c r="BF701" t="str">
        <f>HYPERLINK("http://dx.doi.org/10.1016/j.marpolbul.2023.114693","http://dx.doi.org/10.1016/j.marpolbul.2023.114693")</f>
        <v>http://dx.doi.org/10.1016/j.marpolbul.2023.114693</v>
      </c>
      <c r="BG701" t="s">
        <v>74</v>
      </c>
      <c r="BH701" t="s">
        <v>11628</v>
      </c>
      <c r="BI701">
        <v>9</v>
      </c>
      <c r="BJ701" t="s">
        <v>636</v>
      </c>
      <c r="BK701" t="s">
        <v>103</v>
      </c>
      <c r="BL701" t="s">
        <v>637</v>
      </c>
      <c r="BM701" t="s">
        <v>13739</v>
      </c>
      <c r="BN701">
        <v>36773589</v>
      </c>
      <c r="BO701" t="s">
        <v>928</v>
      </c>
      <c r="BP701" t="s">
        <v>74</v>
      </c>
      <c r="BQ701" t="s">
        <v>74</v>
      </c>
      <c r="BR701" t="s">
        <v>106</v>
      </c>
      <c r="BS701" t="s">
        <v>13740</v>
      </c>
      <c r="BT701" t="str">
        <f>HYPERLINK("https%3A%2F%2Fwww.webofscience.com%2Fwos%2Fwoscc%2Ffull-record%2FWOS:000942886700001","View Full Record in Web of Science")</f>
        <v>View Full Record in Web of Science</v>
      </c>
    </row>
    <row r="702" spans="1:72" x14ac:dyDescent="0.15">
      <c r="A702" t="s">
        <v>72</v>
      </c>
      <c r="B702" t="s">
        <v>13741</v>
      </c>
      <c r="C702" t="s">
        <v>74</v>
      </c>
      <c r="D702" t="s">
        <v>74</v>
      </c>
      <c r="E702" t="s">
        <v>74</v>
      </c>
      <c r="F702" t="s">
        <v>13742</v>
      </c>
      <c r="G702" t="s">
        <v>74</v>
      </c>
      <c r="H702" t="s">
        <v>74</v>
      </c>
      <c r="I702" t="s">
        <v>13743</v>
      </c>
      <c r="J702" t="s">
        <v>13744</v>
      </c>
      <c r="K702" t="s">
        <v>74</v>
      </c>
      <c r="L702" t="s">
        <v>74</v>
      </c>
      <c r="M702" t="s">
        <v>78</v>
      </c>
      <c r="N702" t="s">
        <v>112</v>
      </c>
      <c r="O702" t="s">
        <v>74</v>
      </c>
      <c r="P702" t="s">
        <v>74</v>
      </c>
      <c r="Q702" t="s">
        <v>74</v>
      </c>
      <c r="R702" t="s">
        <v>74</v>
      </c>
      <c r="S702" t="s">
        <v>74</v>
      </c>
      <c r="T702" t="s">
        <v>13745</v>
      </c>
      <c r="U702" t="s">
        <v>13746</v>
      </c>
      <c r="V702" t="s">
        <v>13747</v>
      </c>
      <c r="W702" t="s">
        <v>13748</v>
      </c>
      <c r="X702" t="s">
        <v>13749</v>
      </c>
      <c r="Y702" t="s">
        <v>13750</v>
      </c>
      <c r="Z702" t="s">
        <v>13751</v>
      </c>
      <c r="AA702" t="s">
        <v>13752</v>
      </c>
      <c r="AB702" t="s">
        <v>13753</v>
      </c>
      <c r="AC702" t="s">
        <v>8226</v>
      </c>
      <c r="AD702" t="s">
        <v>8227</v>
      </c>
      <c r="AE702" t="s">
        <v>13754</v>
      </c>
      <c r="AF702" t="s">
        <v>74</v>
      </c>
      <c r="AG702">
        <v>101</v>
      </c>
      <c r="AH702">
        <v>1</v>
      </c>
      <c r="AI702">
        <v>1</v>
      </c>
      <c r="AJ702">
        <v>3</v>
      </c>
      <c r="AK702">
        <v>4</v>
      </c>
      <c r="AL702" t="s">
        <v>2092</v>
      </c>
      <c r="AM702" t="s">
        <v>2093</v>
      </c>
      <c r="AN702" t="s">
        <v>2094</v>
      </c>
      <c r="AO702" t="s">
        <v>13755</v>
      </c>
      <c r="AP702" t="s">
        <v>13756</v>
      </c>
      <c r="AQ702" t="s">
        <v>74</v>
      </c>
      <c r="AR702" t="s">
        <v>13757</v>
      </c>
      <c r="AS702" t="s">
        <v>13758</v>
      </c>
      <c r="AT702" t="s">
        <v>3657</v>
      </c>
      <c r="AU702">
        <v>2023</v>
      </c>
      <c r="AV702">
        <v>48</v>
      </c>
      <c r="AW702">
        <v>7</v>
      </c>
      <c r="AX702" t="s">
        <v>74</v>
      </c>
      <c r="AY702" t="s">
        <v>74</v>
      </c>
      <c r="AZ702" t="s">
        <v>74</v>
      </c>
      <c r="BA702" t="s">
        <v>74</v>
      </c>
      <c r="BB702">
        <v>1321</v>
      </c>
      <c r="BC702">
        <v>1341</v>
      </c>
      <c r="BD702" t="s">
        <v>74</v>
      </c>
      <c r="BE702" t="s">
        <v>13759</v>
      </c>
      <c r="BF702" t="str">
        <f>HYPERLINK("http://dx.doi.org/10.1002/esp.5552","http://dx.doi.org/10.1002/esp.5552")</f>
        <v>http://dx.doi.org/10.1002/esp.5552</v>
      </c>
      <c r="BG702" t="s">
        <v>74</v>
      </c>
      <c r="BH702" t="s">
        <v>11628</v>
      </c>
      <c r="BI702">
        <v>21</v>
      </c>
      <c r="BJ702" t="s">
        <v>801</v>
      </c>
      <c r="BK702" t="s">
        <v>103</v>
      </c>
      <c r="BL702" t="s">
        <v>802</v>
      </c>
      <c r="BM702" t="s">
        <v>13760</v>
      </c>
      <c r="BN702" t="s">
        <v>74</v>
      </c>
      <c r="BO702" t="s">
        <v>8532</v>
      </c>
      <c r="BP702" t="s">
        <v>74</v>
      </c>
      <c r="BQ702" t="s">
        <v>74</v>
      </c>
      <c r="BR702" t="s">
        <v>106</v>
      </c>
      <c r="BS702" t="s">
        <v>13761</v>
      </c>
      <c r="BT702" t="str">
        <f>HYPERLINK("https%3A%2F%2Fwww.webofscience.com%2Fwos%2Fwoscc%2Ffull-record%2FWOS:000933047500001","View Full Record in Web of Science")</f>
        <v>View Full Record in Web of Science</v>
      </c>
    </row>
    <row r="703" spans="1:72" x14ac:dyDescent="0.15">
      <c r="A703" t="s">
        <v>72</v>
      </c>
      <c r="B703" t="s">
        <v>13762</v>
      </c>
      <c r="C703" t="s">
        <v>74</v>
      </c>
      <c r="D703" t="s">
        <v>74</v>
      </c>
      <c r="E703" t="s">
        <v>74</v>
      </c>
      <c r="F703" t="s">
        <v>13763</v>
      </c>
      <c r="G703" t="s">
        <v>74</v>
      </c>
      <c r="H703" t="s">
        <v>74</v>
      </c>
      <c r="I703" t="s">
        <v>13764</v>
      </c>
      <c r="J703" t="s">
        <v>3089</v>
      </c>
      <c r="K703" t="s">
        <v>74</v>
      </c>
      <c r="L703" t="s">
        <v>74</v>
      </c>
      <c r="M703" t="s">
        <v>78</v>
      </c>
      <c r="N703" t="s">
        <v>112</v>
      </c>
      <c r="O703" t="s">
        <v>74</v>
      </c>
      <c r="P703" t="s">
        <v>74</v>
      </c>
      <c r="Q703" t="s">
        <v>74</v>
      </c>
      <c r="R703" t="s">
        <v>74</v>
      </c>
      <c r="S703" t="s">
        <v>74</v>
      </c>
      <c r="T703" t="s">
        <v>13765</v>
      </c>
      <c r="U703" t="s">
        <v>13766</v>
      </c>
      <c r="V703" t="s">
        <v>13767</v>
      </c>
      <c r="W703" t="s">
        <v>13768</v>
      </c>
      <c r="X703" t="s">
        <v>13769</v>
      </c>
      <c r="Y703" t="s">
        <v>13770</v>
      </c>
      <c r="Z703" t="s">
        <v>13771</v>
      </c>
      <c r="AA703" t="s">
        <v>13772</v>
      </c>
      <c r="AB703" t="s">
        <v>13773</v>
      </c>
      <c r="AC703" t="s">
        <v>13774</v>
      </c>
      <c r="AD703" t="s">
        <v>13775</v>
      </c>
      <c r="AE703" t="s">
        <v>13776</v>
      </c>
      <c r="AF703" t="s">
        <v>74</v>
      </c>
      <c r="AG703">
        <v>68</v>
      </c>
      <c r="AH703">
        <v>5</v>
      </c>
      <c r="AI703">
        <v>5</v>
      </c>
      <c r="AJ703">
        <v>16</v>
      </c>
      <c r="AK703">
        <v>31</v>
      </c>
      <c r="AL703" t="s">
        <v>700</v>
      </c>
      <c r="AM703" t="s">
        <v>701</v>
      </c>
      <c r="AN703" t="s">
        <v>702</v>
      </c>
      <c r="AO703" t="s">
        <v>74</v>
      </c>
      <c r="AP703" t="s">
        <v>3098</v>
      </c>
      <c r="AQ703" t="s">
        <v>74</v>
      </c>
      <c r="AR703" t="s">
        <v>3099</v>
      </c>
      <c r="AS703" t="s">
        <v>3100</v>
      </c>
      <c r="AT703" t="s">
        <v>13777</v>
      </c>
      <c r="AU703">
        <v>2023</v>
      </c>
      <c r="AV703">
        <v>14</v>
      </c>
      <c r="AW703" t="s">
        <v>74</v>
      </c>
      <c r="AX703" t="s">
        <v>74</v>
      </c>
      <c r="AY703" t="s">
        <v>74</v>
      </c>
      <c r="AZ703" t="s">
        <v>74</v>
      </c>
      <c r="BA703" t="s">
        <v>74</v>
      </c>
      <c r="BB703" t="s">
        <v>74</v>
      </c>
      <c r="BC703" t="s">
        <v>74</v>
      </c>
      <c r="BD703">
        <v>1078382</v>
      </c>
      <c r="BE703" t="s">
        <v>13778</v>
      </c>
      <c r="BF703" t="str">
        <f>HYPERLINK("http://dx.doi.org/10.3389/fmicb.2023.1078382","http://dx.doi.org/10.3389/fmicb.2023.1078382")</f>
        <v>http://dx.doi.org/10.3389/fmicb.2023.1078382</v>
      </c>
      <c r="BG703" t="s">
        <v>74</v>
      </c>
      <c r="BH703" t="s">
        <v>74</v>
      </c>
      <c r="BI703">
        <v>13</v>
      </c>
      <c r="BJ703" t="s">
        <v>1387</v>
      </c>
      <c r="BK703" t="s">
        <v>103</v>
      </c>
      <c r="BL703" t="s">
        <v>1387</v>
      </c>
      <c r="BM703" t="s">
        <v>13779</v>
      </c>
      <c r="BN703">
        <v>36846806</v>
      </c>
      <c r="BO703" t="s">
        <v>136</v>
      </c>
      <c r="BP703" t="s">
        <v>74</v>
      </c>
      <c r="BQ703" t="s">
        <v>74</v>
      </c>
      <c r="BR703" t="s">
        <v>106</v>
      </c>
      <c r="BS703" t="s">
        <v>13780</v>
      </c>
      <c r="BT703" t="str">
        <f>HYPERLINK("https%3A%2F%2Fwww.webofscience.com%2Fwos%2Fwoscc%2Ffull-record%2FWOS:000937648000001","View Full Record in Web of Science")</f>
        <v>View Full Record in Web of Science</v>
      </c>
    </row>
    <row r="704" spans="1:72" x14ac:dyDescent="0.15">
      <c r="A704" t="s">
        <v>72</v>
      </c>
      <c r="B704" t="s">
        <v>13781</v>
      </c>
      <c r="C704" t="s">
        <v>74</v>
      </c>
      <c r="D704" t="s">
        <v>74</v>
      </c>
      <c r="E704" t="s">
        <v>74</v>
      </c>
      <c r="F704" t="s">
        <v>13782</v>
      </c>
      <c r="G704" t="s">
        <v>74</v>
      </c>
      <c r="H704" t="s">
        <v>74</v>
      </c>
      <c r="I704" t="s">
        <v>13783</v>
      </c>
      <c r="J704" t="s">
        <v>9251</v>
      </c>
      <c r="K704" t="s">
        <v>74</v>
      </c>
      <c r="L704" t="s">
        <v>74</v>
      </c>
      <c r="M704" t="s">
        <v>78</v>
      </c>
      <c r="N704" t="s">
        <v>112</v>
      </c>
      <c r="O704" t="s">
        <v>74</v>
      </c>
      <c r="P704" t="s">
        <v>74</v>
      </c>
      <c r="Q704" t="s">
        <v>74</v>
      </c>
      <c r="R704" t="s">
        <v>74</v>
      </c>
      <c r="S704" t="s">
        <v>74</v>
      </c>
      <c r="T704" t="s">
        <v>13784</v>
      </c>
      <c r="U704" t="s">
        <v>13785</v>
      </c>
      <c r="V704" t="s">
        <v>13786</v>
      </c>
      <c r="W704" t="s">
        <v>13787</v>
      </c>
      <c r="X704" t="s">
        <v>74</v>
      </c>
      <c r="Y704" t="s">
        <v>13788</v>
      </c>
      <c r="Z704" t="s">
        <v>13789</v>
      </c>
      <c r="AA704" t="s">
        <v>13790</v>
      </c>
      <c r="AB704" t="s">
        <v>13791</v>
      </c>
      <c r="AC704" t="s">
        <v>13792</v>
      </c>
      <c r="AD704" t="s">
        <v>13793</v>
      </c>
      <c r="AE704" t="s">
        <v>13794</v>
      </c>
      <c r="AF704" t="s">
        <v>74</v>
      </c>
      <c r="AG704">
        <v>60</v>
      </c>
      <c r="AH704">
        <v>0</v>
      </c>
      <c r="AI704">
        <v>0</v>
      </c>
      <c r="AJ704">
        <v>2</v>
      </c>
      <c r="AK704">
        <v>4</v>
      </c>
      <c r="AL704" t="s">
        <v>9264</v>
      </c>
      <c r="AM704" t="s">
        <v>9265</v>
      </c>
      <c r="AN704" t="s">
        <v>9266</v>
      </c>
      <c r="AO704" t="s">
        <v>74</v>
      </c>
      <c r="AP704" t="s">
        <v>9267</v>
      </c>
      <c r="AQ704" t="s">
        <v>74</v>
      </c>
      <c r="AR704" t="s">
        <v>9268</v>
      </c>
      <c r="AS704" t="s">
        <v>9269</v>
      </c>
      <c r="AT704" t="s">
        <v>74</v>
      </c>
      <c r="AU704">
        <v>2023</v>
      </c>
      <c r="AV704">
        <v>73</v>
      </c>
      <c r="AW704">
        <v>1</v>
      </c>
      <c r="AX704" t="s">
        <v>74</v>
      </c>
      <c r="AY704" t="s">
        <v>74</v>
      </c>
      <c r="AZ704" t="s">
        <v>74</v>
      </c>
      <c r="BA704" t="s">
        <v>74</v>
      </c>
      <c r="BB704">
        <v>17</v>
      </c>
      <c r="BC704">
        <v>29</v>
      </c>
      <c r="BD704" t="s">
        <v>74</v>
      </c>
      <c r="BE704" t="s">
        <v>13795</v>
      </c>
      <c r="BF704" t="str">
        <f>HYPERLINK("http://dx.doi.org/10.1071/ES22015","http://dx.doi.org/10.1071/ES22015")</f>
        <v>http://dx.doi.org/10.1071/ES22015</v>
      </c>
      <c r="BG704" t="s">
        <v>74</v>
      </c>
      <c r="BH704" t="s">
        <v>11628</v>
      </c>
      <c r="BI704">
        <v>13</v>
      </c>
      <c r="BJ704" t="s">
        <v>4434</v>
      </c>
      <c r="BK704" t="s">
        <v>103</v>
      </c>
      <c r="BL704" t="s">
        <v>4434</v>
      </c>
      <c r="BM704" t="s">
        <v>9271</v>
      </c>
      <c r="BN704" t="s">
        <v>74</v>
      </c>
      <c r="BO704" t="s">
        <v>359</v>
      </c>
      <c r="BP704" t="s">
        <v>74</v>
      </c>
      <c r="BQ704" t="s">
        <v>74</v>
      </c>
      <c r="BR704" t="s">
        <v>106</v>
      </c>
      <c r="BS704" t="s">
        <v>13796</v>
      </c>
      <c r="BT704" t="str">
        <f>HYPERLINK("https%3A%2F%2Fwww.webofscience.com%2Fwos%2Fwoscc%2Ffull-record%2FWOS:000932249300001","View Full Record in Web of Science")</f>
        <v>View Full Record in Web of Science</v>
      </c>
    </row>
    <row r="705" spans="1:72" x14ac:dyDescent="0.15">
      <c r="A705" t="s">
        <v>72</v>
      </c>
      <c r="B705" t="s">
        <v>13797</v>
      </c>
      <c r="C705" t="s">
        <v>74</v>
      </c>
      <c r="D705" t="s">
        <v>74</v>
      </c>
      <c r="E705" t="s">
        <v>74</v>
      </c>
      <c r="F705" t="s">
        <v>13798</v>
      </c>
      <c r="G705" t="s">
        <v>74</v>
      </c>
      <c r="H705" t="s">
        <v>74</v>
      </c>
      <c r="I705" t="s">
        <v>13799</v>
      </c>
      <c r="J705" t="s">
        <v>13800</v>
      </c>
      <c r="K705" t="s">
        <v>74</v>
      </c>
      <c r="L705" t="s">
        <v>74</v>
      </c>
      <c r="M705" t="s">
        <v>78</v>
      </c>
      <c r="N705" t="s">
        <v>112</v>
      </c>
      <c r="O705" t="s">
        <v>74</v>
      </c>
      <c r="P705" t="s">
        <v>74</v>
      </c>
      <c r="Q705" t="s">
        <v>74</v>
      </c>
      <c r="R705" t="s">
        <v>74</v>
      </c>
      <c r="S705" t="s">
        <v>74</v>
      </c>
      <c r="T705" t="s">
        <v>13801</v>
      </c>
      <c r="U705" t="s">
        <v>13802</v>
      </c>
      <c r="V705" t="s">
        <v>13803</v>
      </c>
      <c r="W705" t="s">
        <v>13804</v>
      </c>
      <c r="X705" t="s">
        <v>13805</v>
      </c>
      <c r="Y705" t="s">
        <v>13806</v>
      </c>
      <c r="Z705" t="s">
        <v>13807</v>
      </c>
      <c r="AA705" t="s">
        <v>74</v>
      </c>
      <c r="AB705" t="s">
        <v>74</v>
      </c>
      <c r="AC705" t="s">
        <v>13808</v>
      </c>
      <c r="AD705" t="s">
        <v>13809</v>
      </c>
      <c r="AE705" t="s">
        <v>13810</v>
      </c>
      <c r="AF705" t="s">
        <v>74</v>
      </c>
      <c r="AG705">
        <v>41</v>
      </c>
      <c r="AH705">
        <v>0</v>
      </c>
      <c r="AI705">
        <v>0</v>
      </c>
      <c r="AJ705">
        <v>1</v>
      </c>
      <c r="AK705">
        <v>3</v>
      </c>
      <c r="AL705" t="s">
        <v>1405</v>
      </c>
      <c r="AM705" t="s">
        <v>226</v>
      </c>
      <c r="AN705" t="s">
        <v>1406</v>
      </c>
      <c r="AO705" t="s">
        <v>13811</v>
      </c>
      <c r="AP705" t="s">
        <v>13812</v>
      </c>
      <c r="AQ705" t="s">
        <v>74</v>
      </c>
      <c r="AR705" t="s">
        <v>13813</v>
      </c>
      <c r="AS705" t="s">
        <v>13814</v>
      </c>
      <c r="AT705" t="s">
        <v>98</v>
      </c>
      <c r="AU705">
        <v>2023</v>
      </c>
      <c r="AV705">
        <v>109</v>
      </c>
      <c r="AW705" t="s">
        <v>74</v>
      </c>
      <c r="AX705" t="s">
        <v>74</v>
      </c>
      <c r="AY705" t="s">
        <v>74</v>
      </c>
      <c r="AZ705" t="s">
        <v>74</v>
      </c>
      <c r="BA705" t="s">
        <v>74</v>
      </c>
      <c r="BB705" t="s">
        <v>74</v>
      </c>
      <c r="BC705" t="s">
        <v>74</v>
      </c>
      <c r="BD705">
        <v>103992</v>
      </c>
      <c r="BE705" t="s">
        <v>13815</v>
      </c>
      <c r="BF705" t="str">
        <f>HYPERLINK("http://dx.doi.org/10.1016/j.apergo.2023.103992","http://dx.doi.org/10.1016/j.apergo.2023.103992")</f>
        <v>http://dx.doi.org/10.1016/j.apergo.2023.103992</v>
      </c>
      <c r="BG705" t="s">
        <v>74</v>
      </c>
      <c r="BH705" t="s">
        <v>11628</v>
      </c>
      <c r="BI705">
        <v>12</v>
      </c>
      <c r="BJ705" t="s">
        <v>13816</v>
      </c>
      <c r="BK705" t="s">
        <v>595</v>
      </c>
      <c r="BL705" t="s">
        <v>13817</v>
      </c>
      <c r="BM705" t="s">
        <v>13818</v>
      </c>
      <c r="BN705">
        <v>36773428</v>
      </c>
      <c r="BO705" t="s">
        <v>74</v>
      </c>
      <c r="BP705" t="s">
        <v>74</v>
      </c>
      <c r="BQ705" t="s">
        <v>74</v>
      </c>
      <c r="BR705" t="s">
        <v>106</v>
      </c>
      <c r="BS705" t="s">
        <v>13819</v>
      </c>
      <c r="BT705" t="str">
        <f>HYPERLINK("https%3A%2F%2Fwww.webofscience.com%2Fwos%2Fwoscc%2Ffull-record%2FWOS:001009619700001","View Full Record in Web of Science")</f>
        <v>View Full Record in Web of Science</v>
      </c>
    </row>
    <row r="706" spans="1:72" x14ac:dyDescent="0.15">
      <c r="A706" t="s">
        <v>72</v>
      </c>
      <c r="B706" t="s">
        <v>13820</v>
      </c>
      <c r="C706" t="s">
        <v>74</v>
      </c>
      <c r="D706" t="s">
        <v>74</v>
      </c>
      <c r="E706" t="s">
        <v>74</v>
      </c>
      <c r="F706" t="s">
        <v>13821</v>
      </c>
      <c r="G706" t="s">
        <v>74</v>
      </c>
      <c r="H706" t="s">
        <v>74</v>
      </c>
      <c r="I706" t="s">
        <v>13822</v>
      </c>
      <c r="J706" t="s">
        <v>13823</v>
      </c>
      <c r="K706" t="s">
        <v>74</v>
      </c>
      <c r="L706" t="s">
        <v>74</v>
      </c>
      <c r="M706" t="s">
        <v>78</v>
      </c>
      <c r="N706" t="s">
        <v>112</v>
      </c>
      <c r="O706" t="s">
        <v>74</v>
      </c>
      <c r="P706" t="s">
        <v>74</v>
      </c>
      <c r="Q706" t="s">
        <v>74</v>
      </c>
      <c r="R706" t="s">
        <v>74</v>
      </c>
      <c r="S706" t="s">
        <v>74</v>
      </c>
      <c r="T706" t="s">
        <v>13824</v>
      </c>
      <c r="U706" t="s">
        <v>13825</v>
      </c>
      <c r="V706" t="s">
        <v>13826</v>
      </c>
      <c r="W706" t="s">
        <v>13827</v>
      </c>
      <c r="X706" t="s">
        <v>13828</v>
      </c>
      <c r="Y706" t="s">
        <v>13829</v>
      </c>
      <c r="Z706" t="s">
        <v>13830</v>
      </c>
      <c r="AA706" t="s">
        <v>13831</v>
      </c>
      <c r="AB706" t="s">
        <v>13832</v>
      </c>
      <c r="AC706" t="s">
        <v>13833</v>
      </c>
      <c r="AD706" t="s">
        <v>13834</v>
      </c>
      <c r="AE706" t="s">
        <v>13835</v>
      </c>
      <c r="AF706" t="s">
        <v>74</v>
      </c>
      <c r="AG706">
        <v>88</v>
      </c>
      <c r="AH706">
        <v>4</v>
      </c>
      <c r="AI706">
        <v>4</v>
      </c>
      <c r="AJ706">
        <v>24</v>
      </c>
      <c r="AK706">
        <v>66</v>
      </c>
      <c r="AL706" t="s">
        <v>225</v>
      </c>
      <c r="AM706" t="s">
        <v>226</v>
      </c>
      <c r="AN706" t="s">
        <v>227</v>
      </c>
      <c r="AO706" t="s">
        <v>13836</v>
      </c>
      <c r="AP706" t="s">
        <v>13837</v>
      </c>
      <c r="AQ706" t="s">
        <v>74</v>
      </c>
      <c r="AR706" t="s">
        <v>13838</v>
      </c>
      <c r="AS706" t="s">
        <v>13839</v>
      </c>
      <c r="AT706" t="s">
        <v>8210</v>
      </c>
      <c r="AU706">
        <v>2023</v>
      </c>
      <c r="AV706">
        <v>172</v>
      </c>
      <c r="AW706" t="s">
        <v>74</v>
      </c>
      <c r="AX706" t="s">
        <v>74</v>
      </c>
      <c r="AY706" t="s">
        <v>74</v>
      </c>
      <c r="AZ706" t="s">
        <v>74</v>
      </c>
      <c r="BA706" t="s">
        <v>74</v>
      </c>
      <c r="BB706" t="s">
        <v>74</v>
      </c>
      <c r="BC706" t="s">
        <v>74</v>
      </c>
      <c r="BD706">
        <v>107796</v>
      </c>
      <c r="BE706" t="s">
        <v>13840</v>
      </c>
      <c r="BF706" t="str">
        <f>HYPERLINK("http://dx.doi.org/10.1016/j.envint.2023.107796","http://dx.doi.org/10.1016/j.envint.2023.107796")</f>
        <v>http://dx.doi.org/10.1016/j.envint.2023.107796</v>
      </c>
      <c r="BG706" t="s">
        <v>74</v>
      </c>
      <c r="BH706" t="s">
        <v>11628</v>
      </c>
      <c r="BI706">
        <v>13</v>
      </c>
      <c r="BJ706" t="s">
        <v>1163</v>
      </c>
      <c r="BK706" t="s">
        <v>103</v>
      </c>
      <c r="BL706" t="s">
        <v>1164</v>
      </c>
      <c r="BM706" t="s">
        <v>13841</v>
      </c>
      <c r="BN706">
        <v>36773562</v>
      </c>
      <c r="BO706" t="s">
        <v>359</v>
      </c>
      <c r="BP706" t="s">
        <v>74</v>
      </c>
      <c r="BQ706" t="s">
        <v>74</v>
      </c>
      <c r="BR706" t="s">
        <v>106</v>
      </c>
      <c r="BS706" t="s">
        <v>13842</v>
      </c>
      <c r="BT706" t="str">
        <f>HYPERLINK("https%3A%2F%2Fwww.webofscience.com%2Fwos%2Fwoscc%2Ffull-record%2FWOS:000991667000001","View Full Record in Web of Science")</f>
        <v>View Full Record in Web of Science</v>
      </c>
    </row>
    <row r="707" spans="1:72" x14ac:dyDescent="0.15">
      <c r="A707" t="s">
        <v>72</v>
      </c>
      <c r="B707" t="s">
        <v>13843</v>
      </c>
      <c r="C707" t="s">
        <v>74</v>
      </c>
      <c r="D707" t="s">
        <v>74</v>
      </c>
      <c r="E707" t="s">
        <v>74</v>
      </c>
      <c r="F707" t="s">
        <v>13844</v>
      </c>
      <c r="G707" t="s">
        <v>74</v>
      </c>
      <c r="H707" t="s">
        <v>74</v>
      </c>
      <c r="I707" t="s">
        <v>13845</v>
      </c>
      <c r="J707" t="s">
        <v>1193</v>
      </c>
      <c r="K707" t="s">
        <v>74</v>
      </c>
      <c r="L707" t="s">
        <v>74</v>
      </c>
      <c r="M707" t="s">
        <v>78</v>
      </c>
      <c r="N707" t="s">
        <v>112</v>
      </c>
      <c r="O707" t="s">
        <v>74</v>
      </c>
      <c r="P707" t="s">
        <v>74</v>
      </c>
      <c r="Q707" t="s">
        <v>74</v>
      </c>
      <c r="R707" t="s">
        <v>74</v>
      </c>
      <c r="S707" t="s">
        <v>74</v>
      </c>
      <c r="T707" t="s">
        <v>13846</v>
      </c>
      <c r="U707" t="s">
        <v>13847</v>
      </c>
      <c r="V707" t="s">
        <v>13848</v>
      </c>
      <c r="W707" t="s">
        <v>13849</v>
      </c>
      <c r="X707" t="s">
        <v>13850</v>
      </c>
      <c r="Y707" t="s">
        <v>13851</v>
      </c>
      <c r="Z707" t="s">
        <v>13852</v>
      </c>
      <c r="AA707" t="s">
        <v>13853</v>
      </c>
      <c r="AB707" t="s">
        <v>13854</v>
      </c>
      <c r="AC707" t="s">
        <v>13855</v>
      </c>
      <c r="AD707" t="s">
        <v>13856</v>
      </c>
      <c r="AE707" t="s">
        <v>13857</v>
      </c>
      <c r="AF707" t="s">
        <v>74</v>
      </c>
      <c r="AG707">
        <v>84</v>
      </c>
      <c r="AH707">
        <v>8</v>
      </c>
      <c r="AI707">
        <v>11</v>
      </c>
      <c r="AJ707">
        <v>25</v>
      </c>
      <c r="AK707">
        <v>67</v>
      </c>
      <c r="AL707" t="s">
        <v>447</v>
      </c>
      <c r="AM707" t="s">
        <v>448</v>
      </c>
      <c r="AN707" t="s">
        <v>449</v>
      </c>
      <c r="AO707" t="s">
        <v>1204</v>
      </c>
      <c r="AP707" t="s">
        <v>1205</v>
      </c>
      <c r="AQ707" t="s">
        <v>74</v>
      </c>
      <c r="AR707" t="s">
        <v>1206</v>
      </c>
      <c r="AS707" t="s">
        <v>1207</v>
      </c>
      <c r="AT707" t="s">
        <v>131</v>
      </c>
      <c r="AU707">
        <v>2023</v>
      </c>
      <c r="AV707">
        <v>871</v>
      </c>
      <c r="AW707" t="s">
        <v>74</v>
      </c>
      <c r="AX707" t="s">
        <v>74</v>
      </c>
      <c r="AY707" t="s">
        <v>74</v>
      </c>
      <c r="AZ707" t="s">
        <v>74</v>
      </c>
      <c r="BA707" t="s">
        <v>74</v>
      </c>
      <c r="BB707" t="s">
        <v>74</v>
      </c>
      <c r="BC707" t="s">
        <v>74</v>
      </c>
      <c r="BD707">
        <v>161830</v>
      </c>
      <c r="BE707" t="s">
        <v>13858</v>
      </c>
      <c r="BF707" t="str">
        <f>HYPERLINK("http://dx.doi.org/10.1016/j.scitotenv.2023.161830","http://dx.doi.org/10.1016/j.scitotenv.2023.161830")</f>
        <v>http://dx.doi.org/10.1016/j.scitotenv.2023.161830</v>
      </c>
      <c r="BG707" t="s">
        <v>74</v>
      </c>
      <c r="BH707" t="s">
        <v>11628</v>
      </c>
      <c r="BI707">
        <v>12</v>
      </c>
      <c r="BJ707" t="s">
        <v>1163</v>
      </c>
      <c r="BK707" t="s">
        <v>103</v>
      </c>
      <c r="BL707" t="s">
        <v>1164</v>
      </c>
      <c r="BM707" t="s">
        <v>13859</v>
      </c>
      <c r="BN707">
        <v>36716880</v>
      </c>
      <c r="BO707" t="s">
        <v>663</v>
      </c>
      <c r="BP707" t="s">
        <v>74</v>
      </c>
      <c r="BQ707" t="s">
        <v>74</v>
      </c>
      <c r="BR707" t="s">
        <v>106</v>
      </c>
      <c r="BS707" t="s">
        <v>13860</v>
      </c>
      <c r="BT707" t="str">
        <f>HYPERLINK("https%3A%2F%2Fwww.webofscience.com%2Fwos%2Fwoscc%2Ffull-record%2FWOS:000965591500001","View Full Record in Web of Science")</f>
        <v>View Full Record in Web of Science</v>
      </c>
    </row>
    <row r="708" spans="1:72" x14ac:dyDescent="0.15">
      <c r="A708" t="s">
        <v>72</v>
      </c>
      <c r="B708" t="s">
        <v>13861</v>
      </c>
      <c r="C708" t="s">
        <v>74</v>
      </c>
      <c r="D708" t="s">
        <v>74</v>
      </c>
      <c r="E708" t="s">
        <v>74</v>
      </c>
      <c r="F708" t="s">
        <v>13862</v>
      </c>
      <c r="G708" t="s">
        <v>74</v>
      </c>
      <c r="H708" t="s">
        <v>74</v>
      </c>
      <c r="I708" t="s">
        <v>13863</v>
      </c>
      <c r="J708" t="s">
        <v>11963</v>
      </c>
      <c r="K708" t="s">
        <v>74</v>
      </c>
      <c r="L708" t="s">
        <v>74</v>
      </c>
      <c r="M708" t="s">
        <v>78</v>
      </c>
      <c r="N708" t="s">
        <v>112</v>
      </c>
      <c r="O708" t="s">
        <v>74</v>
      </c>
      <c r="P708" t="s">
        <v>74</v>
      </c>
      <c r="Q708" t="s">
        <v>74</v>
      </c>
      <c r="R708" t="s">
        <v>74</v>
      </c>
      <c r="S708" t="s">
        <v>74</v>
      </c>
      <c r="T708" t="s">
        <v>13864</v>
      </c>
      <c r="U708" t="s">
        <v>13865</v>
      </c>
      <c r="V708" t="s">
        <v>13866</v>
      </c>
      <c r="W708" t="s">
        <v>13867</v>
      </c>
      <c r="X708" t="s">
        <v>13868</v>
      </c>
      <c r="Y708" t="s">
        <v>13869</v>
      </c>
      <c r="Z708" t="s">
        <v>13870</v>
      </c>
      <c r="AA708" t="s">
        <v>13871</v>
      </c>
      <c r="AB708" t="s">
        <v>13872</v>
      </c>
      <c r="AC708" t="s">
        <v>13873</v>
      </c>
      <c r="AD708" t="s">
        <v>13874</v>
      </c>
      <c r="AE708" t="s">
        <v>13875</v>
      </c>
      <c r="AF708" t="s">
        <v>74</v>
      </c>
      <c r="AG708">
        <v>76</v>
      </c>
      <c r="AH708">
        <v>2</v>
      </c>
      <c r="AI708">
        <v>2</v>
      </c>
      <c r="AJ708">
        <v>9</v>
      </c>
      <c r="AK708">
        <v>16</v>
      </c>
      <c r="AL708" t="s">
        <v>447</v>
      </c>
      <c r="AM708" t="s">
        <v>448</v>
      </c>
      <c r="AN708" t="s">
        <v>449</v>
      </c>
      <c r="AO708" t="s">
        <v>11976</v>
      </c>
      <c r="AP708" t="s">
        <v>74</v>
      </c>
      <c r="AQ708" t="s">
        <v>74</v>
      </c>
      <c r="AR708" t="s">
        <v>11977</v>
      </c>
      <c r="AS708" t="s">
        <v>11978</v>
      </c>
      <c r="AT708" t="s">
        <v>570</v>
      </c>
      <c r="AU708">
        <v>2023</v>
      </c>
      <c r="AV708">
        <v>61</v>
      </c>
      <c r="AW708" t="s">
        <v>74</v>
      </c>
      <c r="AX708" t="s">
        <v>74</v>
      </c>
      <c r="AY708" t="s">
        <v>74</v>
      </c>
      <c r="AZ708" t="s">
        <v>74</v>
      </c>
      <c r="BA708" t="s">
        <v>74</v>
      </c>
      <c r="BB708" t="s">
        <v>74</v>
      </c>
      <c r="BC708" t="s">
        <v>74</v>
      </c>
      <c r="BD708">
        <v>102857</v>
      </c>
      <c r="BE708" t="s">
        <v>13876</v>
      </c>
      <c r="BF708" t="str">
        <f>HYPERLINK("http://dx.doi.org/10.1016/j.rsma.2023.102857","http://dx.doi.org/10.1016/j.rsma.2023.102857")</f>
        <v>http://dx.doi.org/10.1016/j.rsma.2023.102857</v>
      </c>
      <c r="BG708" t="s">
        <v>74</v>
      </c>
      <c r="BH708" t="s">
        <v>11628</v>
      </c>
      <c r="BI708">
        <v>13</v>
      </c>
      <c r="BJ708" t="s">
        <v>7947</v>
      </c>
      <c r="BK708" t="s">
        <v>103</v>
      </c>
      <c r="BL708" t="s">
        <v>637</v>
      </c>
      <c r="BM708" t="s">
        <v>13877</v>
      </c>
      <c r="BN708" t="s">
        <v>74</v>
      </c>
      <c r="BO708" t="s">
        <v>74</v>
      </c>
      <c r="BP708" t="s">
        <v>74</v>
      </c>
      <c r="BQ708" t="s">
        <v>74</v>
      </c>
      <c r="BR708" t="s">
        <v>106</v>
      </c>
      <c r="BS708" t="s">
        <v>13878</v>
      </c>
      <c r="BT708" t="str">
        <f>HYPERLINK("https%3A%2F%2Fwww.webofscience.com%2Fwos%2Fwoscc%2Ffull-record%2FWOS:000944326800001","View Full Record in Web of Science")</f>
        <v>View Full Record in Web of Science</v>
      </c>
    </row>
    <row r="709" spans="1:72" x14ac:dyDescent="0.15">
      <c r="A709" t="s">
        <v>72</v>
      </c>
      <c r="B709" t="s">
        <v>13879</v>
      </c>
      <c r="C709" t="s">
        <v>74</v>
      </c>
      <c r="D709" t="s">
        <v>74</v>
      </c>
      <c r="E709" t="s">
        <v>74</v>
      </c>
      <c r="F709" t="s">
        <v>13880</v>
      </c>
      <c r="G709" t="s">
        <v>74</v>
      </c>
      <c r="H709" t="s">
        <v>74</v>
      </c>
      <c r="I709" t="s">
        <v>13881</v>
      </c>
      <c r="J709" t="s">
        <v>13882</v>
      </c>
      <c r="K709" t="s">
        <v>74</v>
      </c>
      <c r="L709" t="s">
        <v>74</v>
      </c>
      <c r="M709" t="s">
        <v>78</v>
      </c>
      <c r="N709" t="s">
        <v>112</v>
      </c>
      <c r="O709" t="s">
        <v>74</v>
      </c>
      <c r="P709" t="s">
        <v>74</v>
      </c>
      <c r="Q709" t="s">
        <v>74</v>
      </c>
      <c r="R709" t="s">
        <v>74</v>
      </c>
      <c r="S709" t="s">
        <v>74</v>
      </c>
      <c r="T709" t="s">
        <v>13883</v>
      </c>
      <c r="U709" t="s">
        <v>13884</v>
      </c>
      <c r="V709" t="s">
        <v>13885</v>
      </c>
      <c r="W709" t="s">
        <v>13886</v>
      </c>
      <c r="X709" t="s">
        <v>13887</v>
      </c>
      <c r="Y709" t="s">
        <v>13888</v>
      </c>
      <c r="Z709" t="s">
        <v>13889</v>
      </c>
      <c r="AA709" t="s">
        <v>13890</v>
      </c>
      <c r="AB709" t="s">
        <v>74</v>
      </c>
      <c r="AC709" t="s">
        <v>13891</v>
      </c>
      <c r="AD709" t="s">
        <v>13892</v>
      </c>
      <c r="AE709" t="s">
        <v>13893</v>
      </c>
      <c r="AF709" t="s">
        <v>74</v>
      </c>
      <c r="AG709">
        <v>66</v>
      </c>
      <c r="AH709">
        <v>0</v>
      </c>
      <c r="AI709">
        <v>0</v>
      </c>
      <c r="AJ709">
        <v>2</v>
      </c>
      <c r="AK709">
        <v>11</v>
      </c>
      <c r="AL709" t="s">
        <v>700</v>
      </c>
      <c r="AM709" t="s">
        <v>701</v>
      </c>
      <c r="AN709" t="s">
        <v>702</v>
      </c>
      <c r="AO709" t="s">
        <v>74</v>
      </c>
      <c r="AP709" t="s">
        <v>13894</v>
      </c>
      <c r="AQ709" t="s">
        <v>74</v>
      </c>
      <c r="AR709" t="s">
        <v>13895</v>
      </c>
      <c r="AS709" t="s">
        <v>13896</v>
      </c>
      <c r="AT709" t="s">
        <v>13897</v>
      </c>
      <c r="AU709">
        <v>2023</v>
      </c>
      <c r="AV709">
        <v>11</v>
      </c>
      <c r="AW709" t="s">
        <v>74</v>
      </c>
      <c r="AX709" t="s">
        <v>74</v>
      </c>
      <c r="AY709" t="s">
        <v>74</v>
      </c>
      <c r="AZ709" t="s">
        <v>74</v>
      </c>
      <c r="BA709" t="s">
        <v>74</v>
      </c>
      <c r="BB709" t="s">
        <v>74</v>
      </c>
      <c r="BC709" t="s">
        <v>74</v>
      </c>
      <c r="BD709">
        <v>1135165</v>
      </c>
      <c r="BE709" t="s">
        <v>13898</v>
      </c>
      <c r="BF709" t="str">
        <f>HYPERLINK("http://dx.doi.org/10.3389/fenvs.2023.1135165","http://dx.doi.org/10.3389/fenvs.2023.1135165")</f>
        <v>http://dx.doi.org/10.3389/fenvs.2023.1135165</v>
      </c>
      <c r="BG709" t="s">
        <v>74</v>
      </c>
      <c r="BH709" t="s">
        <v>74</v>
      </c>
      <c r="BI709">
        <v>15</v>
      </c>
      <c r="BJ709" t="s">
        <v>1163</v>
      </c>
      <c r="BK709" t="s">
        <v>103</v>
      </c>
      <c r="BL709" t="s">
        <v>1164</v>
      </c>
      <c r="BM709" t="s">
        <v>13899</v>
      </c>
      <c r="BN709" t="s">
        <v>74</v>
      </c>
      <c r="BO709" t="s">
        <v>359</v>
      </c>
      <c r="BP709" t="s">
        <v>74</v>
      </c>
      <c r="BQ709" t="s">
        <v>74</v>
      </c>
      <c r="BR709" t="s">
        <v>106</v>
      </c>
      <c r="BS709" t="s">
        <v>13900</v>
      </c>
      <c r="BT709" t="str">
        <f>HYPERLINK("https%3A%2F%2Fwww.webofscience.com%2Fwos%2Fwoscc%2Ffull-record%2FWOS:000937063100001","View Full Record in Web of Science")</f>
        <v>View Full Record in Web of Science</v>
      </c>
    </row>
    <row r="710" spans="1:72" x14ac:dyDescent="0.15">
      <c r="A710" t="s">
        <v>72</v>
      </c>
      <c r="B710" t="s">
        <v>13901</v>
      </c>
      <c r="C710" t="s">
        <v>74</v>
      </c>
      <c r="D710" t="s">
        <v>74</v>
      </c>
      <c r="E710" t="s">
        <v>74</v>
      </c>
      <c r="F710" t="s">
        <v>13902</v>
      </c>
      <c r="G710" t="s">
        <v>74</v>
      </c>
      <c r="H710" t="s">
        <v>74</v>
      </c>
      <c r="I710" t="s">
        <v>13903</v>
      </c>
      <c r="J710" t="s">
        <v>1215</v>
      </c>
      <c r="K710" t="s">
        <v>74</v>
      </c>
      <c r="L710" t="s">
        <v>74</v>
      </c>
      <c r="M710" t="s">
        <v>78</v>
      </c>
      <c r="N710" t="s">
        <v>112</v>
      </c>
      <c r="O710" t="s">
        <v>74</v>
      </c>
      <c r="P710" t="s">
        <v>74</v>
      </c>
      <c r="Q710" t="s">
        <v>74</v>
      </c>
      <c r="R710" t="s">
        <v>74</v>
      </c>
      <c r="S710" t="s">
        <v>74</v>
      </c>
      <c r="T710" t="s">
        <v>13904</v>
      </c>
      <c r="U710" t="s">
        <v>13905</v>
      </c>
      <c r="V710" t="s">
        <v>13906</v>
      </c>
      <c r="W710" t="s">
        <v>13907</v>
      </c>
      <c r="X710" t="s">
        <v>13908</v>
      </c>
      <c r="Y710" t="s">
        <v>13909</v>
      </c>
      <c r="Z710" t="s">
        <v>13910</v>
      </c>
      <c r="AA710" t="s">
        <v>13911</v>
      </c>
      <c r="AB710" t="s">
        <v>74</v>
      </c>
      <c r="AC710" t="s">
        <v>74</v>
      </c>
      <c r="AD710" t="s">
        <v>74</v>
      </c>
      <c r="AE710" t="s">
        <v>74</v>
      </c>
      <c r="AF710" t="s">
        <v>74</v>
      </c>
      <c r="AG710">
        <v>57</v>
      </c>
      <c r="AH710">
        <v>0</v>
      </c>
      <c r="AI710">
        <v>0</v>
      </c>
      <c r="AJ710">
        <v>4</v>
      </c>
      <c r="AK710">
        <v>7</v>
      </c>
      <c r="AL710" t="s">
        <v>700</v>
      </c>
      <c r="AM710" t="s">
        <v>701</v>
      </c>
      <c r="AN710" t="s">
        <v>702</v>
      </c>
      <c r="AO710" t="s">
        <v>74</v>
      </c>
      <c r="AP710" t="s">
        <v>1228</v>
      </c>
      <c r="AQ710" t="s">
        <v>74</v>
      </c>
      <c r="AR710" t="s">
        <v>1229</v>
      </c>
      <c r="AS710" t="s">
        <v>1230</v>
      </c>
      <c r="AT710" t="s">
        <v>13897</v>
      </c>
      <c r="AU710">
        <v>2023</v>
      </c>
      <c r="AV710">
        <v>10</v>
      </c>
      <c r="AW710" t="s">
        <v>74</v>
      </c>
      <c r="AX710" t="s">
        <v>74</v>
      </c>
      <c r="AY710" t="s">
        <v>74</v>
      </c>
      <c r="AZ710" t="s">
        <v>74</v>
      </c>
      <c r="BA710" t="s">
        <v>74</v>
      </c>
      <c r="BB710" t="s">
        <v>74</v>
      </c>
      <c r="BC710" t="s">
        <v>74</v>
      </c>
      <c r="BD710">
        <v>1110621</v>
      </c>
      <c r="BE710" t="s">
        <v>13912</v>
      </c>
      <c r="BF710" t="str">
        <f>HYPERLINK("http://dx.doi.org/10.3389/fmars.2023.1110621","http://dx.doi.org/10.3389/fmars.2023.1110621")</f>
        <v>http://dx.doi.org/10.3389/fmars.2023.1110621</v>
      </c>
      <c r="BG710" t="s">
        <v>74</v>
      </c>
      <c r="BH710" t="s">
        <v>74</v>
      </c>
      <c r="BI710">
        <v>12</v>
      </c>
      <c r="BJ710" t="s">
        <v>636</v>
      </c>
      <c r="BK710" t="s">
        <v>103</v>
      </c>
      <c r="BL710" t="s">
        <v>637</v>
      </c>
      <c r="BM710" t="s">
        <v>13913</v>
      </c>
      <c r="BN710" t="s">
        <v>74</v>
      </c>
      <c r="BO710" t="s">
        <v>359</v>
      </c>
      <c r="BP710" t="s">
        <v>74</v>
      </c>
      <c r="BQ710" t="s">
        <v>74</v>
      </c>
      <c r="BR710" t="s">
        <v>106</v>
      </c>
      <c r="BS710" t="s">
        <v>13914</v>
      </c>
      <c r="BT710" t="str">
        <f>HYPERLINK("https%3A%2F%2Fwww.webofscience.com%2Fwos%2Fwoscc%2Ffull-record%2FWOS:000935296500001","View Full Record in Web of Science")</f>
        <v>View Full Record in Web of Science</v>
      </c>
    </row>
    <row r="711" spans="1:72" x14ac:dyDescent="0.15">
      <c r="A711" t="s">
        <v>72</v>
      </c>
      <c r="B711" t="s">
        <v>13915</v>
      </c>
      <c r="C711" t="s">
        <v>74</v>
      </c>
      <c r="D711" t="s">
        <v>74</v>
      </c>
      <c r="E711" t="s">
        <v>74</v>
      </c>
      <c r="F711" t="s">
        <v>13916</v>
      </c>
      <c r="G711" t="s">
        <v>74</v>
      </c>
      <c r="H711" t="s">
        <v>74</v>
      </c>
      <c r="I711" t="s">
        <v>13917</v>
      </c>
      <c r="J711" t="s">
        <v>13918</v>
      </c>
      <c r="K711" t="s">
        <v>74</v>
      </c>
      <c r="L711" t="s">
        <v>74</v>
      </c>
      <c r="M711" t="s">
        <v>78</v>
      </c>
      <c r="N711" t="s">
        <v>112</v>
      </c>
      <c r="O711" t="s">
        <v>74</v>
      </c>
      <c r="P711" t="s">
        <v>74</v>
      </c>
      <c r="Q711" t="s">
        <v>74</v>
      </c>
      <c r="R711" t="s">
        <v>74</v>
      </c>
      <c r="S711" t="s">
        <v>74</v>
      </c>
      <c r="T711" t="s">
        <v>13919</v>
      </c>
      <c r="U711" t="s">
        <v>13920</v>
      </c>
      <c r="V711" t="s">
        <v>13921</v>
      </c>
      <c r="W711" t="s">
        <v>13922</v>
      </c>
      <c r="X711" t="s">
        <v>13923</v>
      </c>
      <c r="Y711" t="s">
        <v>13924</v>
      </c>
      <c r="Z711" t="s">
        <v>13925</v>
      </c>
      <c r="AA711" t="s">
        <v>74</v>
      </c>
      <c r="AB711" t="s">
        <v>13926</v>
      </c>
      <c r="AC711" t="s">
        <v>13927</v>
      </c>
      <c r="AD711" t="s">
        <v>13928</v>
      </c>
      <c r="AE711" t="s">
        <v>13929</v>
      </c>
      <c r="AF711" t="s">
        <v>74</v>
      </c>
      <c r="AG711">
        <v>58</v>
      </c>
      <c r="AH711">
        <v>5</v>
      </c>
      <c r="AI711">
        <v>5</v>
      </c>
      <c r="AJ711">
        <v>1</v>
      </c>
      <c r="AK711">
        <v>4</v>
      </c>
      <c r="AL711" t="s">
        <v>2092</v>
      </c>
      <c r="AM711" t="s">
        <v>2093</v>
      </c>
      <c r="AN711" t="s">
        <v>2094</v>
      </c>
      <c r="AO711" t="s">
        <v>13930</v>
      </c>
      <c r="AP711" t="s">
        <v>13931</v>
      </c>
      <c r="AQ711" t="s">
        <v>74</v>
      </c>
      <c r="AR711" t="s">
        <v>13932</v>
      </c>
      <c r="AS711" t="s">
        <v>13933</v>
      </c>
      <c r="AT711" t="s">
        <v>1437</v>
      </c>
      <c r="AU711">
        <v>2023</v>
      </c>
      <c r="AV711">
        <v>59</v>
      </c>
      <c r="AW711">
        <v>2</v>
      </c>
      <c r="AX711" t="s">
        <v>74</v>
      </c>
      <c r="AY711" t="s">
        <v>74</v>
      </c>
      <c r="AZ711" t="s">
        <v>74</v>
      </c>
      <c r="BA711" t="s">
        <v>74</v>
      </c>
      <c r="BB711">
        <v>342</v>
      </c>
      <c r="BC711">
        <v>355</v>
      </c>
      <c r="BD711" t="s">
        <v>74</v>
      </c>
      <c r="BE711" t="s">
        <v>13934</v>
      </c>
      <c r="BF711" t="str">
        <f>HYPERLINK("http://dx.doi.org/10.1111/jpy.13318","http://dx.doi.org/10.1111/jpy.13318")</f>
        <v>http://dx.doi.org/10.1111/jpy.13318</v>
      </c>
      <c r="BG711" t="s">
        <v>74</v>
      </c>
      <c r="BH711" t="s">
        <v>11628</v>
      </c>
      <c r="BI711">
        <v>14</v>
      </c>
      <c r="BJ711" t="s">
        <v>13935</v>
      </c>
      <c r="BK711" t="s">
        <v>103</v>
      </c>
      <c r="BL711" t="s">
        <v>13935</v>
      </c>
      <c r="BM711" t="s">
        <v>13936</v>
      </c>
      <c r="BN711">
        <v>36680562</v>
      </c>
      <c r="BO711" t="s">
        <v>387</v>
      </c>
      <c r="BP711" t="s">
        <v>74</v>
      </c>
      <c r="BQ711" t="s">
        <v>74</v>
      </c>
      <c r="BR711" t="s">
        <v>106</v>
      </c>
      <c r="BS711" t="s">
        <v>13937</v>
      </c>
      <c r="BT711" t="str">
        <f>HYPERLINK("https%3A%2F%2Fwww.webofscience.com%2Fwos%2Fwoscc%2Ffull-record%2FWOS:000935021600001","View Full Record in Web of Science")</f>
        <v>View Full Record in Web of Science</v>
      </c>
    </row>
    <row r="712" spans="1:72" x14ac:dyDescent="0.15">
      <c r="A712" t="s">
        <v>72</v>
      </c>
      <c r="B712" t="s">
        <v>13938</v>
      </c>
      <c r="C712" t="s">
        <v>74</v>
      </c>
      <c r="D712" t="s">
        <v>74</v>
      </c>
      <c r="E712" t="s">
        <v>74</v>
      </c>
      <c r="F712" t="s">
        <v>13939</v>
      </c>
      <c r="G712" t="s">
        <v>74</v>
      </c>
      <c r="H712" t="s">
        <v>74</v>
      </c>
      <c r="I712" t="s">
        <v>13940</v>
      </c>
      <c r="J712" t="s">
        <v>13941</v>
      </c>
      <c r="K712" t="s">
        <v>74</v>
      </c>
      <c r="L712" t="s">
        <v>74</v>
      </c>
      <c r="M712" t="s">
        <v>78</v>
      </c>
      <c r="N712" t="s">
        <v>1754</v>
      </c>
      <c r="O712" t="s">
        <v>74</v>
      </c>
      <c r="P712" t="s">
        <v>74</v>
      </c>
      <c r="Q712" t="s">
        <v>74</v>
      </c>
      <c r="R712" t="s">
        <v>74</v>
      </c>
      <c r="S712" t="s">
        <v>74</v>
      </c>
      <c r="T712" t="s">
        <v>13942</v>
      </c>
      <c r="U712" t="s">
        <v>13943</v>
      </c>
      <c r="V712" t="s">
        <v>13944</v>
      </c>
      <c r="W712" t="s">
        <v>13945</v>
      </c>
      <c r="X712" t="s">
        <v>13946</v>
      </c>
      <c r="Y712" t="s">
        <v>13947</v>
      </c>
      <c r="Z712" t="s">
        <v>13948</v>
      </c>
      <c r="AA712" t="s">
        <v>13949</v>
      </c>
      <c r="AB712" t="s">
        <v>13950</v>
      </c>
      <c r="AC712" t="s">
        <v>13951</v>
      </c>
      <c r="AD712" t="s">
        <v>13951</v>
      </c>
      <c r="AE712" t="s">
        <v>13952</v>
      </c>
      <c r="AF712" t="s">
        <v>74</v>
      </c>
      <c r="AG712">
        <v>113</v>
      </c>
      <c r="AH712">
        <v>3</v>
      </c>
      <c r="AI712">
        <v>3</v>
      </c>
      <c r="AJ712">
        <v>2</v>
      </c>
      <c r="AK712">
        <v>6</v>
      </c>
      <c r="AL712" t="s">
        <v>9264</v>
      </c>
      <c r="AM712" t="s">
        <v>9265</v>
      </c>
      <c r="AN712" t="s">
        <v>9266</v>
      </c>
      <c r="AO712" t="s">
        <v>13953</v>
      </c>
      <c r="AP712" t="s">
        <v>13954</v>
      </c>
      <c r="AQ712" t="s">
        <v>74</v>
      </c>
      <c r="AR712" t="s">
        <v>13955</v>
      </c>
      <c r="AS712" t="s">
        <v>13956</v>
      </c>
      <c r="AT712" t="s">
        <v>13957</v>
      </c>
      <c r="AU712">
        <v>2023</v>
      </c>
      <c r="AV712" t="s">
        <v>74</v>
      </c>
      <c r="AW712" t="s">
        <v>74</v>
      </c>
      <c r="AX712" t="s">
        <v>74</v>
      </c>
      <c r="AY712" t="s">
        <v>74</v>
      </c>
      <c r="AZ712" t="s">
        <v>74</v>
      </c>
      <c r="BA712" t="s">
        <v>74</v>
      </c>
      <c r="BB712" t="s">
        <v>74</v>
      </c>
      <c r="BC712" t="s">
        <v>74</v>
      </c>
      <c r="BD712" t="s">
        <v>74</v>
      </c>
      <c r="BE712" t="s">
        <v>13958</v>
      </c>
      <c r="BF712" t="str">
        <f>HYPERLINK("http://dx.doi.org/10.1071/WR22100","http://dx.doi.org/10.1071/WR22100")</f>
        <v>http://dx.doi.org/10.1071/WR22100</v>
      </c>
      <c r="BG712" t="s">
        <v>74</v>
      </c>
      <c r="BH712" t="s">
        <v>11628</v>
      </c>
      <c r="BI712">
        <v>15</v>
      </c>
      <c r="BJ712" t="s">
        <v>13959</v>
      </c>
      <c r="BK712" t="s">
        <v>103</v>
      </c>
      <c r="BL712" t="s">
        <v>13960</v>
      </c>
      <c r="BM712" t="s">
        <v>13961</v>
      </c>
      <c r="BN712" t="s">
        <v>74</v>
      </c>
      <c r="BO712" t="s">
        <v>430</v>
      </c>
      <c r="BP712" t="s">
        <v>74</v>
      </c>
      <c r="BQ712" t="s">
        <v>74</v>
      </c>
      <c r="BR712" t="s">
        <v>106</v>
      </c>
      <c r="BS712" t="s">
        <v>13962</v>
      </c>
      <c r="BT712" t="str">
        <f>HYPERLINK("https%3A%2F%2Fwww.webofscience.com%2Fwos%2Fwoscc%2Ffull-record%2FWOS:000934937600001","View Full Record in Web of Science")</f>
        <v>View Full Record in Web of Science</v>
      </c>
    </row>
    <row r="713" spans="1:72" x14ac:dyDescent="0.15">
      <c r="A713" t="s">
        <v>72</v>
      </c>
      <c r="B713" t="s">
        <v>13963</v>
      </c>
      <c r="C713" t="s">
        <v>74</v>
      </c>
      <c r="D713" t="s">
        <v>74</v>
      </c>
      <c r="E713" t="s">
        <v>74</v>
      </c>
      <c r="F713" t="s">
        <v>13964</v>
      </c>
      <c r="G713" t="s">
        <v>74</v>
      </c>
      <c r="H713" t="s">
        <v>74</v>
      </c>
      <c r="I713" t="s">
        <v>13965</v>
      </c>
      <c r="J713" t="s">
        <v>759</v>
      </c>
      <c r="K713" t="s">
        <v>74</v>
      </c>
      <c r="L713" t="s">
        <v>74</v>
      </c>
      <c r="M713" t="s">
        <v>78</v>
      </c>
      <c r="N713" t="s">
        <v>112</v>
      </c>
      <c r="O713" t="s">
        <v>74</v>
      </c>
      <c r="P713" t="s">
        <v>74</v>
      </c>
      <c r="Q713" t="s">
        <v>74</v>
      </c>
      <c r="R713" t="s">
        <v>74</v>
      </c>
      <c r="S713" t="s">
        <v>74</v>
      </c>
      <c r="T713" t="s">
        <v>13966</v>
      </c>
      <c r="U713" t="s">
        <v>13967</v>
      </c>
      <c r="V713" t="s">
        <v>13968</v>
      </c>
      <c r="W713" t="s">
        <v>13969</v>
      </c>
      <c r="X713" t="s">
        <v>13970</v>
      </c>
      <c r="Y713" t="s">
        <v>13971</v>
      </c>
      <c r="Z713" t="s">
        <v>13972</v>
      </c>
      <c r="AA713" t="s">
        <v>13973</v>
      </c>
      <c r="AB713" t="s">
        <v>13974</v>
      </c>
      <c r="AC713" t="s">
        <v>13975</v>
      </c>
      <c r="AD713" t="s">
        <v>13975</v>
      </c>
      <c r="AE713" t="s">
        <v>13976</v>
      </c>
      <c r="AF713" t="s">
        <v>74</v>
      </c>
      <c r="AG713">
        <v>68</v>
      </c>
      <c r="AH713">
        <v>0</v>
      </c>
      <c r="AI713">
        <v>0</v>
      </c>
      <c r="AJ713">
        <v>8</v>
      </c>
      <c r="AK713">
        <v>21</v>
      </c>
      <c r="AL713" t="s">
        <v>768</v>
      </c>
      <c r="AM713" t="s">
        <v>179</v>
      </c>
      <c r="AN713" t="s">
        <v>769</v>
      </c>
      <c r="AO713" t="s">
        <v>770</v>
      </c>
      <c r="AP713" t="s">
        <v>771</v>
      </c>
      <c r="AQ713" t="s">
        <v>74</v>
      </c>
      <c r="AR713" t="s">
        <v>772</v>
      </c>
      <c r="AS713" t="s">
        <v>773</v>
      </c>
      <c r="AT713" t="s">
        <v>8042</v>
      </c>
      <c r="AU713">
        <v>2023</v>
      </c>
      <c r="AV713">
        <v>46</v>
      </c>
      <c r="AW713">
        <v>3</v>
      </c>
      <c r="AX713" t="s">
        <v>74</v>
      </c>
      <c r="AY713" t="s">
        <v>74</v>
      </c>
      <c r="AZ713" t="s">
        <v>74</v>
      </c>
      <c r="BA713" t="s">
        <v>74</v>
      </c>
      <c r="BB713">
        <v>169</v>
      </c>
      <c r="BC713">
        <v>183</v>
      </c>
      <c r="BD713" t="s">
        <v>74</v>
      </c>
      <c r="BE713" t="s">
        <v>13977</v>
      </c>
      <c r="BF713" t="str">
        <f>HYPERLINK("http://dx.doi.org/10.1007/s00300-023-03114-y","http://dx.doi.org/10.1007/s00300-023-03114-y")</f>
        <v>http://dx.doi.org/10.1007/s00300-023-03114-y</v>
      </c>
      <c r="BG713" t="s">
        <v>74</v>
      </c>
      <c r="BH713" t="s">
        <v>11628</v>
      </c>
      <c r="BI713">
        <v>15</v>
      </c>
      <c r="BJ713" t="s">
        <v>775</v>
      </c>
      <c r="BK713" t="s">
        <v>103</v>
      </c>
      <c r="BL713" t="s">
        <v>776</v>
      </c>
      <c r="BM713" t="s">
        <v>8776</v>
      </c>
      <c r="BN713" t="s">
        <v>74</v>
      </c>
      <c r="BO713" t="s">
        <v>74</v>
      </c>
      <c r="BP713" t="s">
        <v>74</v>
      </c>
      <c r="BQ713" t="s">
        <v>74</v>
      </c>
      <c r="BR713" t="s">
        <v>106</v>
      </c>
      <c r="BS713" t="s">
        <v>13978</v>
      </c>
      <c r="BT713" t="str">
        <f>HYPERLINK("https%3A%2F%2Fwww.webofscience.com%2Fwos%2Fwoscc%2Ffull-record%2FWOS:000931749300001","View Full Record in Web of Science")</f>
        <v>View Full Record in Web of Science</v>
      </c>
    </row>
    <row r="714" spans="1:72" x14ac:dyDescent="0.15">
      <c r="A714" t="s">
        <v>72</v>
      </c>
      <c r="B714" t="s">
        <v>13979</v>
      </c>
      <c r="C714" t="s">
        <v>74</v>
      </c>
      <c r="D714" t="s">
        <v>74</v>
      </c>
      <c r="E714" t="s">
        <v>74</v>
      </c>
      <c r="F714" t="s">
        <v>13980</v>
      </c>
      <c r="G714" t="s">
        <v>74</v>
      </c>
      <c r="H714" t="s">
        <v>74</v>
      </c>
      <c r="I714" t="s">
        <v>13981</v>
      </c>
      <c r="J714" t="s">
        <v>1966</v>
      </c>
      <c r="K714" t="s">
        <v>74</v>
      </c>
      <c r="L714" t="s">
        <v>74</v>
      </c>
      <c r="M714" t="s">
        <v>78</v>
      </c>
      <c r="N714" t="s">
        <v>112</v>
      </c>
      <c r="O714" t="s">
        <v>74</v>
      </c>
      <c r="P714" t="s">
        <v>74</v>
      </c>
      <c r="Q714" t="s">
        <v>74</v>
      </c>
      <c r="R714" t="s">
        <v>74</v>
      </c>
      <c r="S714" t="s">
        <v>74</v>
      </c>
      <c r="T714" t="s">
        <v>13982</v>
      </c>
      <c r="U714" t="s">
        <v>13983</v>
      </c>
      <c r="V714" t="s">
        <v>13984</v>
      </c>
      <c r="W714" t="s">
        <v>13985</v>
      </c>
      <c r="X714" t="s">
        <v>13986</v>
      </c>
      <c r="Y714" t="s">
        <v>13987</v>
      </c>
      <c r="Z714" t="s">
        <v>13988</v>
      </c>
      <c r="AA714" t="s">
        <v>13989</v>
      </c>
      <c r="AB714" t="s">
        <v>13990</v>
      </c>
      <c r="AC714" t="s">
        <v>13991</v>
      </c>
      <c r="AD714" t="s">
        <v>13992</v>
      </c>
      <c r="AE714" t="s">
        <v>13993</v>
      </c>
      <c r="AF714" t="s">
        <v>74</v>
      </c>
      <c r="AG714">
        <v>53</v>
      </c>
      <c r="AH714">
        <v>0</v>
      </c>
      <c r="AI714">
        <v>0</v>
      </c>
      <c r="AJ714">
        <v>27</v>
      </c>
      <c r="AK714">
        <v>46</v>
      </c>
      <c r="AL714" t="s">
        <v>447</v>
      </c>
      <c r="AM714" t="s">
        <v>448</v>
      </c>
      <c r="AN714" t="s">
        <v>449</v>
      </c>
      <c r="AO714" t="s">
        <v>1979</v>
      </c>
      <c r="AP714" t="s">
        <v>1980</v>
      </c>
      <c r="AQ714" t="s">
        <v>74</v>
      </c>
      <c r="AR714" t="s">
        <v>1981</v>
      </c>
      <c r="AS714" t="s">
        <v>1982</v>
      </c>
      <c r="AT714" t="s">
        <v>12002</v>
      </c>
      <c r="AU714">
        <v>2023</v>
      </c>
      <c r="AV714">
        <v>448</v>
      </c>
      <c r="AW714" t="s">
        <v>74</v>
      </c>
      <c r="AX714" t="s">
        <v>74</v>
      </c>
      <c r="AY714" t="s">
        <v>74</v>
      </c>
      <c r="AZ714" t="s">
        <v>74</v>
      </c>
      <c r="BA714" t="s">
        <v>74</v>
      </c>
      <c r="BB714" t="s">
        <v>74</v>
      </c>
      <c r="BC714" t="s">
        <v>74</v>
      </c>
      <c r="BD714">
        <v>130907</v>
      </c>
      <c r="BE714" t="s">
        <v>13994</v>
      </c>
      <c r="BF714" t="str">
        <f>HYPERLINK("http://dx.doi.org/10.1016/j.jhazmat.2023.130907","http://dx.doi.org/10.1016/j.jhazmat.2023.130907")</f>
        <v>http://dx.doi.org/10.1016/j.jhazmat.2023.130907</v>
      </c>
      <c r="BG714" t="s">
        <v>74</v>
      </c>
      <c r="BH714" t="s">
        <v>11628</v>
      </c>
      <c r="BI714">
        <v>8</v>
      </c>
      <c r="BJ714" t="s">
        <v>1985</v>
      </c>
      <c r="BK714" t="s">
        <v>103</v>
      </c>
      <c r="BL714" t="s">
        <v>1986</v>
      </c>
      <c r="BM714" t="s">
        <v>13995</v>
      </c>
      <c r="BN714">
        <v>36764260</v>
      </c>
      <c r="BO714" t="s">
        <v>74</v>
      </c>
      <c r="BP714" t="s">
        <v>74</v>
      </c>
      <c r="BQ714" t="s">
        <v>74</v>
      </c>
      <c r="BR714" t="s">
        <v>106</v>
      </c>
      <c r="BS714" t="s">
        <v>13996</v>
      </c>
      <c r="BT714" t="str">
        <f>HYPERLINK("https%3A%2F%2Fwww.webofscience.com%2Fwos%2Fwoscc%2Ffull-record%2FWOS:000966232900001","View Full Record in Web of Science")</f>
        <v>View Full Record in Web of Science</v>
      </c>
    </row>
    <row r="715" spans="1:72" x14ac:dyDescent="0.15">
      <c r="A715" t="s">
        <v>72</v>
      </c>
      <c r="B715" t="s">
        <v>13997</v>
      </c>
      <c r="C715" t="s">
        <v>74</v>
      </c>
      <c r="D715" t="s">
        <v>74</v>
      </c>
      <c r="E715" t="s">
        <v>74</v>
      </c>
      <c r="F715" t="s">
        <v>13998</v>
      </c>
      <c r="G715" t="s">
        <v>74</v>
      </c>
      <c r="H715" t="s">
        <v>74</v>
      </c>
      <c r="I715" t="s">
        <v>13999</v>
      </c>
      <c r="J715" t="s">
        <v>1193</v>
      </c>
      <c r="K715" t="s">
        <v>74</v>
      </c>
      <c r="L715" t="s">
        <v>74</v>
      </c>
      <c r="M715" t="s">
        <v>78</v>
      </c>
      <c r="N715" t="s">
        <v>112</v>
      </c>
      <c r="O715" t="s">
        <v>74</v>
      </c>
      <c r="P715" t="s">
        <v>74</v>
      </c>
      <c r="Q715" t="s">
        <v>74</v>
      </c>
      <c r="R715" t="s">
        <v>74</v>
      </c>
      <c r="S715" t="s">
        <v>74</v>
      </c>
      <c r="T715" t="s">
        <v>14000</v>
      </c>
      <c r="U715" t="s">
        <v>14001</v>
      </c>
      <c r="V715" t="s">
        <v>14002</v>
      </c>
      <c r="W715" t="s">
        <v>14003</v>
      </c>
      <c r="X715" t="s">
        <v>14004</v>
      </c>
      <c r="Y715" t="s">
        <v>14005</v>
      </c>
      <c r="Z715" t="s">
        <v>14006</v>
      </c>
      <c r="AA715" t="s">
        <v>14007</v>
      </c>
      <c r="AB715" t="s">
        <v>14008</v>
      </c>
      <c r="AC715" t="s">
        <v>14009</v>
      </c>
      <c r="AD715" t="s">
        <v>14010</v>
      </c>
      <c r="AE715" t="s">
        <v>14011</v>
      </c>
      <c r="AF715" t="s">
        <v>74</v>
      </c>
      <c r="AG715">
        <v>96</v>
      </c>
      <c r="AH715">
        <v>3</v>
      </c>
      <c r="AI715">
        <v>3</v>
      </c>
      <c r="AJ715">
        <v>8</v>
      </c>
      <c r="AK715">
        <v>27</v>
      </c>
      <c r="AL715" t="s">
        <v>447</v>
      </c>
      <c r="AM715" t="s">
        <v>448</v>
      </c>
      <c r="AN715" t="s">
        <v>449</v>
      </c>
      <c r="AO715" t="s">
        <v>1204</v>
      </c>
      <c r="AP715" t="s">
        <v>1205</v>
      </c>
      <c r="AQ715" t="s">
        <v>74</v>
      </c>
      <c r="AR715" t="s">
        <v>1206</v>
      </c>
      <c r="AS715" t="s">
        <v>1207</v>
      </c>
      <c r="AT715" t="s">
        <v>131</v>
      </c>
      <c r="AU715">
        <v>2023</v>
      </c>
      <c r="AV715">
        <v>871</v>
      </c>
      <c r="AW715" t="s">
        <v>74</v>
      </c>
      <c r="AX715" t="s">
        <v>74</v>
      </c>
      <c r="AY715" t="s">
        <v>74</v>
      </c>
      <c r="AZ715" t="s">
        <v>74</v>
      </c>
      <c r="BA715" t="s">
        <v>74</v>
      </c>
      <c r="BB715" t="s">
        <v>74</v>
      </c>
      <c r="BC715" t="s">
        <v>74</v>
      </c>
      <c r="BD715">
        <v>161777</v>
      </c>
      <c r="BE715" t="s">
        <v>14012</v>
      </c>
      <c r="BF715" t="str">
        <f>HYPERLINK("http://dx.doi.org/10.1016/j.scitotenv.2023.161777","http://dx.doi.org/10.1016/j.scitotenv.2023.161777")</f>
        <v>http://dx.doi.org/10.1016/j.scitotenv.2023.161777</v>
      </c>
      <c r="BG715" t="s">
        <v>74</v>
      </c>
      <c r="BH715" t="s">
        <v>11628</v>
      </c>
      <c r="BI715">
        <v>14</v>
      </c>
      <c r="BJ715" t="s">
        <v>1163</v>
      </c>
      <c r="BK715" t="s">
        <v>103</v>
      </c>
      <c r="BL715" t="s">
        <v>1164</v>
      </c>
      <c r="BM715" t="s">
        <v>14013</v>
      </c>
      <c r="BN715">
        <v>36709895</v>
      </c>
      <c r="BO715" t="s">
        <v>74</v>
      </c>
      <c r="BP715" t="s">
        <v>74</v>
      </c>
      <c r="BQ715" t="s">
        <v>74</v>
      </c>
      <c r="BR715" t="s">
        <v>106</v>
      </c>
      <c r="BS715" t="s">
        <v>14014</v>
      </c>
      <c r="BT715" t="str">
        <f>HYPERLINK("https%3A%2F%2Fwww.webofscience.com%2Fwos%2Fwoscc%2Ffull-record%2FWOS:000953455200001","View Full Record in Web of Science")</f>
        <v>View Full Record in Web of Science</v>
      </c>
    </row>
    <row r="716" spans="1:72" x14ac:dyDescent="0.15">
      <c r="A716" t="s">
        <v>72</v>
      </c>
      <c r="B716" t="s">
        <v>14015</v>
      </c>
      <c r="C716" t="s">
        <v>74</v>
      </c>
      <c r="D716" t="s">
        <v>74</v>
      </c>
      <c r="E716" t="s">
        <v>74</v>
      </c>
      <c r="F716" t="s">
        <v>14016</v>
      </c>
      <c r="G716" t="s">
        <v>74</v>
      </c>
      <c r="H716" t="s">
        <v>74</v>
      </c>
      <c r="I716" t="s">
        <v>14017</v>
      </c>
      <c r="J716" t="s">
        <v>12653</v>
      </c>
      <c r="K716" t="s">
        <v>74</v>
      </c>
      <c r="L716" t="s">
        <v>74</v>
      </c>
      <c r="M716" t="s">
        <v>78</v>
      </c>
      <c r="N716" t="s">
        <v>112</v>
      </c>
      <c r="O716" t="s">
        <v>74</v>
      </c>
      <c r="P716" t="s">
        <v>74</v>
      </c>
      <c r="Q716" t="s">
        <v>74</v>
      </c>
      <c r="R716" t="s">
        <v>74</v>
      </c>
      <c r="S716" t="s">
        <v>74</v>
      </c>
      <c r="T716" t="s">
        <v>14018</v>
      </c>
      <c r="U716" t="s">
        <v>14019</v>
      </c>
      <c r="V716" t="s">
        <v>14020</v>
      </c>
      <c r="W716" t="s">
        <v>14021</v>
      </c>
      <c r="X716" t="s">
        <v>14022</v>
      </c>
      <c r="Y716" t="s">
        <v>14023</v>
      </c>
      <c r="Z716" t="s">
        <v>7821</v>
      </c>
      <c r="AA716" t="s">
        <v>14024</v>
      </c>
      <c r="AB716" t="s">
        <v>14025</v>
      </c>
      <c r="AC716" t="s">
        <v>14026</v>
      </c>
      <c r="AD716" t="s">
        <v>14027</v>
      </c>
      <c r="AE716" t="s">
        <v>14028</v>
      </c>
      <c r="AF716" t="s">
        <v>74</v>
      </c>
      <c r="AG716">
        <v>43</v>
      </c>
      <c r="AH716">
        <v>1</v>
      </c>
      <c r="AI716">
        <v>1</v>
      </c>
      <c r="AJ716">
        <v>0</v>
      </c>
      <c r="AK716">
        <v>10</v>
      </c>
      <c r="AL716" t="s">
        <v>2092</v>
      </c>
      <c r="AM716" t="s">
        <v>2093</v>
      </c>
      <c r="AN716" t="s">
        <v>2094</v>
      </c>
      <c r="AO716" t="s">
        <v>12666</v>
      </c>
      <c r="AP716" t="s">
        <v>74</v>
      </c>
      <c r="AQ716" t="s">
        <v>74</v>
      </c>
      <c r="AR716" t="s">
        <v>12667</v>
      </c>
      <c r="AS716" t="s">
        <v>12668</v>
      </c>
      <c r="AT716" t="s">
        <v>8042</v>
      </c>
      <c r="AU716">
        <v>2023</v>
      </c>
      <c r="AV716">
        <v>16</v>
      </c>
      <c r="AW716">
        <v>2</v>
      </c>
      <c r="AX716" t="s">
        <v>74</v>
      </c>
      <c r="AY716" t="s">
        <v>74</v>
      </c>
      <c r="AZ716" t="s">
        <v>74</v>
      </c>
      <c r="BA716" t="s">
        <v>74</v>
      </c>
      <c r="BB716" t="s">
        <v>74</v>
      </c>
      <c r="BC716" t="s">
        <v>74</v>
      </c>
      <c r="BD716" t="s">
        <v>74</v>
      </c>
      <c r="BE716" t="s">
        <v>14029</v>
      </c>
      <c r="BF716" t="str">
        <f>HYPERLINK("http://dx.doi.org/10.1111/conl.12941","http://dx.doi.org/10.1111/conl.12941")</f>
        <v>http://dx.doi.org/10.1111/conl.12941</v>
      </c>
      <c r="BG716" t="s">
        <v>74</v>
      </c>
      <c r="BH716" t="s">
        <v>11628</v>
      </c>
      <c r="BI716">
        <v>7</v>
      </c>
      <c r="BJ716" t="s">
        <v>1139</v>
      </c>
      <c r="BK716" t="s">
        <v>103</v>
      </c>
      <c r="BL716" t="s">
        <v>1140</v>
      </c>
      <c r="BM716" t="s">
        <v>12670</v>
      </c>
      <c r="BN716" t="s">
        <v>74</v>
      </c>
      <c r="BO716" t="s">
        <v>614</v>
      </c>
      <c r="BP716" t="s">
        <v>74</v>
      </c>
      <c r="BQ716" t="s">
        <v>74</v>
      </c>
      <c r="BR716" t="s">
        <v>106</v>
      </c>
      <c r="BS716" t="s">
        <v>14030</v>
      </c>
      <c r="BT716" t="str">
        <f>HYPERLINK("https%3A%2F%2Fwww.webofscience.com%2Fwos%2Fwoscc%2Ffull-record%2FWOS:000930955800001","View Full Record in Web of Science")</f>
        <v>View Full Record in Web of Science</v>
      </c>
    </row>
    <row r="717" spans="1:72" x14ac:dyDescent="0.15">
      <c r="A717" t="s">
        <v>72</v>
      </c>
      <c r="B717" t="s">
        <v>14031</v>
      </c>
      <c r="C717" t="s">
        <v>74</v>
      </c>
      <c r="D717" t="s">
        <v>74</v>
      </c>
      <c r="E717" t="s">
        <v>74</v>
      </c>
      <c r="F717" t="s">
        <v>14032</v>
      </c>
      <c r="G717" t="s">
        <v>74</v>
      </c>
      <c r="H717" t="s">
        <v>74</v>
      </c>
      <c r="I717" t="s">
        <v>14033</v>
      </c>
      <c r="J717" t="s">
        <v>487</v>
      </c>
      <c r="K717" t="s">
        <v>74</v>
      </c>
      <c r="L717" t="s">
        <v>74</v>
      </c>
      <c r="M717" t="s">
        <v>78</v>
      </c>
      <c r="N717" t="s">
        <v>112</v>
      </c>
      <c r="O717" t="s">
        <v>74</v>
      </c>
      <c r="P717" t="s">
        <v>74</v>
      </c>
      <c r="Q717" t="s">
        <v>74</v>
      </c>
      <c r="R717" t="s">
        <v>74</v>
      </c>
      <c r="S717" t="s">
        <v>74</v>
      </c>
      <c r="T717" t="s">
        <v>14034</v>
      </c>
      <c r="U717" t="s">
        <v>14035</v>
      </c>
      <c r="V717" t="s">
        <v>14036</v>
      </c>
      <c r="W717" t="s">
        <v>14037</v>
      </c>
      <c r="X717" t="s">
        <v>14038</v>
      </c>
      <c r="Y717" t="s">
        <v>14039</v>
      </c>
      <c r="Z717" t="s">
        <v>14040</v>
      </c>
      <c r="AA717" t="s">
        <v>74</v>
      </c>
      <c r="AB717" t="s">
        <v>74</v>
      </c>
      <c r="AC717" t="s">
        <v>14041</v>
      </c>
      <c r="AD717" t="s">
        <v>14042</v>
      </c>
      <c r="AE717" t="s">
        <v>14043</v>
      </c>
      <c r="AF717" t="s">
        <v>74</v>
      </c>
      <c r="AG717">
        <v>90</v>
      </c>
      <c r="AH717">
        <v>1</v>
      </c>
      <c r="AI717">
        <v>1</v>
      </c>
      <c r="AJ717">
        <v>3</v>
      </c>
      <c r="AK717">
        <v>13</v>
      </c>
      <c r="AL717" t="s">
        <v>500</v>
      </c>
      <c r="AM717" t="s">
        <v>501</v>
      </c>
      <c r="AN717" t="s">
        <v>502</v>
      </c>
      <c r="AO717" t="s">
        <v>503</v>
      </c>
      <c r="AP717" t="s">
        <v>504</v>
      </c>
      <c r="AQ717" t="s">
        <v>74</v>
      </c>
      <c r="AR717" t="s">
        <v>505</v>
      </c>
      <c r="AS717" t="s">
        <v>506</v>
      </c>
      <c r="AT717" t="s">
        <v>1437</v>
      </c>
      <c r="AU717">
        <v>2023</v>
      </c>
      <c r="AV717">
        <v>40</v>
      </c>
      <c r="AW717">
        <v>4</v>
      </c>
      <c r="AX717" t="s">
        <v>74</v>
      </c>
      <c r="AY717" t="s">
        <v>74</v>
      </c>
      <c r="AZ717" t="s">
        <v>74</v>
      </c>
      <c r="BA717" t="s">
        <v>74</v>
      </c>
      <c r="BB717">
        <v>619</v>
      </c>
      <c r="BC717">
        <v>633</v>
      </c>
      <c r="BD717" t="s">
        <v>74</v>
      </c>
      <c r="BE717" t="s">
        <v>14044</v>
      </c>
      <c r="BF717" t="str">
        <f>HYPERLINK("http://dx.doi.org/10.1007/s00376-022-2047-9","http://dx.doi.org/10.1007/s00376-022-2047-9")</f>
        <v>http://dx.doi.org/10.1007/s00376-022-2047-9</v>
      </c>
      <c r="BG717" t="s">
        <v>74</v>
      </c>
      <c r="BH717" t="s">
        <v>11628</v>
      </c>
      <c r="BI717">
        <v>15</v>
      </c>
      <c r="BJ717" t="s">
        <v>102</v>
      </c>
      <c r="BK717" t="s">
        <v>103</v>
      </c>
      <c r="BL717" t="s">
        <v>102</v>
      </c>
      <c r="BM717" t="s">
        <v>14045</v>
      </c>
      <c r="BN717" t="s">
        <v>74</v>
      </c>
      <c r="BO717" t="s">
        <v>74</v>
      </c>
      <c r="BP717" t="s">
        <v>74</v>
      </c>
      <c r="BQ717" t="s">
        <v>74</v>
      </c>
      <c r="BR717" t="s">
        <v>106</v>
      </c>
      <c r="BS717" t="s">
        <v>14046</v>
      </c>
      <c r="BT717" t="str">
        <f>HYPERLINK("https%3A%2F%2Fwww.webofscience.com%2Fwos%2Fwoscc%2Ffull-record%2FWOS:000929305000005","View Full Record in Web of Science")</f>
        <v>View Full Record in Web of Science</v>
      </c>
    </row>
    <row r="718" spans="1:72" x14ac:dyDescent="0.15">
      <c r="A718" t="s">
        <v>72</v>
      </c>
      <c r="B718" t="s">
        <v>14047</v>
      </c>
      <c r="C718" t="s">
        <v>74</v>
      </c>
      <c r="D718" t="s">
        <v>74</v>
      </c>
      <c r="E718" t="s">
        <v>74</v>
      </c>
      <c r="F718" t="s">
        <v>14048</v>
      </c>
      <c r="G718" t="s">
        <v>74</v>
      </c>
      <c r="H718" t="s">
        <v>74</v>
      </c>
      <c r="I718" t="s">
        <v>14049</v>
      </c>
      <c r="J718" t="s">
        <v>14050</v>
      </c>
      <c r="K718" t="s">
        <v>74</v>
      </c>
      <c r="L718" t="s">
        <v>74</v>
      </c>
      <c r="M718" t="s">
        <v>78</v>
      </c>
      <c r="N718" t="s">
        <v>112</v>
      </c>
      <c r="O718" t="s">
        <v>74</v>
      </c>
      <c r="P718" t="s">
        <v>74</v>
      </c>
      <c r="Q718" t="s">
        <v>74</v>
      </c>
      <c r="R718" t="s">
        <v>74</v>
      </c>
      <c r="S718" t="s">
        <v>74</v>
      </c>
      <c r="T718" t="s">
        <v>74</v>
      </c>
      <c r="U718" t="s">
        <v>14051</v>
      </c>
      <c r="V718" t="s">
        <v>14052</v>
      </c>
      <c r="W718" t="s">
        <v>14053</v>
      </c>
      <c r="X718" t="s">
        <v>14054</v>
      </c>
      <c r="Y718" t="s">
        <v>14055</v>
      </c>
      <c r="Z718" t="s">
        <v>14056</v>
      </c>
      <c r="AA718" t="s">
        <v>74</v>
      </c>
      <c r="AB718" t="s">
        <v>14057</v>
      </c>
      <c r="AC718" t="s">
        <v>14058</v>
      </c>
      <c r="AD718" t="s">
        <v>14059</v>
      </c>
      <c r="AE718" t="s">
        <v>14060</v>
      </c>
      <c r="AF718" t="s">
        <v>74</v>
      </c>
      <c r="AG718">
        <v>75</v>
      </c>
      <c r="AH718">
        <v>1</v>
      </c>
      <c r="AI718">
        <v>1</v>
      </c>
      <c r="AJ718">
        <v>10</v>
      </c>
      <c r="AK718">
        <v>17</v>
      </c>
      <c r="AL718" t="s">
        <v>1101</v>
      </c>
      <c r="AM718" t="s">
        <v>179</v>
      </c>
      <c r="AN718" t="s">
        <v>1543</v>
      </c>
      <c r="AO718" t="s">
        <v>14061</v>
      </c>
      <c r="AP718" t="s">
        <v>14062</v>
      </c>
      <c r="AQ718" t="s">
        <v>74</v>
      </c>
      <c r="AR718" t="s">
        <v>14063</v>
      </c>
      <c r="AS718" t="s">
        <v>14064</v>
      </c>
      <c r="AT718" t="s">
        <v>8042</v>
      </c>
      <c r="AU718">
        <v>2023</v>
      </c>
      <c r="AV718">
        <v>97</v>
      </c>
      <c r="AW718">
        <v>2</v>
      </c>
      <c r="AX718" t="s">
        <v>74</v>
      </c>
      <c r="AY718" t="s">
        <v>74</v>
      </c>
      <c r="AZ718" t="s">
        <v>74</v>
      </c>
      <c r="BA718" t="s">
        <v>74</v>
      </c>
      <c r="BB718">
        <v>434</v>
      </c>
      <c r="BC718">
        <v>453</v>
      </c>
      <c r="BD718" t="s">
        <v>14065</v>
      </c>
      <c r="BE718" t="s">
        <v>14066</v>
      </c>
      <c r="BF718" t="str">
        <f>HYPERLINK("http://dx.doi.org/10.1017/jpa.2022.88","http://dx.doi.org/10.1017/jpa.2022.88")</f>
        <v>http://dx.doi.org/10.1017/jpa.2022.88</v>
      </c>
      <c r="BG718" t="s">
        <v>74</v>
      </c>
      <c r="BH718" t="s">
        <v>11628</v>
      </c>
      <c r="BI718">
        <v>20</v>
      </c>
      <c r="BJ718" t="s">
        <v>2970</v>
      </c>
      <c r="BK718" t="s">
        <v>103</v>
      </c>
      <c r="BL718" t="s">
        <v>2970</v>
      </c>
      <c r="BM718" t="s">
        <v>14067</v>
      </c>
      <c r="BN718" t="s">
        <v>74</v>
      </c>
      <c r="BO718" t="s">
        <v>1389</v>
      </c>
      <c r="BP718" t="s">
        <v>74</v>
      </c>
      <c r="BQ718" t="s">
        <v>74</v>
      </c>
      <c r="BR718" t="s">
        <v>106</v>
      </c>
      <c r="BS718" t="s">
        <v>14068</v>
      </c>
      <c r="BT718" t="str">
        <f>HYPERLINK("https%3A%2F%2Fwww.webofscience.com%2Fwos%2Fwoscc%2Ffull-record%2FWOS:000929155500001","View Full Record in Web of Science")</f>
        <v>View Full Record in Web of Science</v>
      </c>
    </row>
    <row r="719" spans="1:72" x14ac:dyDescent="0.15">
      <c r="A719" t="s">
        <v>72</v>
      </c>
      <c r="B719" t="s">
        <v>14069</v>
      </c>
      <c r="C719" t="s">
        <v>74</v>
      </c>
      <c r="D719" t="s">
        <v>74</v>
      </c>
      <c r="E719" t="s">
        <v>74</v>
      </c>
      <c r="F719" t="s">
        <v>14070</v>
      </c>
      <c r="G719" t="s">
        <v>74</v>
      </c>
      <c r="H719" t="s">
        <v>74</v>
      </c>
      <c r="I719" t="s">
        <v>14071</v>
      </c>
      <c r="J719" t="s">
        <v>1685</v>
      </c>
      <c r="K719" t="s">
        <v>74</v>
      </c>
      <c r="L719" t="s">
        <v>74</v>
      </c>
      <c r="M719" t="s">
        <v>78</v>
      </c>
      <c r="N719" t="s">
        <v>112</v>
      </c>
      <c r="O719" t="s">
        <v>74</v>
      </c>
      <c r="P719" t="s">
        <v>74</v>
      </c>
      <c r="Q719" t="s">
        <v>74</v>
      </c>
      <c r="R719" t="s">
        <v>74</v>
      </c>
      <c r="S719" t="s">
        <v>74</v>
      </c>
      <c r="T719" t="s">
        <v>74</v>
      </c>
      <c r="U719" t="s">
        <v>14072</v>
      </c>
      <c r="V719" t="s">
        <v>14073</v>
      </c>
      <c r="W719" t="s">
        <v>14074</v>
      </c>
      <c r="X719" t="s">
        <v>14075</v>
      </c>
      <c r="Y719" t="s">
        <v>14076</v>
      </c>
      <c r="Z719" t="s">
        <v>14077</v>
      </c>
      <c r="AA719" t="s">
        <v>14078</v>
      </c>
      <c r="AB719" t="s">
        <v>14079</v>
      </c>
      <c r="AC719" t="s">
        <v>14080</v>
      </c>
      <c r="AD719" t="s">
        <v>14081</v>
      </c>
      <c r="AE719" t="s">
        <v>14082</v>
      </c>
      <c r="AF719" t="s">
        <v>74</v>
      </c>
      <c r="AG719">
        <v>85</v>
      </c>
      <c r="AH719">
        <v>15</v>
      </c>
      <c r="AI719">
        <v>16</v>
      </c>
      <c r="AJ719">
        <v>25</v>
      </c>
      <c r="AK719">
        <v>55</v>
      </c>
      <c r="AL719" t="s">
        <v>203</v>
      </c>
      <c r="AM719" t="s">
        <v>204</v>
      </c>
      <c r="AN719" t="s">
        <v>205</v>
      </c>
      <c r="AO719" t="s">
        <v>74</v>
      </c>
      <c r="AP719" t="s">
        <v>1696</v>
      </c>
      <c r="AQ719" t="s">
        <v>74</v>
      </c>
      <c r="AR719" t="s">
        <v>1697</v>
      </c>
      <c r="AS719" t="s">
        <v>1698</v>
      </c>
      <c r="AT719" t="s">
        <v>14083</v>
      </c>
      <c r="AU719">
        <v>2023</v>
      </c>
      <c r="AV719">
        <v>14</v>
      </c>
      <c r="AW719">
        <v>1</v>
      </c>
      <c r="AX719" t="s">
        <v>74</v>
      </c>
      <c r="AY719" t="s">
        <v>74</v>
      </c>
      <c r="AZ719" t="s">
        <v>74</v>
      </c>
      <c r="BA719" t="s">
        <v>74</v>
      </c>
      <c r="BB719" t="s">
        <v>74</v>
      </c>
      <c r="BC719" t="s">
        <v>74</v>
      </c>
      <c r="BD719">
        <v>674</v>
      </c>
      <c r="BE719" t="s">
        <v>14084</v>
      </c>
      <c r="BF719" t="str">
        <f>HYPERLINK("http://dx.doi.org/10.1038/s41467-023-36216-6","http://dx.doi.org/10.1038/s41467-023-36216-6")</f>
        <v>http://dx.doi.org/10.1038/s41467-023-36216-6</v>
      </c>
      <c r="BG719" t="s">
        <v>74</v>
      </c>
      <c r="BH719" t="s">
        <v>74</v>
      </c>
      <c r="BI719">
        <v>13</v>
      </c>
      <c r="BJ719" t="s">
        <v>210</v>
      </c>
      <c r="BK719" t="s">
        <v>103</v>
      </c>
      <c r="BL719" t="s">
        <v>211</v>
      </c>
      <c r="BM719" t="s">
        <v>14085</v>
      </c>
      <c r="BN719">
        <v>36750574</v>
      </c>
      <c r="BO719" t="s">
        <v>14086</v>
      </c>
      <c r="BP719" t="s">
        <v>74</v>
      </c>
      <c r="BQ719" t="s">
        <v>74</v>
      </c>
      <c r="BR719" t="s">
        <v>106</v>
      </c>
      <c r="BS719" t="s">
        <v>14087</v>
      </c>
      <c r="BT719" t="str">
        <f>HYPERLINK("https%3A%2F%2Fwww.webofscience.com%2Fwos%2Fwoscc%2Ffull-record%2FWOS:001035860000001","View Full Record in Web of Science")</f>
        <v>View Full Record in Web of Science</v>
      </c>
    </row>
    <row r="720" spans="1:72" x14ac:dyDescent="0.15">
      <c r="A720" t="s">
        <v>72</v>
      </c>
      <c r="B720" t="s">
        <v>14088</v>
      </c>
      <c r="C720" t="s">
        <v>74</v>
      </c>
      <c r="D720" t="s">
        <v>74</v>
      </c>
      <c r="E720" t="s">
        <v>74</v>
      </c>
      <c r="F720" t="s">
        <v>14089</v>
      </c>
      <c r="G720" t="s">
        <v>74</v>
      </c>
      <c r="H720" t="s">
        <v>74</v>
      </c>
      <c r="I720" t="s">
        <v>14090</v>
      </c>
      <c r="J720" t="s">
        <v>14091</v>
      </c>
      <c r="K720" t="s">
        <v>74</v>
      </c>
      <c r="L720" t="s">
        <v>74</v>
      </c>
      <c r="M720" t="s">
        <v>78</v>
      </c>
      <c r="N720" t="s">
        <v>112</v>
      </c>
      <c r="O720" t="s">
        <v>74</v>
      </c>
      <c r="P720" t="s">
        <v>74</v>
      </c>
      <c r="Q720" t="s">
        <v>74</v>
      </c>
      <c r="R720" t="s">
        <v>74</v>
      </c>
      <c r="S720" t="s">
        <v>74</v>
      </c>
      <c r="T720" t="s">
        <v>14092</v>
      </c>
      <c r="U720" t="s">
        <v>14093</v>
      </c>
      <c r="V720" t="s">
        <v>14094</v>
      </c>
      <c r="W720" t="s">
        <v>14095</v>
      </c>
      <c r="X720" t="s">
        <v>74</v>
      </c>
      <c r="Y720" t="s">
        <v>14096</v>
      </c>
      <c r="Z720" t="s">
        <v>14097</v>
      </c>
      <c r="AA720" t="s">
        <v>74</v>
      </c>
      <c r="AB720" t="s">
        <v>74</v>
      </c>
      <c r="AC720" t="s">
        <v>14098</v>
      </c>
      <c r="AD720" t="s">
        <v>14099</v>
      </c>
      <c r="AE720" t="s">
        <v>14100</v>
      </c>
      <c r="AF720" t="s">
        <v>74</v>
      </c>
      <c r="AG720">
        <v>107</v>
      </c>
      <c r="AH720">
        <v>4</v>
      </c>
      <c r="AI720">
        <v>4</v>
      </c>
      <c r="AJ720">
        <v>3</v>
      </c>
      <c r="AK720">
        <v>7</v>
      </c>
      <c r="AL720" t="s">
        <v>447</v>
      </c>
      <c r="AM720" t="s">
        <v>448</v>
      </c>
      <c r="AN720" t="s">
        <v>449</v>
      </c>
      <c r="AO720" t="s">
        <v>14101</v>
      </c>
      <c r="AP720" t="s">
        <v>14102</v>
      </c>
      <c r="AQ720" t="s">
        <v>74</v>
      </c>
      <c r="AR720" t="s">
        <v>14103</v>
      </c>
      <c r="AS720" t="s">
        <v>14104</v>
      </c>
      <c r="AT720" t="s">
        <v>232</v>
      </c>
      <c r="AU720">
        <v>2023</v>
      </c>
      <c r="AV720">
        <v>262</v>
      </c>
      <c r="AW720" t="s">
        <v>74</v>
      </c>
      <c r="AX720" t="s">
        <v>74</v>
      </c>
      <c r="AY720" t="s">
        <v>74</v>
      </c>
      <c r="AZ720" t="s">
        <v>74</v>
      </c>
      <c r="BA720" t="s">
        <v>74</v>
      </c>
      <c r="BB720" t="s">
        <v>74</v>
      </c>
      <c r="BC720" t="s">
        <v>74</v>
      </c>
      <c r="BD720">
        <v>106647</v>
      </c>
      <c r="BE720" t="s">
        <v>14105</v>
      </c>
      <c r="BF720" t="str">
        <f>HYPERLINK("http://dx.doi.org/10.1016/j.fishres.2023.106647","http://dx.doi.org/10.1016/j.fishres.2023.106647")</f>
        <v>http://dx.doi.org/10.1016/j.fishres.2023.106647</v>
      </c>
      <c r="BG720" t="s">
        <v>74</v>
      </c>
      <c r="BH720" t="s">
        <v>11628</v>
      </c>
      <c r="BI720">
        <v>15</v>
      </c>
      <c r="BJ720" t="s">
        <v>3222</v>
      </c>
      <c r="BK720" t="s">
        <v>103</v>
      </c>
      <c r="BL720" t="s">
        <v>3222</v>
      </c>
      <c r="BM720" t="s">
        <v>14106</v>
      </c>
      <c r="BN720" t="s">
        <v>74</v>
      </c>
      <c r="BO720" t="s">
        <v>74</v>
      </c>
      <c r="BP720" t="s">
        <v>74</v>
      </c>
      <c r="BQ720" t="s">
        <v>74</v>
      </c>
      <c r="BR720" t="s">
        <v>106</v>
      </c>
      <c r="BS720" t="s">
        <v>14107</v>
      </c>
      <c r="BT720" t="str">
        <f>HYPERLINK("https%3A%2F%2Fwww.webofscience.com%2Fwos%2Fwoscc%2Ffull-record%2FWOS:000963958800001","View Full Record in Web of Science")</f>
        <v>View Full Record in Web of Science</v>
      </c>
    </row>
    <row r="721" spans="1:72" x14ac:dyDescent="0.15">
      <c r="A721" t="s">
        <v>72</v>
      </c>
      <c r="B721" t="s">
        <v>14108</v>
      </c>
      <c r="C721" t="s">
        <v>74</v>
      </c>
      <c r="D721" t="s">
        <v>74</v>
      </c>
      <c r="E721" t="s">
        <v>74</v>
      </c>
      <c r="F721" t="s">
        <v>14109</v>
      </c>
      <c r="G721" t="s">
        <v>74</v>
      </c>
      <c r="H721" t="s">
        <v>74</v>
      </c>
      <c r="I721" t="s">
        <v>14110</v>
      </c>
      <c r="J721" t="s">
        <v>14111</v>
      </c>
      <c r="K721" t="s">
        <v>74</v>
      </c>
      <c r="L721" t="s">
        <v>74</v>
      </c>
      <c r="M721" t="s">
        <v>78</v>
      </c>
      <c r="N721" t="s">
        <v>112</v>
      </c>
      <c r="O721" t="s">
        <v>74</v>
      </c>
      <c r="P721" t="s">
        <v>74</v>
      </c>
      <c r="Q721" t="s">
        <v>74</v>
      </c>
      <c r="R721" t="s">
        <v>74</v>
      </c>
      <c r="S721" t="s">
        <v>74</v>
      </c>
      <c r="T721" t="s">
        <v>74</v>
      </c>
      <c r="U721" t="s">
        <v>14112</v>
      </c>
      <c r="V721" t="s">
        <v>14113</v>
      </c>
      <c r="W721" t="s">
        <v>14114</v>
      </c>
      <c r="X721" t="s">
        <v>14115</v>
      </c>
      <c r="Y721" t="s">
        <v>14116</v>
      </c>
      <c r="Z721" t="s">
        <v>14117</v>
      </c>
      <c r="AA721" t="s">
        <v>14118</v>
      </c>
      <c r="AB721" t="s">
        <v>14119</v>
      </c>
      <c r="AC721" t="s">
        <v>74</v>
      </c>
      <c r="AD721" t="s">
        <v>74</v>
      </c>
      <c r="AE721" t="s">
        <v>74</v>
      </c>
      <c r="AF721" t="s">
        <v>74</v>
      </c>
      <c r="AG721">
        <v>25</v>
      </c>
      <c r="AH721">
        <v>0</v>
      </c>
      <c r="AI721">
        <v>0</v>
      </c>
      <c r="AJ721">
        <v>4</v>
      </c>
      <c r="AK721">
        <v>7</v>
      </c>
      <c r="AL721" t="s">
        <v>2092</v>
      </c>
      <c r="AM721" t="s">
        <v>2093</v>
      </c>
      <c r="AN721" t="s">
        <v>2094</v>
      </c>
      <c r="AO721" t="s">
        <v>14120</v>
      </c>
      <c r="AP721" t="s">
        <v>14121</v>
      </c>
      <c r="AQ721" t="s">
        <v>74</v>
      </c>
      <c r="AR721" t="s">
        <v>14122</v>
      </c>
      <c r="AS721" t="s">
        <v>14123</v>
      </c>
      <c r="AT721" t="s">
        <v>14083</v>
      </c>
      <c r="AU721">
        <v>2023</v>
      </c>
      <c r="AV721">
        <v>2023</v>
      </c>
      <c r="AW721" t="s">
        <v>74</v>
      </c>
      <c r="AX721" t="s">
        <v>74</v>
      </c>
      <c r="AY721" t="s">
        <v>74</v>
      </c>
      <c r="AZ721" t="s">
        <v>74</v>
      </c>
      <c r="BA721" t="s">
        <v>74</v>
      </c>
      <c r="BB721" t="s">
        <v>74</v>
      </c>
      <c r="BC721" t="s">
        <v>74</v>
      </c>
      <c r="BD721">
        <v>4001633</v>
      </c>
      <c r="BE721" t="s">
        <v>14124</v>
      </c>
      <c r="BF721" t="str">
        <f>HYPERLINK("http://dx.doi.org/10.1155/2023/4001633","http://dx.doi.org/10.1155/2023/4001633")</f>
        <v>http://dx.doi.org/10.1155/2023/4001633</v>
      </c>
      <c r="BG721" t="s">
        <v>74</v>
      </c>
      <c r="BH721" t="s">
        <v>74</v>
      </c>
      <c r="BI721">
        <v>9</v>
      </c>
      <c r="BJ721" t="s">
        <v>3222</v>
      </c>
      <c r="BK721" t="s">
        <v>103</v>
      </c>
      <c r="BL721" t="s">
        <v>3222</v>
      </c>
      <c r="BM721" t="s">
        <v>14125</v>
      </c>
      <c r="BN721" t="s">
        <v>74</v>
      </c>
      <c r="BO721" t="s">
        <v>359</v>
      </c>
      <c r="BP721" t="s">
        <v>74</v>
      </c>
      <c r="BQ721" t="s">
        <v>74</v>
      </c>
      <c r="BR721" t="s">
        <v>106</v>
      </c>
      <c r="BS721" t="s">
        <v>14126</v>
      </c>
      <c r="BT721" t="str">
        <f>HYPERLINK("https%3A%2F%2Fwww.webofscience.com%2Fwos%2Fwoscc%2Ffull-record%2FWOS:000935371700001","View Full Record in Web of Science")</f>
        <v>View Full Record in Web of Science</v>
      </c>
    </row>
    <row r="722" spans="1:72" x14ac:dyDescent="0.15">
      <c r="A722" t="s">
        <v>72</v>
      </c>
      <c r="B722" t="s">
        <v>14127</v>
      </c>
      <c r="C722" t="s">
        <v>74</v>
      </c>
      <c r="D722" t="s">
        <v>74</v>
      </c>
      <c r="E722" t="s">
        <v>74</v>
      </c>
      <c r="F722" t="s">
        <v>14128</v>
      </c>
      <c r="G722" t="s">
        <v>74</v>
      </c>
      <c r="H722" t="s">
        <v>74</v>
      </c>
      <c r="I722" t="s">
        <v>14129</v>
      </c>
      <c r="J722" t="s">
        <v>1946</v>
      </c>
      <c r="K722" t="s">
        <v>74</v>
      </c>
      <c r="L722" t="s">
        <v>74</v>
      </c>
      <c r="M722" t="s">
        <v>78</v>
      </c>
      <c r="N722" t="s">
        <v>112</v>
      </c>
      <c r="O722" t="s">
        <v>74</v>
      </c>
      <c r="P722" t="s">
        <v>74</v>
      </c>
      <c r="Q722" t="s">
        <v>74</v>
      </c>
      <c r="R722" t="s">
        <v>74</v>
      </c>
      <c r="S722" t="s">
        <v>74</v>
      </c>
      <c r="T722" t="s">
        <v>14130</v>
      </c>
      <c r="U722" t="s">
        <v>14131</v>
      </c>
      <c r="V722" t="s">
        <v>14132</v>
      </c>
      <c r="W722" t="s">
        <v>14133</v>
      </c>
      <c r="X722" t="s">
        <v>14134</v>
      </c>
      <c r="Y722" t="s">
        <v>14135</v>
      </c>
      <c r="Z722" t="s">
        <v>14136</v>
      </c>
      <c r="AA722" t="s">
        <v>14137</v>
      </c>
      <c r="AB722" t="s">
        <v>14138</v>
      </c>
      <c r="AC722" t="s">
        <v>14139</v>
      </c>
      <c r="AD722" t="s">
        <v>14140</v>
      </c>
      <c r="AE722" t="s">
        <v>14141</v>
      </c>
      <c r="AF722" t="s">
        <v>74</v>
      </c>
      <c r="AG722">
        <v>121</v>
      </c>
      <c r="AH722">
        <v>2</v>
      </c>
      <c r="AI722">
        <v>2</v>
      </c>
      <c r="AJ722">
        <v>5</v>
      </c>
      <c r="AK722">
        <v>13</v>
      </c>
      <c r="AL722" t="s">
        <v>447</v>
      </c>
      <c r="AM722" t="s">
        <v>448</v>
      </c>
      <c r="AN722" t="s">
        <v>449</v>
      </c>
      <c r="AO722" t="s">
        <v>1956</v>
      </c>
      <c r="AP722" t="s">
        <v>1957</v>
      </c>
      <c r="AQ722" t="s">
        <v>74</v>
      </c>
      <c r="AR722" t="s">
        <v>1958</v>
      </c>
      <c r="AS722" t="s">
        <v>1959</v>
      </c>
      <c r="AT722" t="s">
        <v>8042</v>
      </c>
      <c r="AU722">
        <v>2023</v>
      </c>
      <c r="AV722">
        <v>222</v>
      </c>
      <c r="AW722" t="s">
        <v>74</v>
      </c>
      <c r="AX722" t="s">
        <v>74</v>
      </c>
      <c r="AY722" t="s">
        <v>74</v>
      </c>
      <c r="AZ722" t="s">
        <v>74</v>
      </c>
      <c r="BA722" t="s">
        <v>74</v>
      </c>
      <c r="BB722" t="s">
        <v>74</v>
      </c>
      <c r="BC722" t="s">
        <v>74</v>
      </c>
      <c r="BD722">
        <v>104050</v>
      </c>
      <c r="BE722" t="s">
        <v>14142</v>
      </c>
      <c r="BF722" t="str">
        <f>HYPERLINK("http://dx.doi.org/10.1016/j.gloplacha.2023.104050","http://dx.doi.org/10.1016/j.gloplacha.2023.104050")</f>
        <v>http://dx.doi.org/10.1016/j.gloplacha.2023.104050</v>
      </c>
      <c r="BG722" t="s">
        <v>74</v>
      </c>
      <c r="BH722" t="s">
        <v>11628</v>
      </c>
      <c r="BI722">
        <v>14</v>
      </c>
      <c r="BJ722" t="s">
        <v>801</v>
      </c>
      <c r="BK722" t="s">
        <v>103</v>
      </c>
      <c r="BL722" t="s">
        <v>802</v>
      </c>
      <c r="BM722" t="s">
        <v>14143</v>
      </c>
      <c r="BN722" t="s">
        <v>74</v>
      </c>
      <c r="BO722" t="s">
        <v>3871</v>
      </c>
      <c r="BP722" t="s">
        <v>74</v>
      </c>
      <c r="BQ722" t="s">
        <v>74</v>
      </c>
      <c r="BR722" t="s">
        <v>106</v>
      </c>
      <c r="BS722" t="s">
        <v>14144</v>
      </c>
      <c r="BT722" t="str">
        <f>HYPERLINK("https%3A%2F%2Fwww.webofscience.com%2Fwos%2Fwoscc%2Ffull-record%2FWOS:000931620700001","View Full Record in Web of Science")</f>
        <v>View Full Record in Web of Science</v>
      </c>
    </row>
    <row r="723" spans="1:72" x14ac:dyDescent="0.15">
      <c r="A723" t="s">
        <v>72</v>
      </c>
      <c r="B723" t="s">
        <v>14145</v>
      </c>
      <c r="C723" t="s">
        <v>74</v>
      </c>
      <c r="D723" t="s">
        <v>74</v>
      </c>
      <c r="E723" t="s">
        <v>74</v>
      </c>
      <c r="F723" t="s">
        <v>14146</v>
      </c>
      <c r="G723" t="s">
        <v>74</v>
      </c>
      <c r="H723" t="s">
        <v>74</v>
      </c>
      <c r="I723" t="s">
        <v>14147</v>
      </c>
      <c r="J723" t="s">
        <v>2307</v>
      </c>
      <c r="K723" t="s">
        <v>74</v>
      </c>
      <c r="L723" t="s">
        <v>74</v>
      </c>
      <c r="M723" t="s">
        <v>78</v>
      </c>
      <c r="N723" t="s">
        <v>112</v>
      </c>
      <c r="O723" t="s">
        <v>74</v>
      </c>
      <c r="P723" t="s">
        <v>74</v>
      </c>
      <c r="Q723" t="s">
        <v>74</v>
      </c>
      <c r="R723" t="s">
        <v>74</v>
      </c>
      <c r="S723" t="s">
        <v>74</v>
      </c>
      <c r="T723" t="s">
        <v>14148</v>
      </c>
      <c r="U723" t="s">
        <v>14149</v>
      </c>
      <c r="V723" t="s">
        <v>14150</v>
      </c>
      <c r="W723" t="s">
        <v>14151</v>
      </c>
      <c r="X723" t="s">
        <v>14152</v>
      </c>
      <c r="Y723" t="s">
        <v>14153</v>
      </c>
      <c r="Z723" t="s">
        <v>1401</v>
      </c>
      <c r="AA723" t="s">
        <v>14154</v>
      </c>
      <c r="AB723" t="s">
        <v>14155</v>
      </c>
      <c r="AC723" t="s">
        <v>14156</v>
      </c>
      <c r="AD723" t="s">
        <v>14157</v>
      </c>
      <c r="AE723" t="s">
        <v>14158</v>
      </c>
      <c r="AF723" t="s">
        <v>74</v>
      </c>
      <c r="AG723">
        <v>42</v>
      </c>
      <c r="AH723">
        <v>1</v>
      </c>
      <c r="AI723">
        <v>1</v>
      </c>
      <c r="AJ723">
        <v>0</v>
      </c>
      <c r="AK723">
        <v>5</v>
      </c>
      <c r="AL723" t="s">
        <v>225</v>
      </c>
      <c r="AM723" t="s">
        <v>226</v>
      </c>
      <c r="AN723" t="s">
        <v>227</v>
      </c>
      <c r="AO723" t="s">
        <v>2319</v>
      </c>
      <c r="AP723" t="s">
        <v>2320</v>
      </c>
      <c r="AQ723" t="s">
        <v>74</v>
      </c>
      <c r="AR723" t="s">
        <v>2321</v>
      </c>
      <c r="AS723" t="s">
        <v>2322</v>
      </c>
      <c r="AT723" t="s">
        <v>8210</v>
      </c>
      <c r="AU723">
        <v>2023</v>
      </c>
      <c r="AV723">
        <v>112</v>
      </c>
      <c r="AW723" t="s">
        <v>74</v>
      </c>
      <c r="AX723" t="s">
        <v>74</v>
      </c>
      <c r="AY723" t="s">
        <v>74</v>
      </c>
      <c r="AZ723" t="s">
        <v>74</v>
      </c>
      <c r="BA723" t="s">
        <v>74</v>
      </c>
      <c r="BB723" t="s">
        <v>74</v>
      </c>
      <c r="BC723" t="s">
        <v>74</v>
      </c>
      <c r="BD723">
        <v>103496</v>
      </c>
      <c r="BE723" t="s">
        <v>14159</v>
      </c>
      <c r="BF723" t="str">
        <f>HYPERLINK("http://dx.doi.org/10.1016/j.jtherbio.2023.103496","http://dx.doi.org/10.1016/j.jtherbio.2023.103496")</f>
        <v>http://dx.doi.org/10.1016/j.jtherbio.2023.103496</v>
      </c>
      <c r="BG723" t="s">
        <v>74</v>
      </c>
      <c r="BH723" t="s">
        <v>11628</v>
      </c>
      <c r="BI723">
        <v>6</v>
      </c>
      <c r="BJ723" t="s">
        <v>2324</v>
      </c>
      <c r="BK723" t="s">
        <v>103</v>
      </c>
      <c r="BL723" t="s">
        <v>2325</v>
      </c>
      <c r="BM723" t="s">
        <v>14160</v>
      </c>
      <c r="BN723">
        <v>36796881</v>
      </c>
      <c r="BO723" t="s">
        <v>387</v>
      </c>
      <c r="BP723" t="s">
        <v>74</v>
      </c>
      <c r="BQ723" t="s">
        <v>74</v>
      </c>
      <c r="BR723" t="s">
        <v>106</v>
      </c>
      <c r="BS723" t="s">
        <v>14161</v>
      </c>
      <c r="BT723" t="str">
        <f>HYPERLINK("https%3A%2F%2Fwww.webofscience.com%2Fwos%2Fwoscc%2Ffull-record%2FWOS:000931981100001","View Full Record in Web of Science")</f>
        <v>View Full Record in Web of Science</v>
      </c>
    </row>
    <row r="724" spans="1:72" x14ac:dyDescent="0.15">
      <c r="A724" t="s">
        <v>72</v>
      </c>
      <c r="B724" t="s">
        <v>14162</v>
      </c>
      <c r="C724" t="s">
        <v>74</v>
      </c>
      <c r="D724" t="s">
        <v>74</v>
      </c>
      <c r="E724" t="s">
        <v>74</v>
      </c>
      <c r="F724" t="s">
        <v>14163</v>
      </c>
      <c r="G724" t="s">
        <v>74</v>
      </c>
      <c r="H724" t="s">
        <v>74</v>
      </c>
      <c r="I724" t="s">
        <v>14164</v>
      </c>
      <c r="J724" t="s">
        <v>1215</v>
      </c>
      <c r="K724" t="s">
        <v>74</v>
      </c>
      <c r="L724" t="s">
        <v>74</v>
      </c>
      <c r="M724" t="s">
        <v>78</v>
      </c>
      <c r="N724" t="s">
        <v>112</v>
      </c>
      <c r="O724" t="s">
        <v>74</v>
      </c>
      <c r="P724" t="s">
        <v>74</v>
      </c>
      <c r="Q724" t="s">
        <v>74</v>
      </c>
      <c r="R724" t="s">
        <v>74</v>
      </c>
      <c r="S724" t="s">
        <v>74</v>
      </c>
      <c r="T724" t="s">
        <v>14165</v>
      </c>
      <c r="U724" t="s">
        <v>14166</v>
      </c>
      <c r="V724" t="s">
        <v>14167</v>
      </c>
      <c r="W724" t="s">
        <v>14168</v>
      </c>
      <c r="X724" t="s">
        <v>14169</v>
      </c>
      <c r="Y724" t="s">
        <v>14170</v>
      </c>
      <c r="Z724" t="s">
        <v>14171</v>
      </c>
      <c r="AA724" t="s">
        <v>14172</v>
      </c>
      <c r="AB724" t="s">
        <v>14173</v>
      </c>
      <c r="AC724" t="s">
        <v>14174</v>
      </c>
      <c r="AD724" t="s">
        <v>14175</v>
      </c>
      <c r="AE724" t="s">
        <v>14176</v>
      </c>
      <c r="AF724" t="s">
        <v>74</v>
      </c>
      <c r="AG724">
        <v>138</v>
      </c>
      <c r="AH724">
        <v>2</v>
      </c>
      <c r="AI724">
        <v>2</v>
      </c>
      <c r="AJ724">
        <v>5</v>
      </c>
      <c r="AK724">
        <v>18</v>
      </c>
      <c r="AL724" t="s">
        <v>700</v>
      </c>
      <c r="AM724" t="s">
        <v>701</v>
      </c>
      <c r="AN724" t="s">
        <v>702</v>
      </c>
      <c r="AO724" t="s">
        <v>74</v>
      </c>
      <c r="AP724" t="s">
        <v>1228</v>
      </c>
      <c r="AQ724" t="s">
        <v>74</v>
      </c>
      <c r="AR724" t="s">
        <v>1229</v>
      </c>
      <c r="AS724" t="s">
        <v>1230</v>
      </c>
      <c r="AT724" t="s">
        <v>14083</v>
      </c>
      <c r="AU724">
        <v>2023</v>
      </c>
      <c r="AV724">
        <v>9</v>
      </c>
      <c r="AW724" t="s">
        <v>74</v>
      </c>
      <c r="AX724" t="s">
        <v>74</v>
      </c>
      <c r="AY724" t="s">
        <v>74</v>
      </c>
      <c r="AZ724" t="s">
        <v>74</v>
      </c>
      <c r="BA724" t="s">
        <v>74</v>
      </c>
      <c r="BB724" t="s">
        <v>74</v>
      </c>
      <c r="BC724" t="s">
        <v>74</v>
      </c>
      <c r="BD724">
        <v>981434</v>
      </c>
      <c r="BE724" t="s">
        <v>14177</v>
      </c>
      <c r="BF724" t="str">
        <f>HYPERLINK("http://dx.doi.org/10.3389/fmars.2022.981434","http://dx.doi.org/10.3389/fmars.2022.981434")</f>
        <v>http://dx.doi.org/10.3389/fmars.2022.981434</v>
      </c>
      <c r="BG724" t="s">
        <v>74</v>
      </c>
      <c r="BH724" t="s">
        <v>74</v>
      </c>
      <c r="BI724">
        <v>19</v>
      </c>
      <c r="BJ724" t="s">
        <v>636</v>
      </c>
      <c r="BK724" t="s">
        <v>103</v>
      </c>
      <c r="BL724" t="s">
        <v>637</v>
      </c>
      <c r="BM724" t="s">
        <v>14178</v>
      </c>
      <c r="BN724" t="s">
        <v>74</v>
      </c>
      <c r="BO724" t="s">
        <v>6496</v>
      </c>
      <c r="BP724" t="s">
        <v>74</v>
      </c>
      <c r="BQ724" t="s">
        <v>74</v>
      </c>
      <c r="BR724" t="s">
        <v>106</v>
      </c>
      <c r="BS724" t="s">
        <v>14179</v>
      </c>
      <c r="BT724" t="str">
        <f>HYPERLINK("https%3A%2F%2Fwww.webofscience.com%2Fwos%2Fwoscc%2Ffull-record%2FWOS:000935785800001","View Full Record in Web of Science")</f>
        <v>View Full Record in Web of Science</v>
      </c>
    </row>
    <row r="725" spans="1:72" x14ac:dyDescent="0.15">
      <c r="A725" t="s">
        <v>72</v>
      </c>
      <c r="B725" t="s">
        <v>14180</v>
      </c>
      <c r="C725" t="s">
        <v>74</v>
      </c>
      <c r="D725" t="s">
        <v>74</v>
      </c>
      <c r="E725" t="s">
        <v>74</v>
      </c>
      <c r="F725" t="s">
        <v>14181</v>
      </c>
      <c r="G725" t="s">
        <v>74</v>
      </c>
      <c r="H725" t="s">
        <v>74</v>
      </c>
      <c r="I725" t="s">
        <v>14182</v>
      </c>
      <c r="J725" t="s">
        <v>3089</v>
      </c>
      <c r="K725" t="s">
        <v>74</v>
      </c>
      <c r="L725" t="s">
        <v>74</v>
      </c>
      <c r="M725" t="s">
        <v>78</v>
      </c>
      <c r="N725" t="s">
        <v>112</v>
      </c>
      <c r="O725" t="s">
        <v>74</v>
      </c>
      <c r="P725" t="s">
        <v>74</v>
      </c>
      <c r="Q725" t="s">
        <v>74</v>
      </c>
      <c r="R725" t="s">
        <v>74</v>
      </c>
      <c r="S725" t="s">
        <v>74</v>
      </c>
      <c r="T725" t="s">
        <v>14183</v>
      </c>
      <c r="U725" t="s">
        <v>14184</v>
      </c>
      <c r="V725" t="s">
        <v>14185</v>
      </c>
      <c r="W725" t="s">
        <v>14186</v>
      </c>
      <c r="X725" t="s">
        <v>14187</v>
      </c>
      <c r="Y725" t="s">
        <v>14188</v>
      </c>
      <c r="Z725" t="s">
        <v>14189</v>
      </c>
      <c r="AA725" t="s">
        <v>14190</v>
      </c>
      <c r="AB725" t="s">
        <v>14191</v>
      </c>
      <c r="AC725" t="s">
        <v>74</v>
      </c>
      <c r="AD725" t="s">
        <v>74</v>
      </c>
      <c r="AE725" t="s">
        <v>74</v>
      </c>
      <c r="AF725" t="s">
        <v>74</v>
      </c>
      <c r="AG725">
        <v>97</v>
      </c>
      <c r="AH725">
        <v>1</v>
      </c>
      <c r="AI725">
        <v>1</v>
      </c>
      <c r="AJ725">
        <v>12</v>
      </c>
      <c r="AK725">
        <v>35</v>
      </c>
      <c r="AL725" t="s">
        <v>700</v>
      </c>
      <c r="AM725" t="s">
        <v>701</v>
      </c>
      <c r="AN725" t="s">
        <v>702</v>
      </c>
      <c r="AO725" t="s">
        <v>74</v>
      </c>
      <c r="AP725" t="s">
        <v>3098</v>
      </c>
      <c r="AQ725" t="s">
        <v>74</v>
      </c>
      <c r="AR725" t="s">
        <v>3099</v>
      </c>
      <c r="AS725" t="s">
        <v>3100</v>
      </c>
      <c r="AT725" t="s">
        <v>14083</v>
      </c>
      <c r="AU725">
        <v>2023</v>
      </c>
      <c r="AV725">
        <v>14</v>
      </c>
      <c r="AW725" t="s">
        <v>74</v>
      </c>
      <c r="AX725" t="s">
        <v>74</v>
      </c>
      <c r="AY725" t="s">
        <v>74</v>
      </c>
      <c r="AZ725" t="s">
        <v>74</v>
      </c>
      <c r="BA725" t="s">
        <v>74</v>
      </c>
      <c r="BB725" t="s">
        <v>74</v>
      </c>
      <c r="BC725" t="s">
        <v>74</v>
      </c>
      <c r="BD725">
        <v>1065823</v>
      </c>
      <c r="BE725" t="s">
        <v>14192</v>
      </c>
      <c r="BF725" t="str">
        <f>HYPERLINK("http://dx.doi.org/10.3389/fmicb.2023.1065823","http://dx.doi.org/10.3389/fmicb.2023.1065823")</f>
        <v>http://dx.doi.org/10.3389/fmicb.2023.1065823</v>
      </c>
      <c r="BG725" t="s">
        <v>74</v>
      </c>
      <c r="BH725" t="s">
        <v>74</v>
      </c>
      <c r="BI725">
        <v>16</v>
      </c>
      <c r="BJ725" t="s">
        <v>1387</v>
      </c>
      <c r="BK725" t="s">
        <v>103</v>
      </c>
      <c r="BL725" t="s">
        <v>1387</v>
      </c>
      <c r="BM725" t="s">
        <v>14193</v>
      </c>
      <c r="BN725">
        <v>36825086</v>
      </c>
      <c r="BO725" t="s">
        <v>614</v>
      </c>
      <c r="BP725" t="s">
        <v>74</v>
      </c>
      <c r="BQ725" t="s">
        <v>74</v>
      </c>
      <c r="BR725" t="s">
        <v>106</v>
      </c>
      <c r="BS725" t="s">
        <v>14194</v>
      </c>
      <c r="BT725" t="str">
        <f>HYPERLINK("https%3A%2F%2Fwww.webofscience.com%2Fwos%2Fwoscc%2Ffull-record%2FWOS:000934144400001","View Full Record in Web of Science")</f>
        <v>View Full Record in Web of Science</v>
      </c>
    </row>
    <row r="726" spans="1:72" x14ac:dyDescent="0.15">
      <c r="A726" t="s">
        <v>72</v>
      </c>
      <c r="B726" t="s">
        <v>14195</v>
      </c>
      <c r="C726" t="s">
        <v>74</v>
      </c>
      <c r="D726" t="s">
        <v>74</v>
      </c>
      <c r="E726" t="s">
        <v>74</v>
      </c>
      <c r="F726" t="s">
        <v>14196</v>
      </c>
      <c r="G726" t="s">
        <v>74</v>
      </c>
      <c r="H726" t="s">
        <v>74</v>
      </c>
      <c r="I726" t="s">
        <v>14197</v>
      </c>
      <c r="J726" t="s">
        <v>2058</v>
      </c>
      <c r="K726" t="s">
        <v>74</v>
      </c>
      <c r="L726" t="s">
        <v>74</v>
      </c>
      <c r="M726" t="s">
        <v>78</v>
      </c>
      <c r="N726" t="s">
        <v>112</v>
      </c>
      <c r="O726" t="s">
        <v>74</v>
      </c>
      <c r="P726" t="s">
        <v>74</v>
      </c>
      <c r="Q726" t="s">
        <v>74</v>
      </c>
      <c r="R726" t="s">
        <v>74</v>
      </c>
      <c r="S726" t="s">
        <v>74</v>
      </c>
      <c r="T726" t="s">
        <v>74</v>
      </c>
      <c r="U726" t="s">
        <v>14198</v>
      </c>
      <c r="V726" t="s">
        <v>14199</v>
      </c>
      <c r="W726" t="s">
        <v>14200</v>
      </c>
      <c r="X726" t="s">
        <v>14201</v>
      </c>
      <c r="Y726" t="s">
        <v>14202</v>
      </c>
      <c r="Z726" t="s">
        <v>13498</v>
      </c>
      <c r="AA726" t="s">
        <v>14203</v>
      </c>
      <c r="AB726" t="s">
        <v>14204</v>
      </c>
      <c r="AC726" t="s">
        <v>14205</v>
      </c>
      <c r="AD726" t="s">
        <v>14206</v>
      </c>
      <c r="AE726" t="s">
        <v>14207</v>
      </c>
      <c r="AF726" t="s">
        <v>74</v>
      </c>
      <c r="AG726">
        <v>18</v>
      </c>
      <c r="AH726">
        <v>1</v>
      </c>
      <c r="AI726">
        <v>1</v>
      </c>
      <c r="AJ726">
        <v>0</v>
      </c>
      <c r="AK726">
        <v>3</v>
      </c>
      <c r="AL726" t="s">
        <v>794</v>
      </c>
      <c r="AM726" t="s">
        <v>795</v>
      </c>
      <c r="AN726" t="s">
        <v>796</v>
      </c>
      <c r="AO726" t="s">
        <v>2069</v>
      </c>
      <c r="AP726" t="s">
        <v>2070</v>
      </c>
      <c r="AQ726" t="s">
        <v>74</v>
      </c>
      <c r="AR726" t="s">
        <v>2071</v>
      </c>
      <c r="AS726" t="s">
        <v>2072</v>
      </c>
      <c r="AT726" t="s">
        <v>14083</v>
      </c>
      <c r="AU726">
        <v>2023</v>
      </c>
      <c r="AV726">
        <v>15</v>
      </c>
      <c r="AW726">
        <v>2</v>
      </c>
      <c r="AX726" t="s">
        <v>74</v>
      </c>
      <c r="AY726" t="s">
        <v>74</v>
      </c>
      <c r="AZ726" t="s">
        <v>74</v>
      </c>
      <c r="BA726" t="s">
        <v>74</v>
      </c>
      <c r="BB726">
        <v>607</v>
      </c>
      <c r="BC726">
        <v>616</v>
      </c>
      <c r="BD726" t="s">
        <v>74</v>
      </c>
      <c r="BE726" t="s">
        <v>14208</v>
      </c>
      <c r="BF726" t="str">
        <f>HYPERLINK("http://dx.doi.org/10.5194/essd-15-607-2023","http://dx.doi.org/10.5194/essd-15-607-2023")</f>
        <v>http://dx.doi.org/10.5194/essd-15-607-2023</v>
      </c>
      <c r="BG726" t="s">
        <v>74</v>
      </c>
      <c r="BH726" t="s">
        <v>74</v>
      </c>
      <c r="BI726">
        <v>10</v>
      </c>
      <c r="BJ726" t="s">
        <v>1041</v>
      </c>
      <c r="BK726" t="s">
        <v>103</v>
      </c>
      <c r="BL726" t="s">
        <v>1042</v>
      </c>
      <c r="BM726" t="s">
        <v>14209</v>
      </c>
      <c r="BN726" t="s">
        <v>74</v>
      </c>
      <c r="BO726" t="s">
        <v>359</v>
      </c>
      <c r="BP726" t="s">
        <v>74</v>
      </c>
      <c r="BQ726" t="s">
        <v>74</v>
      </c>
      <c r="BR726" t="s">
        <v>106</v>
      </c>
      <c r="BS726" t="s">
        <v>14210</v>
      </c>
      <c r="BT726" t="str">
        <f>HYPERLINK("https%3A%2F%2Fwww.webofscience.com%2Fwos%2Fwoscc%2Ffull-record%2FWOS:000928389700001","View Full Record in Web of Science")</f>
        <v>View Full Record in Web of Science</v>
      </c>
    </row>
    <row r="727" spans="1:72" x14ac:dyDescent="0.15">
      <c r="A727" t="s">
        <v>72</v>
      </c>
      <c r="B727" t="s">
        <v>14211</v>
      </c>
      <c r="C727" t="s">
        <v>74</v>
      </c>
      <c r="D727" t="s">
        <v>74</v>
      </c>
      <c r="E727" t="s">
        <v>74</v>
      </c>
      <c r="F727" t="s">
        <v>14212</v>
      </c>
      <c r="G727" t="s">
        <v>74</v>
      </c>
      <c r="H727" t="s">
        <v>74</v>
      </c>
      <c r="I727" t="s">
        <v>14213</v>
      </c>
      <c r="J727" t="s">
        <v>8578</v>
      </c>
      <c r="K727" t="s">
        <v>74</v>
      </c>
      <c r="L727" t="s">
        <v>74</v>
      </c>
      <c r="M727" t="s">
        <v>78</v>
      </c>
      <c r="N727" t="s">
        <v>3844</v>
      </c>
      <c r="O727" t="s">
        <v>74</v>
      </c>
      <c r="P727" t="s">
        <v>74</v>
      </c>
      <c r="Q727" t="s">
        <v>74</v>
      </c>
      <c r="R727" t="s">
        <v>74</v>
      </c>
      <c r="S727" t="s">
        <v>74</v>
      </c>
      <c r="T727" t="s">
        <v>74</v>
      </c>
      <c r="U727" t="s">
        <v>74</v>
      </c>
      <c r="V727" t="s">
        <v>74</v>
      </c>
      <c r="W727" t="s">
        <v>14214</v>
      </c>
      <c r="X727" t="s">
        <v>14215</v>
      </c>
      <c r="Y727" t="s">
        <v>14216</v>
      </c>
      <c r="Z727" t="s">
        <v>14217</v>
      </c>
      <c r="AA727" t="s">
        <v>74</v>
      </c>
      <c r="AB727" t="s">
        <v>74</v>
      </c>
      <c r="AC727" t="s">
        <v>14218</v>
      </c>
      <c r="AD727" t="s">
        <v>3117</v>
      </c>
      <c r="AE727" t="s">
        <v>14219</v>
      </c>
      <c r="AF727" t="s">
        <v>74</v>
      </c>
      <c r="AG727">
        <v>1</v>
      </c>
      <c r="AH727">
        <v>0</v>
      </c>
      <c r="AI727">
        <v>0</v>
      </c>
      <c r="AJ727">
        <v>0</v>
      </c>
      <c r="AK727">
        <v>1</v>
      </c>
      <c r="AL727" t="s">
        <v>447</v>
      </c>
      <c r="AM727" t="s">
        <v>448</v>
      </c>
      <c r="AN727" t="s">
        <v>449</v>
      </c>
      <c r="AO727" t="s">
        <v>8590</v>
      </c>
      <c r="AP727" t="s">
        <v>8591</v>
      </c>
      <c r="AQ727" t="s">
        <v>74</v>
      </c>
      <c r="AR727" t="s">
        <v>8592</v>
      </c>
      <c r="AS727" t="s">
        <v>8593</v>
      </c>
      <c r="AT727" t="s">
        <v>13198</v>
      </c>
      <c r="AU727">
        <v>2023</v>
      </c>
      <c r="AV727">
        <v>604</v>
      </c>
      <c r="AW727" t="s">
        <v>74</v>
      </c>
      <c r="AX727" t="s">
        <v>74</v>
      </c>
      <c r="AY727" t="s">
        <v>74</v>
      </c>
      <c r="AZ727" t="s">
        <v>74</v>
      </c>
      <c r="BA727" t="s">
        <v>74</v>
      </c>
      <c r="BB727" t="s">
        <v>74</v>
      </c>
      <c r="BC727" t="s">
        <v>74</v>
      </c>
      <c r="BD727">
        <v>118005</v>
      </c>
      <c r="BE727" t="s">
        <v>14220</v>
      </c>
      <c r="BF727" t="str">
        <f>HYPERLINK("http://dx.doi.org/10.1016/j.epsl.2023.118005","http://dx.doi.org/10.1016/j.epsl.2023.118005")</f>
        <v>http://dx.doi.org/10.1016/j.epsl.2023.118005</v>
      </c>
      <c r="BG727" t="s">
        <v>74</v>
      </c>
      <c r="BH727" t="s">
        <v>11628</v>
      </c>
      <c r="BI727">
        <v>1</v>
      </c>
      <c r="BJ727" t="s">
        <v>313</v>
      </c>
      <c r="BK727" t="s">
        <v>103</v>
      </c>
      <c r="BL727" t="s">
        <v>313</v>
      </c>
      <c r="BM727" t="s">
        <v>14221</v>
      </c>
      <c r="BN727" t="s">
        <v>74</v>
      </c>
      <c r="BO727" t="s">
        <v>387</v>
      </c>
      <c r="BP727" t="s">
        <v>74</v>
      </c>
      <c r="BQ727" t="s">
        <v>74</v>
      </c>
      <c r="BR727" t="s">
        <v>106</v>
      </c>
      <c r="BS727" t="s">
        <v>14222</v>
      </c>
      <c r="BT727" t="str">
        <f>HYPERLINK("https%3A%2F%2Fwww.webofscience.com%2Fwos%2Fwoscc%2Ffull-record%2FWOS:000933430400001","View Full Record in Web of Science")</f>
        <v>View Full Record in Web of Science</v>
      </c>
    </row>
    <row r="728" spans="1:72" x14ac:dyDescent="0.15">
      <c r="A728" t="s">
        <v>72</v>
      </c>
      <c r="B728" t="s">
        <v>14223</v>
      </c>
      <c r="C728" t="s">
        <v>74</v>
      </c>
      <c r="D728" t="s">
        <v>74</v>
      </c>
      <c r="E728" t="s">
        <v>74</v>
      </c>
      <c r="F728" t="s">
        <v>14224</v>
      </c>
      <c r="G728" t="s">
        <v>74</v>
      </c>
      <c r="H728" t="s">
        <v>74</v>
      </c>
      <c r="I728" t="s">
        <v>14225</v>
      </c>
      <c r="J728" t="s">
        <v>14226</v>
      </c>
      <c r="K728" t="s">
        <v>74</v>
      </c>
      <c r="L728" t="s">
        <v>74</v>
      </c>
      <c r="M728" t="s">
        <v>78</v>
      </c>
      <c r="N728" t="s">
        <v>365</v>
      </c>
      <c r="O728" t="s">
        <v>74</v>
      </c>
      <c r="P728" t="s">
        <v>74</v>
      </c>
      <c r="Q728" t="s">
        <v>74</v>
      </c>
      <c r="R728" t="s">
        <v>74</v>
      </c>
      <c r="S728" t="s">
        <v>74</v>
      </c>
      <c r="T728" t="s">
        <v>14227</v>
      </c>
      <c r="U728" t="s">
        <v>14228</v>
      </c>
      <c r="V728" t="s">
        <v>14229</v>
      </c>
      <c r="W728" t="s">
        <v>14230</v>
      </c>
      <c r="X728" t="s">
        <v>14231</v>
      </c>
      <c r="Y728" t="s">
        <v>14232</v>
      </c>
      <c r="Z728" t="s">
        <v>14233</v>
      </c>
      <c r="AA728" t="s">
        <v>14234</v>
      </c>
      <c r="AB728" t="s">
        <v>14235</v>
      </c>
      <c r="AC728" t="s">
        <v>14236</v>
      </c>
      <c r="AD728" t="s">
        <v>14237</v>
      </c>
      <c r="AE728" t="s">
        <v>14238</v>
      </c>
      <c r="AF728" t="s">
        <v>74</v>
      </c>
      <c r="AG728">
        <v>118</v>
      </c>
      <c r="AH728">
        <v>0</v>
      </c>
      <c r="AI728">
        <v>0</v>
      </c>
      <c r="AJ728">
        <v>8</v>
      </c>
      <c r="AK728">
        <v>19</v>
      </c>
      <c r="AL728" t="s">
        <v>9567</v>
      </c>
      <c r="AM728" t="s">
        <v>204</v>
      </c>
      <c r="AN728" t="s">
        <v>9568</v>
      </c>
      <c r="AO728" t="s">
        <v>14239</v>
      </c>
      <c r="AP728" t="s">
        <v>14240</v>
      </c>
      <c r="AQ728" t="s">
        <v>74</v>
      </c>
      <c r="AR728" t="s">
        <v>14241</v>
      </c>
      <c r="AS728" t="s">
        <v>14242</v>
      </c>
      <c r="AT728" t="s">
        <v>4546</v>
      </c>
      <c r="AU728">
        <v>2023</v>
      </c>
      <c r="AV728">
        <v>23</v>
      </c>
      <c r="AW728">
        <v>2</v>
      </c>
      <c r="AX728" t="s">
        <v>74</v>
      </c>
      <c r="AY728" t="s">
        <v>74</v>
      </c>
      <c r="AZ728" t="s">
        <v>74</v>
      </c>
      <c r="BA728" t="s">
        <v>74</v>
      </c>
      <c r="BB728">
        <v>339</v>
      </c>
      <c r="BC728">
        <v>352</v>
      </c>
      <c r="BD728" t="s">
        <v>74</v>
      </c>
      <c r="BE728" t="s">
        <v>14243</v>
      </c>
      <c r="BF728" t="str">
        <f>HYPERLINK("http://dx.doi.org/10.2478/aoas-2022-0080","http://dx.doi.org/10.2478/aoas-2022-0080")</f>
        <v>http://dx.doi.org/10.2478/aoas-2022-0080</v>
      </c>
      <c r="BG728" t="s">
        <v>74</v>
      </c>
      <c r="BH728" t="s">
        <v>11628</v>
      </c>
      <c r="BI728">
        <v>14</v>
      </c>
      <c r="BJ728" t="s">
        <v>6109</v>
      </c>
      <c r="BK728" t="s">
        <v>103</v>
      </c>
      <c r="BL728" t="s">
        <v>188</v>
      </c>
      <c r="BM728" t="s">
        <v>14244</v>
      </c>
      <c r="BN728" t="s">
        <v>74</v>
      </c>
      <c r="BO728" t="s">
        <v>359</v>
      </c>
      <c r="BP728" t="s">
        <v>74</v>
      </c>
      <c r="BQ728" t="s">
        <v>74</v>
      </c>
      <c r="BR728" t="s">
        <v>106</v>
      </c>
      <c r="BS728" t="s">
        <v>14245</v>
      </c>
      <c r="BT728" t="str">
        <f>HYPERLINK("https%3A%2F%2Fwww.webofscience.com%2Fwos%2Fwoscc%2Ffull-record%2FWOS:000927780800001","View Full Record in Web of Science")</f>
        <v>View Full Record in Web of Science</v>
      </c>
    </row>
    <row r="729" spans="1:72" x14ac:dyDescent="0.15">
      <c r="A729" t="s">
        <v>72</v>
      </c>
      <c r="B729" t="s">
        <v>14246</v>
      </c>
      <c r="C729" t="s">
        <v>74</v>
      </c>
      <c r="D729" t="s">
        <v>74</v>
      </c>
      <c r="E729" t="s">
        <v>74</v>
      </c>
      <c r="F729" t="s">
        <v>14247</v>
      </c>
      <c r="G729" t="s">
        <v>74</v>
      </c>
      <c r="H729" t="s">
        <v>74</v>
      </c>
      <c r="I729" t="s">
        <v>14248</v>
      </c>
      <c r="J729" t="s">
        <v>9081</v>
      </c>
      <c r="K729" t="s">
        <v>74</v>
      </c>
      <c r="L729" t="s">
        <v>74</v>
      </c>
      <c r="M729" t="s">
        <v>78</v>
      </c>
      <c r="N729" t="s">
        <v>112</v>
      </c>
      <c r="O729" t="s">
        <v>74</v>
      </c>
      <c r="P729" t="s">
        <v>74</v>
      </c>
      <c r="Q729" t="s">
        <v>74</v>
      </c>
      <c r="R729" t="s">
        <v>74</v>
      </c>
      <c r="S729" t="s">
        <v>74</v>
      </c>
      <c r="T729" t="s">
        <v>14249</v>
      </c>
      <c r="U729" t="s">
        <v>14250</v>
      </c>
      <c r="V729" t="s">
        <v>14251</v>
      </c>
      <c r="W729" t="s">
        <v>14252</v>
      </c>
      <c r="X729" t="s">
        <v>14253</v>
      </c>
      <c r="Y729" t="s">
        <v>14254</v>
      </c>
      <c r="Z729" t="s">
        <v>14255</v>
      </c>
      <c r="AA729" t="s">
        <v>14256</v>
      </c>
      <c r="AB729" t="s">
        <v>14257</v>
      </c>
      <c r="AC729" t="s">
        <v>14258</v>
      </c>
      <c r="AD729" t="s">
        <v>14259</v>
      </c>
      <c r="AE729" t="s">
        <v>14260</v>
      </c>
      <c r="AF729" t="s">
        <v>74</v>
      </c>
      <c r="AG729">
        <v>94</v>
      </c>
      <c r="AH729">
        <v>2</v>
      </c>
      <c r="AI729">
        <v>2</v>
      </c>
      <c r="AJ729">
        <v>9</v>
      </c>
      <c r="AK729">
        <v>18</v>
      </c>
      <c r="AL729" t="s">
        <v>225</v>
      </c>
      <c r="AM729" t="s">
        <v>226</v>
      </c>
      <c r="AN729" t="s">
        <v>227</v>
      </c>
      <c r="AO729" t="s">
        <v>9094</v>
      </c>
      <c r="AP729" t="s">
        <v>9095</v>
      </c>
      <c r="AQ729" t="s">
        <v>74</v>
      </c>
      <c r="AR729" t="s">
        <v>9096</v>
      </c>
      <c r="AS729" t="s">
        <v>9097</v>
      </c>
      <c r="AT729" t="s">
        <v>10271</v>
      </c>
      <c r="AU729">
        <v>2023</v>
      </c>
      <c r="AV729">
        <v>303</v>
      </c>
      <c r="AW729" t="s">
        <v>74</v>
      </c>
      <c r="AX729" t="s">
        <v>74</v>
      </c>
      <c r="AY729" t="s">
        <v>74</v>
      </c>
      <c r="AZ729" t="s">
        <v>74</v>
      </c>
      <c r="BA729" t="s">
        <v>74</v>
      </c>
      <c r="BB729" t="s">
        <v>74</v>
      </c>
      <c r="BC729" t="s">
        <v>74</v>
      </c>
      <c r="BD729">
        <v>107991</v>
      </c>
      <c r="BE729" t="s">
        <v>14261</v>
      </c>
      <c r="BF729" t="str">
        <f>HYPERLINK("http://dx.doi.org/10.1016/j.quascirev.2023.107991","http://dx.doi.org/10.1016/j.quascirev.2023.107991")</f>
        <v>http://dx.doi.org/10.1016/j.quascirev.2023.107991</v>
      </c>
      <c r="BG729" t="s">
        <v>74</v>
      </c>
      <c r="BH729" t="s">
        <v>11628</v>
      </c>
      <c r="BI729">
        <v>15</v>
      </c>
      <c r="BJ729" t="s">
        <v>801</v>
      </c>
      <c r="BK729" t="s">
        <v>103</v>
      </c>
      <c r="BL729" t="s">
        <v>802</v>
      </c>
      <c r="BM729" t="s">
        <v>14262</v>
      </c>
      <c r="BN729" t="s">
        <v>74</v>
      </c>
      <c r="BO729" t="s">
        <v>387</v>
      </c>
      <c r="BP729" t="s">
        <v>74</v>
      </c>
      <c r="BQ729" t="s">
        <v>74</v>
      </c>
      <c r="BR729" t="s">
        <v>106</v>
      </c>
      <c r="BS729" t="s">
        <v>14263</v>
      </c>
      <c r="BT729" t="str">
        <f>HYPERLINK("https%3A%2F%2Fwww.webofscience.com%2Fwos%2Fwoscc%2Ffull-record%2FWOS:000935415000001","View Full Record in Web of Science")</f>
        <v>View Full Record in Web of Science</v>
      </c>
    </row>
    <row r="730" spans="1:72" x14ac:dyDescent="0.15">
      <c r="A730" t="s">
        <v>72</v>
      </c>
      <c r="B730" t="s">
        <v>14264</v>
      </c>
      <c r="C730" t="s">
        <v>74</v>
      </c>
      <c r="D730" t="s">
        <v>74</v>
      </c>
      <c r="E730" t="s">
        <v>74</v>
      </c>
      <c r="F730" t="s">
        <v>14265</v>
      </c>
      <c r="G730" t="s">
        <v>74</v>
      </c>
      <c r="H730" t="s">
        <v>74</v>
      </c>
      <c r="I730" t="s">
        <v>14266</v>
      </c>
      <c r="J730" t="s">
        <v>782</v>
      </c>
      <c r="K730" t="s">
        <v>74</v>
      </c>
      <c r="L730" t="s">
        <v>74</v>
      </c>
      <c r="M730" t="s">
        <v>78</v>
      </c>
      <c r="N730" t="s">
        <v>112</v>
      </c>
      <c r="O730" t="s">
        <v>74</v>
      </c>
      <c r="P730" t="s">
        <v>74</v>
      </c>
      <c r="Q730" t="s">
        <v>74</v>
      </c>
      <c r="R730" t="s">
        <v>74</v>
      </c>
      <c r="S730" t="s">
        <v>74</v>
      </c>
      <c r="T730" t="s">
        <v>74</v>
      </c>
      <c r="U730" t="s">
        <v>14267</v>
      </c>
      <c r="V730" t="s">
        <v>14268</v>
      </c>
      <c r="W730" t="s">
        <v>14269</v>
      </c>
      <c r="X730" t="s">
        <v>14270</v>
      </c>
      <c r="Y730" t="s">
        <v>14271</v>
      </c>
      <c r="Z730" t="s">
        <v>14272</v>
      </c>
      <c r="AA730" t="s">
        <v>14273</v>
      </c>
      <c r="AB730" t="s">
        <v>14274</v>
      </c>
      <c r="AC730" t="s">
        <v>14275</v>
      </c>
      <c r="AD730" t="s">
        <v>14276</v>
      </c>
      <c r="AE730" t="s">
        <v>14277</v>
      </c>
      <c r="AF730" t="s">
        <v>74</v>
      </c>
      <c r="AG730">
        <v>55</v>
      </c>
      <c r="AH730">
        <v>2</v>
      </c>
      <c r="AI730">
        <v>3</v>
      </c>
      <c r="AJ730">
        <v>0</v>
      </c>
      <c r="AK730">
        <v>3</v>
      </c>
      <c r="AL730" t="s">
        <v>794</v>
      </c>
      <c r="AM730" t="s">
        <v>795</v>
      </c>
      <c r="AN730" t="s">
        <v>796</v>
      </c>
      <c r="AO730" t="s">
        <v>797</v>
      </c>
      <c r="AP730" t="s">
        <v>798</v>
      </c>
      <c r="AQ730" t="s">
        <v>74</v>
      </c>
      <c r="AR730" t="s">
        <v>782</v>
      </c>
      <c r="AS730" t="s">
        <v>799</v>
      </c>
      <c r="AT730" t="s">
        <v>14083</v>
      </c>
      <c r="AU730">
        <v>2023</v>
      </c>
      <c r="AV730">
        <v>17</v>
      </c>
      <c r="AW730">
        <v>2</v>
      </c>
      <c r="AX730" t="s">
        <v>74</v>
      </c>
      <c r="AY730" t="s">
        <v>74</v>
      </c>
      <c r="AZ730" t="s">
        <v>74</v>
      </c>
      <c r="BA730" t="s">
        <v>74</v>
      </c>
      <c r="BB730">
        <v>499</v>
      </c>
      <c r="BC730">
        <v>518</v>
      </c>
      <c r="BD730" t="s">
        <v>74</v>
      </c>
      <c r="BE730" t="s">
        <v>14278</v>
      </c>
      <c r="BF730" t="str">
        <f>HYPERLINK("http://dx.doi.org/10.5194/tc-17-499-2023","http://dx.doi.org/10.5194/tc-17-499-2023")</f>
        <v>http://dx.doi.org/10.5194/tc-17-499-2023</v>
      </c>
      <c r="BG730" t="s">
        <v>74</v>
      </c>
      <c r="BH730" t="s">
        <v>74</v>
      </c>
      <c r="BI730">
        <v>20</v>
      </c>
      <c r="BJ730" t="s">
        <v>801</v>
      </c>
      <c r="BK730" t="s">
        <v>103</v>
      </c>
      <c r="BL730" t="s">
        <v>802</v>
      </c>
      <c r="BM730" t="s">
        <v>14279</v>
      </c>
      <c r="BN730" t="s">
        <v>74</v>
      </c>
      <c r="BO730" t="s">
        <v>14280</v>
      </c>
      <c r="BP730" t="s">
        <v>74</v>
      </c>
      <c r="BQ730" t="s">
        <v>74</v>
      </c>
      <c r="BR730" t="s">
        <v>106</v>
      </c>
      <c r="BS730" t="s">
        <v>14281</v>
      </c>
      <c r="BT730" t="str">
        <f>HYPERLINK("https%3A%2F%2Fwww.webofscience.com%2Fwos%2Fwoscc%2Ffull-record%2FWOS:000928149400001","View Full Record in Web of Science")</f>
        <v>View Full Record in Web of Science</v>
      </c>
    </row>
    <row r="731" spans="1:72" x14ac:dyDescent="0.15">
      <c r="A731" t="s">
        <v>72</v>
      </c>
      <c r="B731" t="s">
        <v>14282</v>
      </c>
      <c r="C731" t="s">
        <v>74</v>
      </c>
      <c r="D731" t="s">
        <v>74</v>
      </c>
      <c r="E731" t="s">
        <v>74</v>
      </c>
      <c r="F731" t="s">
        <v>14283</v>
      </c>
      <c r="G731" t="s">
        <v>74</v>
      </c>
      <c r="H731" t="s">
        <v>74</v>
      </c>
      <c r="I731" t="s">
        <v>14284</v>
      </c>
      <c r="J731" t="s">
        <v>2461</v>
      </c>
      <c r="K731" t="s">
        <v>74</v>
      </c>
      <c r="L731" t="s">
        <v>74</v>
      </c>
      <c r="M731" t="s">
        <v>78</v>
      </c>
      <c r="N731" t="s">
        <v>112</v>
      </c>
      <c r="O731" t="s">
        <v>74</v>
      </c>
      <c r="P731" t="s">
        <v>74</v>
      </c>
      <c r="Q731" t="s">
        <v>74</v>
      </c>
      <c r="R731" t="s">
        <v>74</v>
      </c>
      <c r="S731" t="s">
        <v>74</v>
      </c>
      <c r="T731" t="s">
        <v>74</v>
      </c>
      <c r="U731" t="s">
        <v>14285</v>
      </c>
      <c r="V731" t="s">
        <v>14286</v>
      </c>
      <c r="W731" t="s">
        <v>14287</v>
      </c>
      <c r="X731" t="s">
        <v>14288</v>
      </c>
      <c r="Y731" t="s">
        <v>14289</v>
      </c>
      <c r="Z731" t="s">
        <v>14290</v>
      </c>
      <c r="AA731" t="s">
        <v>14291</v>
      </c>
      <c r="AB731" t="s">
        <v>14292</v>
      </c>
      <c r="AC731" t="s">
        <v>14293</v>
      </c>
      <c r="AD731" t="s">
        <v>14294</v>
      </c>
      <c r="AE731" t="s">
        <v>14295</v>
      </c>
      <c r="AF731" t="s">
        <v>74</v>
      </c>
      <c r="AG731">
        <v>64</v>
      </c>
      <c r="AH731">
        <v>6</v>
      </c>
      <c r="AI731">
        <v>6</v>
      </c>
      <c r="AJ731">
        <v>12</v>
      </c>
      <c r="AK731">
        <v>26</v>
      </c>
      <c r="AL731" t="s">
        <v>1357</v>
      </c>
      <c r="AM731" t="s">
        <v>525</v>
      </c>
      <c r="AN731" t="s">
        <v>1358</v>
      </c>
      <c r="AO731" t="s">
        <v>74</v>
      </c>
      <c r="AP731" t="s">
        <v>2470</v>
      </c>
      <c r="AQ731" t="s">
        <v>74</v>
      </c>
      <c r="AR731" t="s">
        <v>2471</v>
      </c>
      <c r="AS731" t="s">
        <v>2472</v>
      </c>
      <c r="AT731" t="s">
        <v>14083</v>
      </c>
      <c r="AU731">
        <v>2023</v>
      </c>
      <c r="AV731">
        <v>4</v>
      </c>
      <c r="AW731">
        <v>1</v>
      </c>
      <c r="AX731" t="s">
        <v>74</v>
      </c>
      <c r="AY731" t="s">
        <v>74</v>
      </c>
      <c r="AZ731" t="s">
        <v>74</v>
      </c>
      <c r="BA731" t="s">
        <v>74</v>
      </c>
      <c r="BB731" t="s">
        <v>74</v>
      </c>
      <c r="BC731" t="s">
        <v>74</v>
      </c>
      <c r="BD731">
        <v>25</v>
      </c>
      <c r="BE731" t="s">
        <v>14296</v>
      </c>
      <c r="BF731" t="str">
        <f>HYPERLINK("http://dx.doi.org/10.1038/s43247-023-00683-y","http://dx.doi.org/10.1038/s43247-023-00683-y")</f>
        <v>http://dx.doi.org/10.1038/s43247-023-00683-y</v>
      </c>
      <c r="BG731" t="s">
        <v>74</v>
      </c>
      <c r="BH731" t="s">
        <v>74</v>
      </c>
      <c r="BI731">
        <v>9</v>
      </c>
      <c r="BJ731" t="s">
        <v>2474</v>
      </c>
      <c r="BK731" t="s">
        <v>103</v>
      </c>
      <c r="BL731" t="s">
        <v>2475</v>
      </c>
      <c r="BM731" t="s">
        <v>14297</v>
      </c>
      <c r="BN731" t="s">
        <v>74</v>
      </c>
      <c r="BO731" t="s">
        <v>614</v>
      </c>
      <c r="BP731" t="s">
        <v>74</v>
      </c>
      <c r="BQ731" t="s">
        <v>74</v>
      </c>
      <c r="BR731" t="s">
        <v>106</v>
      </c>
      <c r="BS731" t="s">
        <v>14298</v>
      </c>
      <c r="BT731" t="str">
        <f>HYPERLINK("https%3A%2F%2Fwww.webofscience.com%2Fwos%2Fwoscc%2Ffull-record%2FWOS:000928947000001","View Full Record in Web of Science")</f>
        <v>View Full Record in Web of Science</v>
      </c>
    </row>
    <row r="732" spans="1:72" x14ac:dyDescent="0.15">
      <c r="A732" t="s">
        <v>72</v>
      </c>
      <c r="B732" t="s">
        <v>14299</v>
      </c>
      <c r="C732" t="s">
        <v>74</v>
      </c>
      <c r="D732" t="s">
        <v>74</v>
      </c>
      <c r="E732" t="s">
        <v>74</v>
      </c>
      <c r="F732" t="s">
        <v>14300</v>
      </c>
      <c r="G732" t="s">
        <v>74</v>
      </c>
      <c r="H732" t="s">
        <v>74</v>
      </c>
      <c r="I732" t="s">
        <v>14301</v>
      </c>
      <c r="J732" t="s">
        <v>3485</v>
      </c>
      <c r="K732" t="s">
        <v>74</v>
      </c>
      <c r="L732" t="s">
        <v>74</v>
      </c>
      <c r="M732" t="s">
        <v>78</v>
      </c>
      <c r="N732" t="s">
        <v>79</v>
      </c>
      <c r="O732" t="s">
        <v>74</v>
      </c>
      <c r="P732" t="s">
        <v>74</v>
      </c>
      <c r="Q732" t="s">
        <v>74</v>
      </c>
      <c r="R732" t="s">
        <v>74</v>
      </c>
      <c r="S732" t="s">
        <v>74</v>
      </c>
      <c r="T732" t="s">
        <v>74</v>
      </c>
      <c r="U732" t="s">
        <v>14302</v>
      </c>
      <c r="V732" t="s">
        <v>74</v>
      </c>
      <c r="W732" t="s">
        <v>14303</v>
      </c>
      <c r="X732" t="s">
        <v>14304</v>
      </c>
      <c r="Y732" t="s">
        <v>14305</v>
      </c>
      <c r="Z732" t="s">
        <v>14306</v>
      </c>
      <c r="AA732" t="s">
        <v>14307</v>
      </c>
      <c r="AB732" t="s">
        <v>14308</v>
      </c>
      <c r="AC732" t="s">
        <v>74</v>
      </c>
      <c r="AD732" t="s">
        <v>74</v>
      </c>
      <c r="AE732" t="s">
        <v>74</v>
      </c>
      <c r="AF732" t="s">
        <v>74</v>
      </c>
      <c r="AG732">
        <v>6</v>
      </c>
      <c r="AH732">
        <v>1</v>
      </c>
      <c r="AI732">
        <v>1</v>
      </c>
      <c r="AJ732">
        <v>0</v>
      </c>
      <c r="AK732">
        <v>1</v>
      </c>
      <c r="AL732" t="s">
        <v>3498</v>
      </c>
      <c r="AM732" t="s">
        <v>306</v>
      </c>
      <c r="AN732" t="s">
        <v>3499</v>
      </c>
      <c r="AO732" t="s">
        <v>3500</v>
      </c>
      <c r="AP732" t="s">
        <v>3501</v>
      </c>
      <c r="AQ732" t="s">
        <v>74</v>
      </c>
      <c r="AR732" t="s">
        <v>3502</v>
      </c>
      <c r="AS732" t="s">
        <v>3503</v>
      </c>
      <c r="AT732" t="s">
        <v>14083</v>
      </c>
      <c r="AU732">
        <v>2023</v>
      </c>
      <c r="AV732">
        <v>120</v>
      </c>
      <c r="AW732">
        <v>6</v>
      </c>
      <c r="AX732" t="s">
        <v>74</v>
      </c>
      <c r="AY732" t="s">
        <v>74</v>
      </c>
      <c r="AZ732" t="s">
        <v>74</v>
      </c>
      <c r="BA732" t="s">
        <v>74</v>
      </c>
      <c r="BB732" t="s">
        <v>74</v>
      </c>
      <c r="BC732" t="s">
        <v>74</v>
      </c>
      <c r="BD732" t="s">
        <v>14309</v>
      </c>
      <c r="BE732" t="s">
        <v>14310</v>
      </c>
      <c r="BF732" t="str">
        <f>HYPERLINK("http://dx.doi.org/10.1073/pnas.2219792120","http://dx.doi.org/10.1073/pnas.2219792120")</f>
        <v>http://dx.doi.org/10.1073/pnas.2219792120</v>
      </c>
      <c r="BG732" t="s">
        <v>74</v>
      </c>
      <c r="BH732" t="s">
        <v>74</v>
      </c>
      <c r="BI732">
        <v>3</v>
      </c>
      <c r="BJ732" t="s">
        <v>210</v>
      </c>
      <c r="BK732" t="s">
        <v>103</v>
      </c>
      <c r="BL732" t="s">
        <v>211</v>
      </c>
      <c r="BM732" t="s">
        <v>14311</v>
      </c>
      <c r="BN732">
        <v>36735758</v>
      </c>
      <c r="BO732" t="s">
        <v>430</v>
      </c>
      <c r="BP732" t="s">
        <v>74</v>
      </c>
      <c r="BQ732" t="s">
        <v>74</v>
      </c>
      <c r="BR732" t="s">
        <v>106</v>
      </c>
      <c r="BS732" t="s">
        <v>14312</v>
      </c>
      <c r="BT732" t="str">
        <f>HYPERLINK("https%3A%2F%2Fwww.webofscience.com%2Fwos%2Fwoscc%2Ffull-record%2FWOS:001168921400012","View Full Record in Web of Science")</f>
        <v>View Full Record in Web of Science</v>
      </c>
    </row>
    <row r="733" spans="1:72" x14ac:dyDescent="0.15">
      <c r="A733" t="s">
        <v>72</v>
      </c>
      <c r="B733" t="s">
        <v>14313</v>
      </c>
      <c r="C733" t="s">
        <v>74</v>
      </c>
      <c r="D733" t="s">
        <v>74</v>
      </c>
      <c r="E733" t="s">
        <v>74</v>
      </c>
      <c r="F733" t="s">
        <v>14314</v>
      </c>
      <c r="G733" t="s">
        <v>74</v>
      </c>
      <c r="H733" t="s">
        <v>74</v>
      </c>
      <c r="I733" t="s">
        <v>14315</v>
      </c>
      <c r="J733" t="s">
        <v>1729</v>
      </c>
      <c r="K733" t="s">
        <v>74</v>
      </c>
      <c r="L733" t="s">
        <v>74</v>
      </c>
      <c r="M733" t="s">
        <v>78</v>
      </c>
      <c r="N733" t="s">
        <v>112</v>
      </c>
      <c r="O733" t="s">
        <v>74</v>
      </c>
      <c r="P733" t="s">
        <v>74</v>
      </c>
      <c r="Q733" t="s">
        <v>74</v>
      </c>
      <c r="R733" t="s">
        <v>74</v>
      </c>
      <c r="S733" t="s">
        <v>74</v>
      </c>
      <c r="T733" t="s">
        <v>14316</v>
      </c>
      <c r="U733" t="s">
        <v>14317</v>
      </c>
      <c r="V733" t="s">
        <v>14318</v>
      </c>
      <c r="W733" t="s">
        <v>14319</v>
      </c>
      <c r="X733" t="s">
        <v>14320</v>
      </c>
      <c r="Y733" t="s">
        <v>14321</v>
      </c>
      <c r="Z733" t="s">
        <v>14322</v>
      </c>
      <c r="AA733" t="s">
        <v>14323</v>
      </c>
      <c r="AB733" t="s">
        <v>14324</v>
      </c>
      <c r="AC733" t="s">
        <v>14325</v>
      </c>
      <c r="AD733" t="s">
        <v>14326</v>
      </c>
      <c r="AE733" t="s">
        <v>14327</v>
      </c>
      <c r="AF733" t="s">
        <v>74</v>
      </c>
      <c r="AG733">
        <v>80</v>
      </c>
      <c r="AH733">
        <v>6</v>
      </c>
      <c r="AI733">
        <v>6</v>
      </c>
      <c r="AJ733">
        <v>6</v>
      </c>
      <c r="AK733">
        <v>17</v>
      </c>
      <c r="AL733" t="s">
        <v>1405</v>
      </c>
      <c r="AM733" t="s">
        <v>226</v>
      </c>
      <c r="AN733" t="s">
        <v>1406</v>
      </c>
      <c r="AO733" t="s">
        <v>1742</v>
      </c>
      <c r="AP733" t="s">
        <v>1743</v>
      </c>
      <c r="AQ733" t="s">
        <v>74</v>
      </c>
      <c r="AR733" t="s">
        <v>1744</v>
      </c>
      <c r="AS733" t="s">
        <v>1745</v>
      </c>
      <c r="AT733" t="s">
        <v>8107</v>
      </c>
      <c r="AU733">
        <v>2023</v>
      </c>
      <c r="AV733">
        <v>321</v>
      </c>
      <c r="AW733" t="s">
        <v>74</v>
      </c>
      <c r="AX733" t="s">
        <v>74</v>
      </c>
      <c r="AY733" t="s">
        <v>74</v>
      </c>
      <c r="AZ733" t="s">
        <v>74</v>
      </c>
      <c r="BA733" t="s">
        <v>74</v>
      </c>
      <c r="BB733" t="s">
        <v>74</v>
      </c>
      <c r="BC733" t="s">
        <v>74</v>
      </c>
      <c r="BD733">
        <v>121206</v>
      </c>
      <c r="BE733" t="s">
        <v>14328</v>
      </c>
      <c r="BF733" t="str">
        <f>HYPERLINK("http://dx.doi.org/10.1016/j.envpol.2023.121206","http://dx.doi.org/10.1016/j.envpol.2023.121206")</f>
        <v>http://dx.doi.org/10.1016/j.envpol.2023.121206</v>
      </c>
      <c r="BG733" t="s">
        <v>74</v>
      </c>
      <c r="BH733" t="s">
        <v>11628</v>
      </c>
      <c r="BI733">
        <v>11</v>
      </c>
      <c r="BJ733" t="s">
        <v>1163</v>
      </c>
      <c r="BK733" t="s">
        <v>103</v>
      </c>
      <c r="BL733" t="s">
        <v>1164</v>
      </c>
      <c r="BM733" t="s">
        <v>14329</v>
      </c>
      <c r="BN733">
        <v>36738882</v>
      </c>
      <c r="BO733" t="s">
        <v>1303</v>
      </c>
      <c r="BP733" t="s">
        <v>74</v>
      </c>
      <c r="BQ733" t="s">
        <v>74</v>
      </c>
      <c r="BR733" t="s">
        <v>106</v>
      </c>
      <c r="BS733" t="s">
        <v>14330</v>
      </c>
      <c r="BT733" t="str">
        <f>HYPERLINK("https%3A%2F%2Fwww.webofscience.com%2Fwos%2Fwoscc%2Ffull-record%2FWOS:000935179200001","View Full Record in Web of Science")</f>
        <v>View Full Record in Web of Science</v>
      </c>
    </row>
    <row r="734" spans="1:72" x14ac:dyDescent="0.15">
      <c r="A734" t="s">
        <v>72</v>
      </c>
      <c r="B734" t="s">
        <v>14331</v>
      </c>
      <c r="C734" t="s">
        <v>74</v>
      </c>
      <c r="D734" t="s">
        <v>74</v>
      </c>
      <c r="E734" t="s">
        <v>74</v>
      </c>
      <c r="F734" t="s">
        <v>14332</v>
      </c>
      <c r="G734" t="s">
        <v>74</v>
      </c>
      <c r="H734" t="s">
        <v>74</v>
      </c>
      <c r="I734" t="s">
        <v>14333</v>
      </c>
      <c r="J734" t="s">
        <v>14334</v>
      </c>
      <c r="K734" t="s">
        <v>74</v>
      </c>
      <c r="L734" t="s">
        <v>74</v>
      </c>
      <c r="M734" t="s">
        <v>78</v>
      </c>
      <c r="N734" t="s">
        <v>112</v>
      </c>
      <c r="O734" t="s">
        <v>74</v>
      </c>
      <c r="P734" t="s">
        <v>74</v>
      </c>
      <c r="Q734" t="s">
        <v>74</v>
      </c>
      <c r="R734" t="s">
        <v>74</v>
      </c>
      <c r="S734" t="s">
        <v>74</v>
      </c>
      <c r="T734" t="s">
        <v>14335</v>
      </c>
      <c r="U734" t="s">
        <v>14336</v>
      </c>
      <c r="V734" t="s">
        <v>14337</v>
      </c>
      <c r="W734" t="s">
        <v>14338</v>
      </c>
      <c r="X734" t="s">
        <v>14339</v>
      </c>
      <c r="Y734" t="s">
        <v>14340</v>
      </c>
      <c r="Z734" t="s">
        <v>14341</v>
      </c>
      <c r="AA734" t="s">
        <v>14342</v>
      </c>
      <c r="AB734" t="s">
        <v>14343</v>
      </c>
      <c r="AC734" t="s">
        <v>74</v>
      </c>
      <c r="AD734" t="s">
        <v>74</v>
      </c>
      <c r="AE734" t="s">
        <v>74</v>
      </c>
      <c r="AF734" t="s">
        <v>74</v>
      </c>
      <c r="AG734">
        <v>114</v>
      </c>
      <c r="AH734">
        <v>0</v>
      </c>
      <c r="AI734">
        <v>0</v>
      </c>
      <c r="AJ734">
        <v>5</v>
      </c>
      <c r="AK734">
        <v>11</v>
      </c>
      <c r="AL734" t="s">
        <v>418</v>
      </c>
      <c r="AM734" t="s">
        <v>419</v>
      </c>
      <c r="AN734" t="s">
        <v>420</v>
      </c>
      <c r="AO734" t="s">
        <v>14344</v>
      </c>
      <c r="AP734" t="s">
        <v>14345</v>
      </c>
      <c r="AQ734" t="s">
        <v>74</v>
      </c>
      <c r="AR734" t="s">
        <v>14346</v>
      </c>
      <c r="AS734" t="s">
        <v>14347</v>
      </c>
      <c r="AT734" t="s">
        <v>4452</v>
      </c>
      <c r="AU734">
        <v>2023</v>
      </c>
      <c r="AV734">
        <v>70</v>
      </c>
      <c r="AW734">
        <v>3</v>
      </c>
      <c r="AX734" t="s">
        <v>74</v>
      </c>
      <c r="AY734" t="s">
        <v>74</v>
      </c>
      <c r="AZ734" t="s">
        <v>74</v>
      </c>
      <c r="BA734" t="s">
        <v>74</v>
      </c>
      <c r="BB734">
        <v>303</v>
      </c>
      <c r="BC734">
        <v>322</v>
      </c>
      <c r="BD734" t="s">
        <v>74</v>
      </c>
      <c r="BE734" t="s">
        <v>14348</v>
      </c>
      <c r="BF734" t="str">
        <f>HYPERLINK("http://dx.doi.org/10.1080/08120099.2023.2169957","http://dx.doi.org/10.1080/08120099.2023.2169957")</f>
        <v>http://dx.doi.org/10.1080/08120099.2023.2169957</v>
      </c>
      <c r="BG734" t="s">
        <v>74</v>
      </c>
      <c r="BH734" t="s">
        <v>11628</v>
      </c>
      <c r="BI734">
        <v>20</v>
      </c>
      <c r="BJ734" t="s">
        <v>261</v>
      </c>
      <c r="BK734" t="s">
        <v>103</v>
      </c>
      <c r="BL734" t="s">
        <v>262</v>
      </c>
      <c r="BM734" t="s">
        <v>14349</v>
      </c>
      <c r="BN734" t="s">
        <v>74</v>
      </c>
      <c r="BO734" t="s">
        <v>387</v>
      </c>
      <c r="BP734" t="s">
        <v>74</v>
      </c>
      <c r="BQ734" t="s">
        <v>74</v>
      </c>
      <c r="BR734" t="s">
        <v>106</v>
      </c>
      <c r="BS734" t="s">
        <v>14350</v>
      </c>
      <c r="BT734" t="str">
        <f>HYPERLINK("https%3A%2F%2Fwww.webofscience.com%2Fwos%2Fwoscc%2Ffull-record%2FWOS:000929080200001","View Full Record in Web of Science")</f>
        <v>View Full Record in Web of Science</v>
      </c>
    </row>
    <row r="735" spans="1:72" x14ac:dyDescent="0.15">
      <c r="A735" t="s">
        <v>72</v>
      </c>
      <c r="B735" t="s">
        <v>14351</v>
      </c>
      <c r="C735" t="s">
        <v>74</v>
      </c>
      <c r="D735" t="s">
        <v>74</v>
      </c>
      <c r="E735" t="s">
        <v>74</v>
      </c>
      <c r="F735" t="s">
        <v>14352</v>
      </c>
      <c r="G735" t="s">
        <v>74</v>
      </c>
      <c r="H735" t="s">
        <v>74</v>
      </c>
      <c r="I735" t="s">
        <v>14353</v>
      </c>
      <c r="J735" t="s">
        <v>3089</v>
      </c>
      <c r="K735" t="s">
        <v>74</v>
      </c>
      <c r="L735" t="s">
        <v>74</v>
      </c>
      <c r="M735" t="s">
        <v>78</v>
      </c>
      <c r="N735" t="s">
        <v>112</v>
      </c>
      <c r="O735" t="s">
        <v>74</v>
      </c>
      <c r="P735" t="s">
        <v>74</v>
      </c>
      <c r="Q735" t="s">
        <v>74</v>
      </c>
      <c r="R735" t="s">
        <v>74</v>
      </c>
      <c r="S735" t="s">
        <v>74</v>
      </c>
      <c r="T735" t="s">
        <v>14354</v>
      </c>
      <c r="U735" t="s">
        <v>14355</v>
      </c>
      <c r="V735" t="s">
        <v>14356</v>
      </c>
      <c r="W735" t="s">
        <v>14357</v>
      </c>
      <c r="X735" t="s">
        <v>5592</v>
      </c>
      <c r="Y735" t="s">
        <v>13367</v>
      </c>
      <c r="Z735" t="s">
        <v>5594</v>
      </c>
      <c r="AA735" t="s">
        <v>14358</v>
      </c>
      <c r="AB735" t="s">
        <v>74</v>
      </c>
      <c r="AC735" t="s">
        <v>14359</v>
      </c>
      <c r="AD735" t="s">
        <v>14360</v>
      </c>
      <c r="AE735" t="s">
        <v>14361</v>
      </c>
      <c r="AF735" t="s">
        <v>74</v>
      </c>
      <c r="AG735">
        <v>70</v>
      </c>
      <c r="AH735">
        <v>1</v>
      </c>
      <c r="AI735">
        <v>2</v>
      </c>
      <c r="AJ735">
        <v>12</v>
      </c>
      <c r="AK735">
        <v>23</v>
      </c>
      <c r="AL735" t="s">
        <v>700</v>
      </c>
      <c r="AM735" t="s">
        <v>701</v>
      </c>
      <c r="AN735" t="s">
        <v>702</v>
      </c>
      <c r="AO735" t="s">
        <v>74</v>
      </c>
      <c r="AP735" t="s">
        <v>3098</v>
      </c>
      <c r="AQ735" t="s">
        <v>74</v>
      </c>
      <c r="AR735" t="s">
        <v>3099</v>
      </c>
      <c r="AS735" t="s">
        <v>3100</v>
      </c>
      <c r="AT735" t="s">
        <v>14362</v>
      </c>
      <c r="AU735">
        <v>2023</v>
      </c>
      <c r="AV735">
        <v>14</v>
      </c>
      <c r="AW735" t="s">
        <v>74</v>
      </c>
      <c r="AX735" t="s">
        <v>74</v>
      </c>
      <c r="AY735" t="s">
        <v>74</v>
      </c>
      <c r="AZ735" t="s">
        <v>74</v>
      </c>
      <c r="BA735" t="s">
        <v>74</v>
      </c>
      <c r="BB735" t="s">
        <v>74</v>
      </c>
      <c r="BC735" t="s">
        <v>74</v>
      </c>
      <c r="BD735">
        <v>942428</v>
      </c>
      <c r="BE735" t="s">
        <v>14363</v>
      </c>
      <c r="BF735" t="str">
        <f>HYPERLINK("http://dx.doi.org/10.3389/fmicb.2023.942428","http://dx.doi.org/10.3389/fmicb.2023.942428")</f>
        <v>http://dx.doi.org/10.3389/fmicb.2023.942428</v>
      </c>
      <c r="BG735" t="s">
        <v>74</v>
      </c>
      <c r="BH735" t="s">
        <v>74</v>
      </c>
      <c r="BI735">
        <v>12</v>
      </c>
      <c r="BJ735" t="s">
        <v>1387</v>
      </c>
      <c r="BK735" t="s">
        <v>103</v>
      </c>
      <c r="BL735" t="s">
        <v>1387</v>
      </c>
      <c r="BM735" t="s">
        <v>14364</v>
      </c>
      <c r="BN735">
        <v>36814563</v>
      </c>
      <c r="BO735" t="s">
        <v>136</v>
      </c>
      <c r="BP735" t="s">
        <v>74</v>
      </c>
      <c r="BQ735" t="s">
        <v>74</v>
      </c>
      <c r="BR735" t="s">
        <v>106</v>
      </c>
      <c r="BS735" t="s">
        <v>14365</v>
      </c>
      <c r="BT735" t="str">
        <f>HYPERLINK("https%3A%2F%2Fwww.webofscience.com%2Fwos%2Fwoscc%2Ffull-record%2FWOS:000936018600001","View Full Record in Web of Science")</f>
        <v>View Full Record in Web of Science</v>
      </c>
    </row>
    <row r="736" spans="1:72" x14ac:dyDescent="0.15">
      <c r="A736" t="s">
        <v>72</v>
      </c>
      <c r="B736" t="s">
        <v>14366</v>
      </c>
      <c r="C736" t="s">
        <v>74</v>
      </c>
      <c r="D736" t="s">
        <v>74</v>
      </c>
      <c r="E736" t="s">
        <v>74</v>
      </c>
      <c r="F736" t="s">
        <v>14367</v>
      </c>
      <c r="G736" t="s">
        <v>74</v>
      </c>
      <c r="H736" t="s">
        <v>74</v>
      </c>
      <c r="I736" t="s">
        <v>14368</v>
      </c>
      <c r="J736" t="s">
        <v>2772</v>
      </c>
      <c r="K736" t="s">
        <v>74</v>
      </c>
      <c r="L736" t="s">
        <v>74</v>
      </c>
      <c r="M736" t="s">
        <v>78</v>
      </c>
      <c r="N736" t="s">
        <v>112</v>
      </c>
      <c r="O736" t="s">
        <v>74</v>
      </c>
      <c r="P736" t="s">
        <v>74</v>
      </c>
      <c r="Q736" t="s">
        <v>74</v>
      </c>
      <c r="R736" t="s">
        <v>74</v>
      </c>
      <c r="S736" t="s">
        <v>74</v>
      </c>
      <c r="T736" t="s">
        <v>14369</v>
      </c>
      <c r="U736" t="s">
        <v>14370</v>
      </c>
      <c r="V736" t="s">
        <v>14371</v>
      </c>
      <c r="W736" t="s">
        <v>14372</v>
      </c>
      <c r="X736" t="s">
        <v>14373</v>
      </c>
      <c r="Y736" t="s">
        <v>14374</v>
      </c>
      <c r="Z736" t="s">
        <v>14375</v>
      </c>
      <c r="AA736" t="s">
        <v>14376</v>
      </c>
      <c r="AB736" t="s">
        <v>14377</v>
      </c>
      <c r="AC736" t="s">
        <v>14378</v>
      </c>
      <c r="AD736" t="s">
        <v>14379</v>
      </c>
      <c r="AE736" t="s">
        <v>14380</v>
      </c>
      <c r="AF736" t="s">
        <v>74</v>
      </c>
      <c r="AG736">
        <v>66</v>
      </c>
      <c r="AH736">
        <v>4</v>
      </c>
      <c r="AI736">
        <v>4</v>
      </c>
      <c r="AJ736">
        <v>10</v>
      </c>
      <c r="AK736">
        <v>24</v>
      </c>
      <c r="AL736" t="s">
        <v>1101</v>
      </c>
      <c r="AM736" t="s">
        <v>1102</v>
      </c>
      <c r="AN736" t="s">
        <v>1103</v>
      </c>
      <c r="AO736" t="s">
        <v>2785</v>
      </c>
      <c r="AP736" t="s">
        <v>2786</v>
      </c>
      <c r="AQ736" t="s">
        <v>74</v>
      </c>
      <c r="AR736" t="s">
        <v>2787</v>
      </c>
      <c r="AS736" t="s">
        <v>2788</v>
      </c>
      <c r="AT736" t="s">
        <v>8210</v>
      </c>
      <c r="AU736">
        <v>2023</v>
      </c>
      <c r="AV736">
        <v>69</v>
      </c>
      <c r="AW736">
        <v>273</v>
      </c>
      <c r="AX736" t="s">
        <v>74</v>
      </c>
      <c r="AY736" t="s">
        <v>74</v>
      </c>
      <c r="AZ736" t="s">
        <v>74</v>
      </c>
      <c r="BA736" t="s">
        <v>74</v>
      </c>
      <c r="BB736">
        <v>204</v>
      </c>
      <c r="BC736">
        <v>210</v>
      </c>
      <c r="BD736" t="s">
        <v>14381</v>
      </c>
      <c r="BE736" t="s">
        <v>14382</v>
      </c>
      <c r="BF736" t="str">
        <f>HYPERLINK("http://dx.doi.org/10.1017/jog.2023.1","http://dx.doi.org/10.1017/jog.2023.1")</f>
        <v>http://dx.doi.org/10.1017/jog.2023.1</v>
      </c>
      <c r="BG736" t="s">
        <v>74</v>
      </c>
      <c r="BH736" t="s">
        <v>11628</v>
      </c>
      <c r="BI736">
        <v>7</v>
      </c>
      <c r="BJ736" t="s">
        <v>801</v>
      </c>
      <c r="BK736" t="s">
        <v>103</v>
      </c>
      <c r="BL736" t="s">
        <v>802</v>
      </c>
      <c r="BM736" t="s">
        <v>14383</v>
      </c>
      <c r="BN736" t="s">
        <v>74</v>
      </c>
      <c r="BO736" t="s">
        <v>359</v>
      </c>
      <c r="BP736" t="s">
        <v>74</v>
      </c>
      <c r="BQ736" t="s">
        <v>74</v>
      </c>
      <c r="BR736" t="s">
        <v>106</v>
      </c>
      <c r="BS736" t="s">
        <v>14384</v>
      </c>
      <c r="BT736" t="str">
        <f>HYPERLINK("https%3A%2F%2Fwww.webofscience.com%2Fwos%2Fwoscc%2Ffull-record%2FWOS:000926315100001","View Full Record in Web of Science")</f>
        <v>View Full Record in Web of Science</v>
      </c>
    </row>
    <row r="737" spans="1:72" x14ac:dyDescent="0.15">
      <c r="A737" t="s">
        <v>72</v>
      </c>
      <c r="B737" t="s">
        <v>14385</v>
      </c>
      <c r="C737" t="s">
        <v>74</v>
      </c>
      <c r="D737" t="s">
        <v>74</v>
      </c>
      <c r="E737" t="s">
        <v>74</v>
      </c>
      <c r="F737" t="s">
        <v>14386</v>
      </c>
      <c r="G737" t="s">
        <v>74</v>
      </c>
      <c r="H737" t="s">
        <v>74</v>
      </c>
      <c r="I737" t="s">
        <v>14387</v>
      </c>
      <c r="J737" t="s">
        <v>6932</v>
      </c>
      <c r="K737" t="s">
        <v>74</v>
      </c>
      <c r="L737" t="s">
        <v>74</v>
      </c>
      <c r="M737" t="s">
        <v>78</v>
      </c>
      <c r="N737" t="s">
        <v>112</v>
      </c>
      <c r="O737" t="s">
        <v>74</v>
      </c>
      <c r="P737" t="s">
        <v>74</v>
      </c>
      <c r="Q737" t="s">
        <v>74</v>
      </c>
      <c r="R737" t="s">
        <v>74</v>
      </c>
      <c r="S737" t="s">
        <v>74</v>
      </c>
      <c r="T737" t="s">
        <v>14388</v>
      </c>
      <c r="U737" t="s">
        <v>74</v>
      </c>
      <c r="V737" t="s">
        <v>14389</v>
      </c>
      <c r="W737" t="s">
        <v>14390</v>
      </c>
      <c r="X737" t="s">
        <v>14391</v>
      </c>
      <c r="Y737" t="s">
        <v>14392</v>
      </c>
      <c r="Z737" t="s">
        <v>14393</v>
      </c>
      <c r="AA737" t="s">
        <v>74</v>
      </c>
      <c r="AB737" t="s">
        <v>74</v>
      </c>
      <c r="AC737" t="s">
        <v>74</v>
      </c>
      <c r="AD737" t="s">
        <v>74</v>
      </c>
      <c r="AE737" t="s">
        <v>74</v>
      </c>
      <c r="AF737" t="s">
        <v>74</v>
      </c>
      <c r="AG737">
        <v>47</v>
      </c>
      <c r="AH737">
        <v>0</v>
      </c>
      <c r="AI737">
        <v>0</v>
      </c>
      <c r="AJ737">
        <v>0</v>
      </c>
      <c r="AK737">
        <v>1</v>
      </c>
      <c r="AL737" t="s">
        <v>1101</v>
      </c>
      <c r="AM737" t="s">
        <v>179</v>
      </c>
      <c r="AN737" t="s">
        <v>1543</v>
      </c>
      <c r="AO737" t="s">
        <v>6934</v>
      </c>
      <c r="AP737" t="s">
        <v>6935</v>
      </c>
      <c r="AQ737" t="s">
        <v>74</v>
      </c>
      <c r="AR737" t="s">
        <v>6936</v>
      </c>
      <c r="AS737" t="s">
        <v>6937</v>
      </c>
      <c r="AT737" t="s">
        <v>14362</v>
      </c>
      <c r="AU737">
        <v>2023</v>
      </c>
      <c r="AV737">
        <v>59</v>
      </c>
      <c r="AW737" t="s">
        <v>74</v>
      </c>
      <c r="AX737" t="s">
        <v>74</v>
      </c>
      <c r="AY737" t="s">
        <v>74</v>
      </c>
      <c r="AZ737" t="s">
        <v>74</v>
      </c>
      <c r="BA737" t="s">
        <v>74</v>
      </c>
      <c r="BB737" t="s">
        <v>74</v>
      </c>
      <c r="BC737" t="s">
        <v>74</v>
      </c>
      <c r="BD737" t="s">
        <v>14394</v>
      </c>
      <c r="BE737" t="s">
        <v>14395</v>
      </c>
      <c r="BF737" t="str">
        <f>HYPERLINK("http://dx.doi.org/10.1017/S0032247422000353","http://dx.doi.org/10.1017/S0032247422000353")</f>
        <v>http://dx.doi.org/10.1017/S0032247422000353</v>
      </c>
      <c r="BG737" t="s">
        <v>74</v>
      </c>
      <c r="BH737" t="s">
        <v>74</v>
      </c>
      <c r="BI737">
        <v>9</v>
      </c>
      <c r="BJ737" t="s">
        <v>3766</v>
      </c>
      <c r="BK737" t="s">
        <v>103</v>
      </c>
      <c r="BL737" t="s">
        <v>1164</v>
      </c>
      <c r="BM737" t="s">
        <v>14396</v>
      </c>
      <c r="BN737" t="s">
        <v>74</v>
      </c>
      <c r="BO737" t="s">
        <v>74</v>
      </c>
      <c r="BP737" t="s">
        <v>74</v>
      </c>
      <c r="BQ737" t="s">
        <v>74</v>
      </c>
      <c r="BR737" t="s">
        <v>106</v>
      </c>
      <c r="BS737" t="s">
        <v>14397</v>
      </c>
      <c r="BT737" t="str">
        <f>HYPERLINK("https%3A%2F%2Fwww.webofscience.com%2Fwos%2Fwoscc%2Ffull-record%2FWOS:000924732500001","View Full Record in Web of Science")</f>
        <v>View Full Record in Web of Science</v>
      </c>
    </row>
    <row r="738" spans="1:72" x14ac:dyDescent="0.15">
      <c r="A738" t="s">
        <v>72</v>
      </c>
      <c r="B738" t="s">
        <v>14398</v>
      </c>
      <c r="C738" t="s">
        <v>74</v>
      </c>
      <c r="D738" t="s">
        <v>74</v>
      </c>
      <c r="E738" t="s">
        <v>74</v>
      </c>
      <c r="F738" t="s">
        <v>14399</v>
      </c>
      <c r="G738" t="s">
        <v>74</v>
      </c>
      <c r="H738" t="s">
        <v>74</v>
      </c>
      <c r="I738" t="s">
        <v>14400</v>
      </c>
      <c r="J738" t="s">
        <v>14401</v>
      </c>
      <c r="K738" t="s">
        <v>74</v>
      </c>
      <c r="L738" t="s">
        <v>74</v>
      </c>
      <c r="M738" t="s">
        <v>78</v>
      </c>
      <c r="N738" t="s">
        <v>112</v>
      </c>
      <c r="O738" t="s">
        <v>74</v>
      </c>
      <c r="P738" t="s">
        <v>74</v>
      </c>
      <c r="Q738" t="s">
        <v>74</v>
      </c>
      <c r="R738" t="s">
        <v>74</v>
      </c>
      <c r="S738" t="s">
        <v>74</v>
      </c>
      <c r="T738" t="s">
        <v>14402</v>
      </c>
      <c r="U738" t="s">
        <v>14403</v>
      </c>
      <c r="V738" t="s">
        <v>14404</v>
      </c>
      <c r="W738" t="s">
        <v>14405</v>
      </c>
      <c r="X738" t="s">
        <v>14406</v>
      </c>
      <c r="Y738" t="s">
        <v>14407</v>
      </c>
      <c r="Z738" t="s">
        <v>14408</v>
      </c>
      <c r="AA738" t="s">
        <v>14409</v>
      </c>
      <c r="AB738" t="s">
        <v>14410</v>
      </c>
      <c r="AC738" t="s">
        <v>14411</v>
      </c>
      <c r="AD738" t="s">
        <v>14411</v>
      </c>
      <c r="AE738" t="s">
        <v>14412</v>
      </c>
      <c r="AF738" t="s">
        <v>74</v>
      </c>
      <c r="AG738">
        <v>62</v>
      </c>
      <c r="AH738">
        <v>1</v>
      </c>
      <c r="AI738">
        <v>1</v>
      </c>
      <c r="AJ738">
        <v>4</v>
      </c>
      <c r="AK738">
        <v>8</v>
      </c>
      <c r="AL738" t="s">
        <v>14413</v>
      </c>
      <c r="AM738" t="s">
        <v>14414</v>
      </c>
      <c r="AN738" t="s">
        <v>14415</v>
      </c>
      <c r="AO738" t="s">
        <v>14416</v>
      </c>
      <c r="AP738" t="s">
        <v>14417</v>
      </c>
      <c r="AQ738" t="s">
        <v>74</v>
      </c>
      <c r="AR738" t="s">
        <v>14418</v>
      </c>
      <c r="AS738" t="s">
        <v>14419</v>
      </c>
      <c r="AT738" t="s">
        <v>14420</v>
      </c>
      <c r="AU738">
        <v>2023</v>
      </c>
      <c r="AV738">
        <v>123</v>
      </c>
      <c r="AW738">
        <v>1</v>
      </c>
      <c r="AX738" t="s">
        <v>74</v>
      </c>
      <c r="AY738" t="s">
        <v>74</v>
      </c>
      <c r="AZ738" t="s">
        <v>74</v>
      </c>
      <c r="BA738" t="s">
        <v>74</v>
      </c>
      <c r="BB738">
        <v>49</v>
      </c>
      <c r="BC738">
        <v>59</v>
      </c>
      <c r="BD738" t="s">
        <v>74</v>
      </c>
      <c r="BE738" t="s">
        <v>14421</v>
      </c>
      <c r="BF738" t="str">
        <f>HYPERLINK("http://dx.doi.org/10.1080/01584197.2022.2161914","http://dx.doi.org/10.1080/01584197.2022.2161914")</f>
        <v>http://dx.doi.org/10.1080/01584197.2022.2161914</v>
      </c>
      <c r="BG738" t="s">
        <v>74</v>
      </c>
      <c r="BH738" t="s">
        <v>11628</v>
      </c>
      <c r="BI738">
        <v>11</v>
      </c>
      <c r="BJ738" t="s">
        <v>13055</v>
      </c>
      <c r="BK738" t="s">
        <v>103</v>
      </c>
      <c r="BL738" t="s">
        <v>2582</v>
      </c>
      <c r="BM738" t="s">
        <v>14422</v>
      </c>
      <c r="BN738" t="s">
        <v>74</v>
      </c>
      <c r="BO738" t="s">
        <v>74</v>
      </c>
      <c r="BP738" t="s">
        <v>74</v>
      </c>
      <c r="BQ738" t="s">
        <v>74</v>
      </c>
      <c r="BR738" t="s">
        <v>106</v>
      </c>
      <c r="BS738" t="s">
        <v>14423</v>
      </c>
      <c r="BT738" t="str">
        <f>HYPERLINK("https%3A%2F%2Fwww.webofscience.com%2Fwos%2Fwoscc%2Ffull-record%2FWOS:000927003000001","View Full Record in Web of Science")</f>
        <v>View Full Record in Web of Science</v>
      </c>
    </row>
    <row r="739" spans="1:72" x14ac:dyDescent="0.15">
      <c r="A739" t="s">
        <v>72</v>
      </c>
      <c r="B739" t="s">
        <v>14424</v>
      </c>
      <c r="C739" t="s">
        <v>74</v>
      </c>
      <c r="D739" t="s">
        <v>74</v>
      </c>
      <c r="E739" t="s">
        <v>74</v>
      </c>
      <c r="F739" t="s">
        <v>14425</v>
      </c>
      <c r="G739" t="s">
        <v>74</v>
      </c>
      <c r="H739" t="s">
        <v>74</v>
      </c>
      <c r="I739" t="s">
        <v>14426</v>
      </c>
      <c r="J739" t="s">
        <v>3641</v>
      </c>
      <c r="K739" t="s">
        <v>74</v>
      </c>
      <c r="L739" t="s">
        <v>74</v>
      </c>
      <c r="M739" t="s">
        <v>78</v>
      </c>
      <c r="N739" t="s">
        <v>365</v>
      </c>
      <c r="O739" t="s">
        <v>74</v>
      </c>
      <c r="P739" t="s">
        <v>74</v>
      </c>
      <c r="Q739" t="s">
        <v>74</v>
      </c>
      <c r="R739" t="s">
        <v>74</v>
      </c>
      <c r="S739" t="s">
        <v>74</v>
      </c>
      <c r="T739" t="s">
        <v>14427</v>
      </c>
      <c r="U739" t="s">
        <v>14428</v>
      </c>
      <c r="V739" t="s">
        <v>14429</v>
      </c>
      <c r="W739" t="s">
        <v>14430</v>
      </c>
      <c r="X739" t="s">
        <v>14431</v>
      </c>
      <c r="Y739" t="s">
        <v>14432</v>
      </c>
      <c r="Z739" t="s">
        <v>14433</v>
      </c>
      <c r="AA739" t="s">
        <v>14434</v>
      </c>
      <c r="AB739" t="s">
        <v>14435</v>
      </c>
      <c r="AC739" t="s">
        <v>74</v>
      </c>
      <c r="AD739" t="s">
        <v>74</v>
      </c>
      <c r="AE739" t="s">
        <v>74</v>
      </c>
      <c r="AF739" t="s">
        <v>74</v>
      </c>
      <c r="AG739">
        <v>161</v>
      </c>
      <c r="AH739">
        <v>15</v>
      </c>
      <c r="AI739">
        <v>16</v>
      </c>
      <c r="AJ739">
        <v>42</v>
      </c>
      <c r="AK739">
        <v>133</v>
      </c>
      <c r="AL739" t="s">
        <v>1673</v>
      </c>
      <c r="AM739" t="s">
        <v>1674</v>
      </c>
      <c r="AN739" t="s">
        <v>1675</v>
      </c>
      <c r="AO739" t="s">
        <v>3653</v>
      </c>
      <c r="AP739" t="s">
        <v>3654</v>
      </c>
      <c r="AQ739" t="s">
        <v>74</v>
      </c>
      <c r="AR739" t="s">
        <v>3655</v>
      </c>
      <c r="AS739" t="s">
        <v>3656</v>
      </c>
      <c r="AT739" t="s">
        <v>4546</v>
      </c>
      <c r="AU739">
        <v>2023</v>
      </c>
      <c r="AV739">
        <v>222</v>
      </c>
      <c r="AW739" t="s">
        <v>74</v>
      </c>
      <c r="AX739" t="s">
        <v>74</v>
      </c>
      <c r="AY739" t="s">
        <v>74</v>
      </c>
      <c r="AZ739" t="s">
        <v>74</v>
      </c>
      <c r="BA739" t="s">
        <v>74</v>
      </c>
      <c r="BB739" t="s">
        <v>74</v>
      </c>
      <c r="BC739" t="s">
        <v>74</v>
      </c>
      <c r="BD739">
        <v>115312</v>
      </c>
      <c r="BE739" t="s">
        <v>14436</v>
      </c>
      <c r="BF739" t="str">
        <f>HYPERLINK("http://dx.doi.org/10.1016/j.envres.2023.115312","http://dx.doi.org/10.1016/j.envres.2023.115312")</f>
        <v>http://dx.doi.org/10.1016/j.envres.2023.115312</v>
      </c>
      <c r="BG739" t="s">
        <v>74</v>
      </c>
      <c r="BH739" t="s">
        <v>11628</v>
      </c>
      <c r="BI739">
        <v>11</v>
      </c>
      <c r="BJ739" t="s">
        <v>3659</v>
      </c>
      <c r="BK739" t="s">
        <v>103</v>
      </c>
      <c r="BL739" t="s">
        <v>3660</v>
      </c>
      <c r="BM739" t="s">
        <v>14437</v>
      </c>
      <c r="BN739">
        <v>36709031</v>
      </c>
      <c r="BO739" t="s">
        <v>74</v>
      </c>
      <c r="BP739" t="s">
        <v>74</v>
      </c>
      <c r="BQ739" t="s">
        <v>74</v>
      </c>
      <c r="BR739" t="s">
        <v>106</v>
      </c>
      <c r="BS739" t="s">
        <v>14438</v>
      </c>
      <c r="BT739" t="str">
        <f>HYPERLINK("https%3A%2F%2Fwww.webofscience.com%2Fwos%2Fwoscc%2Ffull-record%2FWOS:000931460800001","View Full Record in Web of Science")</f>
        <v>View Full Record in Web of Science</v>
      </c>
    </row>
    <row r="740" spans="1:72" x14ac:dyDescent="0.15">
      <c r="A740" t="s">
        <v>72</v>
      </c>
      <c r="B740" t="s">
        <v>14439</v>
      </c>
      <c r="C740" t="s">
        <v>74</v>
      </c>
      <c r="D740" t="s">
        <v>74</v>
      </c>
      <c r="E740" t="s">
        <v>74</v>
      </c>
      <c r="F740" t="s">
        <v>14440</v>
      </c>
      <c r="G740" t="s">
        <v>74</v>
      </c>
      <c r="H740" t="s">
        <v>74</v>
      </c>
      <c r="I740" t="s">
        <v>14441</v>
      </c>
      <c r="J740" t="s">
        <v>14442</v>
      </c>
      <c r="K740" t="s">
        <v>74</v>
      </c>
      <c r="L740" t="s">
        <v>74</v>
      </c>
      <c r="M740" t="s">
        <v>78</v>
      </c>
      <c r="N740" t="s">
        <v>112</v>
      </c>
      <c r="O740" t="s">
        <v>74</v>
      </c>
      <c r="P740" t="s">
        <v>74</v>
      </c>
      <c r="Q740" t="s">
        <v>74</v>
      </c>
      <c r="R740" t="s">
        <v>74</v>
      </c>
      <c r="S740" t="s">
        <v>74</v>
      </c>
      <c r="T740" t="s">
        <v>14443</v>
      </c>
      <c r="U740" t="s">
        <v>14444</v>
      </c>
      <c r="V740" t="s">
        <v>14445</v>
      </c>
      <c r="W740" t="s">
        <v>14446</v>
      </c>
      <c r="X740" t="s">
        <v>14447</v>
      </c>
      <c r="Y740" t="s">
        <v>14448</v>
      </c>
      <c r="Z740" t="s">
        <v>14449</v>
      </c>
      <c r="AA740" t="s">
        <v>14450</v>
      </c>
      <c r="AB740" t="s">
        <v>14451</v>
      </c>
      <c r="AC740" t="s">
        <v>14452</v>
      </c>
      <c r="AD740" t="s">
        <v>14453</v>
      </c>
      <c r="AE740" t="s">
        <v>14454</v>
      </c>
      <c r="AF740" t="s">
        <v>74</v>
      </c>
      <c r="AG740">
        <v>70</v>
      </c>
      <c r="AH740">
        <v>0</v>
      </c>
      <c r="AI740">
        <v>0</v>
      </c>
      <c r="AJ740">
        <v>1</v>
      </c>
      <c r="AK740">
        <v>3</v>
      </c>
      <c r="AL740" t="s">
        <v>768</v>
      </c>
      <c r="AM740" t="s">
        <v>179</v>
      </c>
      <c r="AN740" t="s">
        <v>769</v>
      </c>
      <c r="AO740" t="s">
        <v>14455</v>
      </c>
      <c r="AP740" t="s">
        <v>14456</v>
      </c>
      <c r="AQ740" t="s">
        <v>74</v>
      </c>
      <c r="AR740" t="s">
        <v>14457</v>
      </c>
      <c r="AS740" t="s">
        <v>14458</v>
      </c>
      <c r="AT740" t="s">
        <v>8042</v>
      </c>
      <c r="AU740">
        <v>2023</v>
      </c>
      <c r="AV740">
        <v>122</v>
      </c>
      <c r="AW740">
        <v>3</v>
      </c>
      <c r="AX740" t="s">
        <v>74</v>
      </c>
      <c r="AY740" t="s">
        <v>74</v>
      </c>
      <c r="AZ740" t="s">
        <v>74</v>
      </c>
      <c r="BA740" t="s">
        <v>74</v>
      </c>
      <c r="BB740">
        <v>853</v>
      </c>
      <c r="BC740">
        <v>865</v>
      </c>
      <c r="BD740" t="s">
        <v>74</v>
      </c>
      <c r="BE740" t="s">
        <v>14459</v>
      </c>
      <c r="BF740" t="str">
        <f>HYPERLINK("http://dx.doi.org/10.1007/s00436-023-07785-8","http://dx.doi.org/10.1007/s00436-023-07785-8")</f>
        <v>http://dx.doi.org/10.1007/s00436-023-07785-8</v>
      </c>
      <c r="BG740" t="s">
        <v>74</v>
      </c>
      <c r="BH740" t="s">
        <v>11628</v>
      </c>
      <c r="BI740">
        <v>13</v>
      </c>
      <c r="BJ740" t="s">
        <v>14460</v>
      </c>
      <c r="BK740" t="s">
        <v>103</v>
      </c>
      <c r="BL740" t="s">
        <v>14460</v>
      </c>
      <c r="BM740" t="s">
        <v>14461</v>
      </c>
      <c r="BN740">
        <v>36737553</v>
      </c>
      <c r="BO740" t="s">
        <v>1389</v>
      </c>
      <c r="BP740" t="s">
        <v>74</v>
      </c>
      <c r="BQ740" t="s">
        <v>74</v>
      </c>
      <c r="BR740" t="s">
        <v>106</v>
      </c>
      <c r="BS740" t="s">
        <v>14462</v>
      </c>
      <c r="BT740" t="str">
        <f>HYPERLINK("https%3A%2F%2Fwww.webofscience.com%2Fwos%2Fwoscc%2Ffull-record%2FWOS:000925341200001","View Full Record in Web of Science")</f>
        <v>View Full Record in Web of Science</v>
      </c>
    </row>
    <row r="741" spans="1:72" x14ac:dyDescent="0.15">
      <c r="A741" t="s">
        <v>72</v>
      </c>
      <c r="B741" t="s">
        <v>14463</v>
      </c>
      <c r="C741" t="s">
        <v>74</v>
      </c>
      <c r="D741" t="s">
        <v>74</v>
      </c>
      <c r="E741" t="s">
        <v>74</v>
      </c>
      <c r="F741" t="s">
        <v>14464</v>
      </c>
      <c r="G741" t="s">
        <v>74</v>
      </c>
      <c r="H741" t="s">
        <v>74</v>
      </c>
      <c r="I741" t="s">
        <v>14465</v>
      </c>
      <c r="J741" t="s">
        <v>8288</v>
      </c>
      <c r="K741" t="s">
        <v>74</v>
      </c>
      <c r="L741" t="s">
        <v>74</v>
      </c>
      <c r="M741" t="s">
        <v>78</v>
      </c>
      <c r="N741" t="s">
        <v>112</v>
      </c>
      <c r="O741" t="s">
        <v>74</v>
      </c>
      <c r="P741" t="s">
        <v>74</v>
      </c>
      <c r="Q741" t="s">
        <v>74</v>
      </c>
      <c r="R741" t="s">
        <v>74</v>
      </c>
      <c r="S741" t="s">
        <v>74</v>
      </c>
      <c r="T741" t="s">
        <v>14466</v>
      </c>
      <c r="U741" t="s">
        <v>14467</v>
      </c>
      <c r="V741" t="s">
        <v>14468</v>
      </c>
      <c r="W741" t="s">
        <v>14469</v>
      </c>
      <c r="X741" t="s">
        <v>14470</v>
      </c>
      <c r="Y741" t="s">
        <v>14471</v>
      </c>
      <c r="Z741" t="s">
        <v>14472</v>
      </c>
      <c r="AA741" t="s">
        <v>14473</v>
      </c>
      <c r="AB741" t="s">
        <v>14474</v>
      </c>
      <c r="AC741" t="s">
        <v>14475</v>
      </c>
      <c r="AD741" t="s">
        <v>14476</v>
      </c>
      <c r="AE741" t="s">
        <v>14477</v>
      </c>
      <c r="AF741" t="s">
        <v>74</v>
      </c>
      <c r="AG741">
        <v>60</v>
      </c>
      <c r="AH741">
        <v>8</v>
      </c>
      <c r="AI741">
        <v>8</v>
      </c>
      <c r="AJ741">
        <v>5</v>
      </c>
      <c r="AK741">
        <v>11</v>
      </c>
      <c r="AL741" t="s">
        <v>2092</v>
      </c>
      <c r="AM741" t="s">
        <v>2093</v>
      </c>
      <c r="AN741" t="s">
        <v>2094</v>
      </c>
      <c r="AO741" t="s">
        <v>8301</v>
      </c>
      <c r="AP741" t="s">
        <v>8302</v>
      </c>
      <c r="AQ741" t="s">
        <v>74</v>
      </c>
      <c r="AR741" t="s">
        <v>8303</v>
      </c>
      <c r="AS741" t="s">
        <v>8304</v>
      </c>
      <c r="AT741" t="s">
        <v>3657</v>
      </c>
      <c r="AU741">
        <v>2023</v>
      </c>
      <c r="AV741">
        <v>43</v>
      </c>
      <c r="AW741">
        <v>7</v>
      </c>
      <c r="AX741" t="s">
        <v>74</v>
      </c>
      <c r="AY741" t="s">
        <v>74</v>
      </c>
      <c r="AZ741" t="s">
        <v>74</v>
      </c>
      <c r="BA741" t="s">
        <v>74</v>
      </c>
      <c r="BB741">
        <v>3125</v>
      </c>
      <c r="BC741">
        <v>3138</v>
      </c>
      <c r="BD741" t="s">
        <v>74</v>
      </c>
      <c r="BE741" t="s">
        <v>14478</v>
      </c>
      <c r="BF741" t="str">
        <f>HYPERLINK("http://dx.doi.org/10.1002/joc.8020","http://dx.doi.org/10.1002/joc.8020")</f>
        <v>http://dx.doi.org/10.1002/joc.8020</v>
      </c>
      <c r="BG741" t="s">
        <v>74</v>
      </c>
      <c r="BH741" t="s">
        <v>11628</v>
      </c>
      <c r="BI741">
        <v>14</v>
      </c>
      <c r="BJ741" t="s">
        <v>102</v>
      </c>
      <c r="BK741" t="s">
        <v>103</v>
      </c>
      <c r="BL741" t="s">
        <v>102</v>
      </c>
      <c r="BM741" t="s">
        <v>14479</v>
      </c>
      <c r="BN741" t="s">
        <v>74</v>
      </c>
      <c r="BO741" t="s">
        <v>1748</v>
      </c>
      <c r="BP741" t="s">
        <v>74</v>
      </c>
      <c r="BQ741" t="s">
        <v>74</v>
      </c>
      <c r="BR741" t="s">
        <v>106</v>
      </c>
      <c r="BS741" t="s">
        <v>14480</v>
      </c>
      <c r="BT741" t="str">
        <f>HYPERLINK("https%3A%2F%2Fwww.webofscience.com%2Fwos%2Fwoscc%2Ffull-record%2FWOS:000932662700001","View Full Record in Web of Science")</f>
        <v>View Full Record in Web of Science</v>
      </c>
    </row>
    <row r="742" spans="1:72" x14ac:dyDescent="0.15">
      <c r="A742" t="s">
        <v>72</v>
      </c>
      <c r="B742" t="s">
        <v>14481</v>
      </c>
      <c r="C742" t="s">
        <v>74</v>
      </c>
      <c r="D742" t="s">
        <v>74</v>
      </c>
      <c r="E742" t="s">
        <v>74</v>
      </c>
      <c r="F742" t="s">
        <v>14482</v>
      </c>
      <c r="G742" t="s">
        <v>74</v>
      </c>
      <c r="H742" t="s">
        <v>74</v>
      </c>
      <c r="I742" t="s">
        <v>14483</v>
      </c>
      <c r="J742" t="s">
        <v>13703</v>
      </c>
      <c r="K742" t="s">
        <v>74</v>
      </c>
      <c r="L742" t="s">
        <v>74</v>
      </c>
      <c r="M742" t="s">
        <v>78</v>
      </c>
      <c r="N742" t="s">
        <v>112</v>
      </c>
      <c r="O742" t="s">
        <v>74</v>
      </c>
      <c r="P742" t="s">
        <v>74</v>
      </c>
      <c r="Q742" t="s">
        <v>74</v>
      </c>
      <c r="R742" t="s">
        <v>74</v>
      </c>
      <c r="S742" t="s">
        <v>74</v>
      </c>
      <c r="T742" t="s">
        <v>14484</v>
      </c>
      <c r="U742" t="s">
        <v>14485</v>
      </c>
      <c r="V742" t="s">
        <v>14486</v>
      </c>
      <c r="W742" t="s">
        <v>14487</v>
      </c>
      <c r="X742" t="s">
        <v>14488</v>
      </c>
      <c r="Y742" t="s">
        <v>14489</v>
      </c>
      <c r="Z742" t="s">
        <v>14490</v>
      </c>
      <c r="AA742" t="s">
        <v>74</v>
      </c>
      <c r="AB742" t="s">
        <v>14491</v>
      </c>
      <c r="AC742" t="s">
        <v>14492</v>
      </c>
      <c r="AD742" t="s">
        <v>14493</v>
      </c>
      <c r="AE742" t="s">
        <v>14494</v>
      </c>
      <c r="AF742" t="s">
        <v>74</v>
      </c>
      <c r="AG742">
        <v>73</v>
      </c>
      <c r="AH742">
        <v>2</v>
      </c>
      <c r="AI742">
        <v>2</v>
      </c>
      <c r="AJ742">
        <v>2</v>
      </c>
      <c r="AK742">
        <v>5</v>
      </c>
      <c r="AL742" t="s">
        <v>225</v>
      </c>
      <c r="AM742" t="s">
        <v>226</v>
      </c>
      <c r="AN742" t="s">
        <v>227</v>
      </c>
      <c r="AO742" t="s">
        <v>13716</v>
      </c>
      <c r="AP742" t="s">
        <v>13717</v>
      </c>
      <c r="AQ742" t="s">
        <v>74</v>
      </c>
      <c r="AR742" t="s">
        <v>13718</v>
      </c>
      <c r="AS742" t="s">
        <v>13719</v>
      </c>
      <c r="AT742" t="s">
        <v>13198</v>
      </c>
      <c r="AU742">
        <v>2023</v>
      </c>
      <c r="AV742">
        <v>343</v>
      </c>
      <c r="AW742" t="s">
        <v>74</v>
      </c>
      <c r="AX742" t="s">
        <v>74</v>
      </c>
      <c r="AY742" t="s">
        <v>74</v>
      </c>
      <c r="AZ742" t="s">
        <v>74</v>
      </c>
      <c r="BA742" t="s">
        <v>74</v>
      </c>
      <c r="BB742">
        <v>234</v>
      </c>
      <c r="BC742">
        <v>249</v>
      </c>
      <c r="BD742" t="s">
        <v>74</v>
      </c>
      <c r="BE742" t="s">
        <v>14495</v>
      </c>
      <c r="BF742" t="str">
        <f>HYPERLINK("http://dx.doi.org/10.1016/j.gca.2022.11.018","http://dx.doi.org/10.1016/j.gca.2022.11.018")</f>
        <v>http://dx.doi.org/10.1016/j.gca.2022.11.018</v>
      </c>
      <c r="BG742" t="s">
        <v>74</v>
      </c>
      <c r="BH742" t="s">
        <v>11628</v>
      </c>
      <c r="BI742">
        <v>16</v>
      </c>
      <c r="BJ742" t="s">
        <v>313</v>
      </c>
      <c r="BK742" t="s">
        <v>103</v>
      </c>
      <c r="BL742" t="s">
        <v>313</v>
      </c>
      <c r="BM742" t="s">
        <v>14496</v>
      </c>
      <c r="BN742" t="s">
        <v>74</v>
      </c>
      <c r="BO742" t="s">
        <v>387</v>
      </c>
      <c r="BP742" t="s">
        <v>74</v>
      </c>
      <c r="BQ742" t="s">
        <v>74</v>
      </c>
      <c r="BR742" t="s">
        <v>106</v>
      </c>
      <c r="BS742" t="s">
        <v>14497</v>
      </c>
      <c r="BT742" t="str">
        <f>HYPERLINK("https%3A%2F%2Fwww.webofscience.com%2Fwos%2Fwoscc%2Ffull-record%2FWOS:000965040300001","View Full Record in Web of Science")</f>
        <v>View Full Record in Web of Science</v>
      </c>
    </row>
    <row r="743" spans="1:72" x14ac:dyDescent="0.15">
      <c r="A743" t="s">
        <v>72</v>
      </c>
      <c r="B743" t="s">
        <v>14498</v>
      </c>
      <c r="C743" t="s">
        <v>74</v>
      </c>
      <c r="D743" t="s">
        <v>74</v>
      </c>
      <c r="E743" t="s">
        <v>74</v>
      </c>
      <c r="F743" t="s">
        <v>14499</v>
      </c>
      <c r="G743" t="s">
        <v>74</v>
      </c>
      <c r="H743" t="s">
        <v>74</v>
      </c>
      <c r="I743" t="s">
        <v>14500</v>
      </c>
      <c r="J743" t="s">
        <v>3011</v>
      </c>
      <c r="K743" t="s">
        <v>74</v>
      </c>
      <c r="L743" t="s">
        <v>74</v>
      </c>
      <c r="M743" t="s">
        <v>78</v>
      </c>
      <c r="N743" t="s">
        <v>112</v>
      </c>
      <c r="O743" t="s">
        <v>74</v>
      </c>
      <c r="P743" t="s">
        <v>74</v>
      </c>
      <c r="Q743" t="s">
        <v>74</v>
      </c>
      <c r="R743" t="s">
        <v>74</v>
      </c>
      <c r="S743" t="s">
        <v>74</v>
      </c>
      <c r="T743" t="s">
        <v>14501</v>
      </c>
      <c r="U743" t="s">
        <v>14502</v>
      </c>
      <c r="V743" t="s">
        <v>14503</v>
      </c>
      <c r="W743" t="s">
        <v>14504</v>
      </c>
      <c r="X743" t="s">
        <v>4698</v>
      </c>
      <c r="Y743" t="s">
        <v>14505</v>
      </c>
      <c r="Z743" t="s">
        <v>14506</v>
      </c>
      <c r="AA743" t="s">
        <v>74</v>
      </c>
      <c r="AB743" t="s">
        <v>74</v>
      </c>
      <c r="AC743" t="s">
        <v>14507</v>
      </c>
      <c r="AD743" t="s">
        <v>14508</v>
      </c>
      <c r="AE743" t="s">
        <v>14509</v>
      </c>
      <c r="AF743" t="s">
        <v>74</v>
      </c>
      <c r="AG743">
        <v>79</v>
      </c>
      <c r="AH743">
        <v>2</v>
      </c>
      <c r="AI743">
        <v>2</v>
      </c>
      <c r="AJ743">
        <v>1</v>
      </c>
      <c r="AK743">
        <v>10</v>
      </c>
      <c r="AL743" t="s">
        <v>700</v>
      </c>
      <c r="AM743" t="s">
        <v>701</v>
      </c>
      <c r="AN743" t="s">
        <v>702</v>
      </c>
      <c r="AO743" t="s">
        <v>74</v>
      </c>
      <c r="AP743" t="s">
        <v>3023</v>
      </c>
      <c r="AQ743" t="s">
        <v>74</v>
      </c>
      <c r="AR743" t="s">
        <v>3024</v>
      </c>
      <c r="AS743" t="s">
        <v>3025</v>
      </c>
      <c r="AT743" t="s">
        <v>14510</v>
      </c>
      <c r="AU743">
        <v>2023</v>
      </c>
      <c r="AV743">
        <v>11</v>
      </c>
      <c r="AW743" t="s">
        <v>74</v>
      </c>
      <c r="AX743" t="s">
        <v>74</v>
      </c>
      <c r="AY743" t="s">
        <v>74</v>
      </c>
      <c r="AZ743" t="s">
        <v>74</v>
      </c>
      <c r="BA743" t="s">
        <v>74</v>
      </c>
      <c r="BB743" t="s">
        <v>74</v>
      </c>
      <c r="BC743" t="s">
        <v>74</v>
      </c>
      <c r="BD743">
        <v>1129628</v>
      </c>
      <c r="BE743" t="s">
        <v>14511</v>
      </c>
      <c r="BF743" t="str">
        <f>HYPERLINK("http://dx.doi.org/10.3389/feart.2023.1129628","http://dx.doi.org/10.3389/feart.2023.1129628")</f>
        <v>http://dx.doi.org/10.3389/feart.2023.1129628</v>
      </c>
      <c r="BG743" t="s">
        <v>74</v>
      </c>
      <c r="BH743" t="s">
        <v>74</v>
      </c>
      <c r="BI743">
        <v>18</v>
      </c>
      <c r="BJ743" t="s">
        <v>261</v>
      </c>
      <c r="BK743" t="s">
        <v>103</v>
      </c>
      <c r="BL743" t="s">
        <v>262</v>
      </c>
      <c r="BM743" t="s">
        <v>14512</v>
      </c>
      <c r="BN743" t="s">
        <v>74</v>
      </c>
      <c r="BO743" t="s">
        <v>359</v>
      </c>
      <c r="BP743" t="s">
        <v>74</v>
      </c>
      <c r="BQ743" t="s">
        <v>74</v>
      </c>
      <c r="BR743" t="s">
        <v>106</v>
      </c>
      <c r="BS743" t="s">
        <v>14513</v>
      </c>
      <c r="BT743" t="str">
        <f>HYPERLINK("https%3A%2F%2Fwww.webofscience.com%2Fwos%2Fwoscc%2Ffull-record%2FWOS:000935812400001","View Full Record in Web of Science")</f>
        <v>View Full Record in Web of Science</v>
      </c>
    </row>
    <row r="744" spans="1:72" x14ac:dyDescent="0.15">
      <c r="A744" t="s">
        <v>72</v>
      </c>
      <c r="B744" t="s">
        <v>14514</v>
      </c>
      <c r="C744" t="s">
        <v>74</v>
      </c>
      <c r="D744" t="s">
        <v>74</v>
      </c>
      <c r="E744" t="s">
        <v>74</v>
      </c>
      <c r="F744" t="s">
        <v>14515</v>
      </c>
      <c r="G744" t="s">
        <v>74</v>
      </c>
      <c r="H744" t="s">
        <v>74</v>
      </c>
      <c r="I744" t="s">
        <v>14516</v>
      </c>
      <c r="J744" t="s">
        <v>1215</v>
      </c>
      <c r="K744" t="s">
        <v>74</v>
      </c>
      <c r="L744" t="s">
        <v>74</v>
      </c>
      <c r="M744" t="s">
        <v>78</v>
      </c>
      <c r="N744" t="s">
        <v>112</v>
      </c>
      <c r="O744" t="s">
        <v>74</v>
      </c>
      <c r="P744" t="s">
        <v>74</v>
      </c>
      <c r="Q744" t="s">
        <v>74</v>
      </c>
      <c r="R744" t="s">
        <v>74</v>
      </c>
      <c r="S744" t="s">
        <v>74</v>
      </c>
      <c r="T744" t="s">
        <v>14517</v>
      </c>
      <c r="U744" t="s">
        <v>14518</v>
      </c>
      <c r="V744" t="s">
        <v>14519</v>
      </c>
      <c r="W744" t="s">
        <v>14520</v>
      </c>
      <c r="X744" t="s">
        <v>14521</v>
      </c>
      <c r="Y744" t="s">
        <v>14522</v>
      </c>
      <c r="Z744" t="s">
        <v>14523</v>
      </c>
      <c r="AA744" t="s">
        <v>74</v>
      </c>
      <c r="AB744" t="s">
        <v>74</v>
      </c>
      <c r="AC744" t="s">
        <v>74</v>
      </c>
      <c r="AD744" t="s">
        <v>74</v>
      </c>
      <c r="AE744" t="s">
        <v>74</v>
      </c>
      <c r="AF744" t="s">
        <v>74</v>
      </c>
      <c r="AG744">
        <v>56</v>
      </c>
      <c r="AH744">
        <v>1</v>
      </c>
      <c r="AI744">
        <v>1</v>
      </c>
      <c r="AJ744">
        <v>3</v>
      </c>
      <c r="AK744">
        <v>10</v>
      </c>
      <c r="AL744" t="s">
        <v>700</v>
      </c>
      <c r="AM744" t="s">
        <v>701</v>
      </c>
      <c r="AN744" t="s">
        <v>702</v>
      </c>
      <c r="AO744" t="s">
        <v>74</v>
      </c>
      <c r="AP744" t="s">
        <v>1228</v>
      </c>
      <c r="AQ744" t="s">
        <v>74</v>
      </c>
      <c r="AR744" t="s">
        <v>1229</v>
      </c>
      <c r="AS744" t="s">
        <v>1230</v>
      </c>
      <c r="AT744" t="s">
        <v>14510</v>
      </c>
      <c r="AU744">
        <v>2023</v>
      </c>
      <c r="AV744">
        <v>10</v>
      </c>
      <c r="AW744" t="s">
        <v>74</v>
      </c>
      <c r="AX744" t="s">
        <v>74</v>
      </c>
      <c r="AY744" t="s">
        <v>74</v>
      </c>
      <c r="AZ744" t="s">
        <v>74</v>
      </c>
      <c r="BA744" t="s">
        <v>74</v>
      </c>
      <c r="BB744" t="s">
        <v>74</v>
      </c>
      <c r="BC744" t="s">
        <v>74</v>
      </c>
      <c r="BD744">
        <v>1089482</v>
      </c>
      <c r="BE744" t="s">
        <v>14524</v>
      </c>
      <c r="BF744" t="str">
        <f>HYPERLINK("http://dx.doi.org/10.3389/fmars.2023.1089482","http://dx.doi.org/10.3389/fmars.2023.1089482")</f>
        <v>http://dx.doi.org/10.3389/fmars.2023.1089482</v>
      </c>
      <c r="BG744" t="s">
        <v>74</v>
      </c>
      <c r="BH744" t="s">
        <v>74</v>
      </c>
      <c r="BI744">
        <v>11</v>
      </c>
      <c r="BJ744" t="s">
        <v>636</v>
      </c>
      <c r="BK744" t="s">
        <v>103</v>
      </c>
      <c r="BL744" t="s">
        <v>637</v>
      </c>
      <c r="BM744" t="s">
        <v>14525</v>
      </c>
      <c r="BN744" t="s">
        <v>74</v>
      </c>
      <c r="BO744" t="s">
        <v>359</v>
      </c>
      <c r="BP744" t="s">
        <v>74</v>
      </c>
      <c r="BQ744" t="s">
        <v>74</v>
      </c>
      <c r="BR744" t="s">
        <v>106</v>
      </c>
      <c r="BS744" t="s">
        <v>14526</v>
      </c>
      <c r="BT744" t="str">
        <f>HYPERLINK("https%3A%2F%2Fwww.webofscience.com%2Fwos%2Fwoscc%2Ffull-record%2FWOS:000938388700001","View Full Record in Web of Science")</f>
        <v>View Full Record in Web of Science</v>
      </c>
    </row>
    <row r="745" spans="1:72" x14ac:dyDescent="0.15">
      <c r="A745" t="s">
        <v>72</v>
      </c>
      <c r="B745" t="s">
        <v>14527</v>
      </c>
      <c r="C745" t="s">
        <v>74</v>
      </c>
      <c r="D745" t="s">
        <v>74</v>
      </c>
      <c r="E745" t="s">
        <v>74</v>
      </c>
      <c r="F745" t="s">
        <v>14528</v>
      </c>
      <c r="G745" t="s">
        <v>74</v>
      </c>
      <c r="H745" t="s">
        <v>74</v>
      </c>
      <c r="I745" t="s">
        <v>14529</v>
      </c>
      <c r="J745" t="s">
        <v>14530</v>
      </c>
      <c r="K745" t="s">
        <v>74</v>
      </c>
      <c r="L745" t="s">
        <v>74</v>
      </c>
      <c r="M745" t="s">
        <v>78</v>
      </c>
      <c r="N745" t="s">
        <v>112</v>
      </c>
      <c r="O745" t="s">
        <v>74</v>
      </c>
      <c r="P745" t="s">
        <v>74</v>
      </c>
      <c r="Q745" t="s">
        <v>74</v>
      </c>
      <c r="R745" t="s">
        <v>74</v>
      </c>
      <c r="S745" t="s">
        <v>74</v>
      </c>
      <c r="T745" t="s">
        <v>14531</v>
      </c>
      <c r="U745" t="s">
        <v>14532</v>
      </c>
      <c r="V745" t="s">
        <v>14533</v>
      </c>
      <c r="W745" t="s">
        <v>14534</v>
      </c>
      <c r="X745" t="s">
        <v>14535</v>
      </c>
      <c r="Y745" t="s">
        <v>14536</v>
      </c>
      <c r="Z745" t="s">
        <v>14537</v>
      </c>
      <c r="AA745" t="s">
        <v>14538</v>
      </c>
      <c r="AB745" t="s">
        <v>14539</v>
      </c>
      <c r="AC745" t="s">
        <v>14540</v>
      </c>
      <c r="AD745" t="s">
        <v>14540</v>
      </c>
      <c r="AE745" t="s">
        <v>14541</v>
      </c>
      <c r="AF745" t="s">
        <v>74</v>
      </c>
      <c r="AG745">
        <v>74</v>
      </c>
      <c r="AH745">
        <v>1</v>
      </c>
      <c r="AI745">
        <v>1</v>
      </c>
      <c r="AJ745">
        <v>2</v>
      </c>
      <c r="AK745">
        <v>15</v>
      </c>
      <c r="AL745" t="s">
        <v>2092</v>
      </c>
      <c r="AM745" t="s">
        <v>2093</v>
      </c>
      <c r="AN745" t="s">
        <v>2094</v>
      </c>
      <c r="AO745" t="s">
        <v>14542</v>
      </c>
      <c r="AP745" t="s">
        <v>14543</v>
      </c>
      <c r="AQ745" t="s">
        <v>74</v>
      </c>
      <c r="AR745" t="s">
        <v>14544</v>
      </c>
      <c r="AS745" t="s">
        <v>14545</v>
      </c>
      <c r="AT745" t="s">
        <v>1437</v>
      </c>
      <c r="AU745">
        <v>2023</v>
      </c>
      <c r="AV745">
        <v>32</v>
      </c>
      <c r="AW745">
        <v>4</v>
      </c>
      <c r="AX745" t="s">
        <v>74</v>
      </c>
      <c r="AY745" t="s">
        <v>74</v>
      </c>
      <c r="AZ745" t="s">
        <v>74</v>
      </c>
      <c r="BA745" t="s">
        <v>74</v>
      </c>
      <c r="BB745">
        <v>495</v>
      </c>
      <c r="BC745">
        <v>510</v>
      </c>
      <c r="BD745" t="s">
        <v>74</v>
      </c>
      <c r="BE745" t="s">
        <v>14546</v>
      </c>
      <c r="BF745" t="str">
        <f>HYPERLINK("http://dx.doi.org/10.1111/geb.13629","http://dx.doi.org/10.1111/geb.13629")</f>
        <v>http://dx.doi.org/10.1111/geb.13629</v>
      </c>
      <c r="BG745" t="s">
        <v>74</v>
      </c>
      <c r="BH745" t="s">
        <v>11628</v>
      </c>
      <c r="BI745">
        <v>16</v>
      </c>
      <c r="BJ745" t="s">
        <v>2255</v>
      </c>
      <c r="BK745" t="s">
        <v>103</v>
      </c>
      <c r="BL745" t="s">
        <v>2256</v>
      </c>
      <c r="BM745" t="s">
        <v>14547</v>
      </c>
      <c r="BN745" t="s">
        <v>74</v>
      </c>
      <c r="BO745" t="s">
        <v>387</v>
      </c>
      <c r="BP745" t="s">
        <v>74</v>
      </c>
      <c r="BQ745" t="s">
        <v>74</v>
      </c>
      <c r="BR745" t="s">
        <v>106</v>
      </c>
      <c r="BS745" t="s">
        <v>14548</v>
      </c>
      <c r="BT745" t="str">
        <f>HYPERLINK("https%3A%2F%2Fwww.webofscience.com%2Fwos%2Fwoscc%2Ffull-record%2FWOS:000929845400001","View Full Record in Web of Science")</f>
        <v>View Full Record in Web of Science</v>
      </c>
    </row>
    <row r="746" spans="1:72" x14ac:dyDescent="0.15">
      <c r="A746" t="s">
        <v>72</v>
      </c>
      <c r="B746" t="s">
        <v>14549</v>
      </c>
      <c r="C746" t="s">
        <v>74</v>
      </c>
      <c r="D746" t="s">
        <v>74</v>
      </c>
      <c r="E746" t="s">
        <v>74</v>
      </c>
      <c r="F746" t="s">
        <v>14550</v>
      </c>
      <c r="G746" t="s">
        <v>74</v>
      </c>
      <c r="H746" t="s">
        <v>74</v>
      </c>
      <c r="I746" t="s">
        <v>14551</v>
      </c>
      <c r="J746" t="s">
        <v>3641</v>
      </c>
      <c r="K746" t="s">
        <v>74</v>
      </c>
      <c r="L746" t="s">
        <v>74</v>
      </c>
      <c r="M746" t="s">
        <v>78</v>
      </c>
      <c r="N746" t="s">
        <v>112</v>
      </c>
      <c r="O746" t="s">
        <v>74</v>
      </c>
      <c r="P746" t="s">
        <v>74</v>
      </c>
      <c r="Q746" t="s">
        <v>74</v>
      </c>
      <c r="R746" t="s">
        <v>74</v>
      </c>
      <c r="S746" t="s">
        <v>74</v>
      </c>
      <c r="T746" t="s">
        <v>14552</v>
      </c>
      <c r="U746" t="s">
        <v>14553</v>
      </c>
      <c r="V746" t="s">
        <v>14554</v>
      </c>
      <c r="W746" t="s">
        <v>14555</v>
      </c>
      <c r="X746" t="s">
        <v>14556</v>
      </c>
      <c r="Y746" t="s">
        <v>14557</v>
      </c>
      <c r="Z746" t="s">
        <v>14558</v>
      </c>
      <c r="AA746" t="s">
        <v>74</v>
      </c>
      <c r="AB746" t="s">
        <v>14559</v>
      </c>
      <c r="AC746" t="s">
        <v>14560</v>
      </c>
      <c r="AD746" t="s">
        <v>14561</v>
      </c>
      <c r="AE746" t="s">
        <v>14562</v>
      </c>
      <c r="AF746" t="s">
        <v>74</v>
      </c>
      <c r="AG746">
        <v>77</v>
      </c>
      <c r="AH746">
        <v>3</v>
      </c>
      <c r="AI746">
        <v>3</v>
      </c>
      <c r="AJ746">
        <v>24</v>
      </c>
      <c r="AK746">
        <v>53</v>
      </c>
      <c r="AL746" t="s">
        <v>1673</v>
      </c>
      <c r="AM746" t="s">
        <v>1674</v>
      </c>
      <c r="AN746" t="s">
        <v>1675</v>
      </c>
      <c r="AO746" t="s">
        <v>3653</v>
      </c>
      <c r="AP746" t="s">
        <v>3654</v>
      </c>
      <c r="AQ746" t="s">
        <v>74</v>
      </c>
      <c r="AR746" t="s">
        <v>3655</v>
      </c>
      <c r="AS746" t="s">
        <v>3656</v>
      </c>
      <c r="AT746" t="s">
        <v>4546</v>
      </c>
      <c r="AU746">
        <v>2023</v>
      </c>
      <c r="AV746">
        <v>222</v>
      </c>
      <c r="AW746" t="s">
        <v>74</v>
      </c>
      <c r="AX746" t="s">
        <v>74</v>
      </c>
      <c r="AY746" t="s">
        <v>74</v>
      </c>
      <c r="AZ746" t="s">
        <v>74</v>
      </c>
      <c r="BA746" t="s">
        <v>74</v>
      </c>
      <c r="BB746" t="s">
        <v>74</v>
      </c>
      <c r="BC746" t="s">
        <v>74</v>
      </c>
      <c r="BD746">
        <v>115327</v>
      </c>
      <c r="BE746" t="s">
        <v>14563</v>
      </c>
      <c r="BF746" t="str">
        <f>HYPERLINK("http://dx.doi.org/10.1016/j.envres.2023.115327","http://dx.doi.org/10.1016/j.envres.2023.115327")</f>
        <v>http://dx.doi.org/10.1016/j.envres.2023.115327</v>
      </c>
      <c r="BG746" t="s">
        <v>74</v>
      </c>
      <c r="BH746" t="s">
        <v>11628</v>
      </c>
      <c r="BI746">
        <v>16</v>
      </c>
      <c r="BJ746" t="s">
        <v>3659</v>
      </c>
      <c r="BK746" t="s">
        <v>103</v>
      </c>
      <c r="BL746" t="s">
        <v>3660</v>
      </c>
      <c r="BM746" t="s">
        <v>14564</v>
      </c>
      <c r="BN746">
        <v>36693462</v>
      </c>
      <c r="BO746" t="s">
        <v>74</v>
      </c>
      <c r="BP746" t="s">
        <v>74</v>
      </c>
      <c r="BQ746" t="s">
        <v>74</v>
      </c>
      <c r="BR746" t="s">
        <v>106</v>
      </c>
      <c r="BS746" t="s">
        <v>14565</v>
      </c>
      <c r="BT746" t="str">
        <f>HYPERLINK("https%3A%2F%2Fwww.webofscience.com%2Fwos%2Fwoscc%2Ffull-record%2FWOS:000932499900001","View Full Record in Web of Science")</f>
        <v>View Full Record in Web of Science</v>
      </c>
    </row>
    <row r="747" spans="1:72" x14ac:dyDescent="0.15">
      <c r="A747" t="s">
        <v>72</v>
      </c>
      <c r="B747" t="s">
        <v>14566</v>
      </c>
      <c r="C747" t="s">
        <v>74</v>
      </c>
      <c r="D747" t="s">
        <v>74</v>
      </c>
      <c r="E747" t="s">
        <v>74</v>
      </c>
      <c r="F747" t="s">
        <v>14567</v>
      </c>
      <c r="G747" t="s">
        <v>74</v>
      </c>
      <c r="H747" t="s">
        <v>74</v>
      </c>
      <c r="I747" t="s">
        <v>14568</v>
      </c>
      <c r="J747" t="s">
        <v>2262</v>
      </c>
      <c r="K747" t="s">
        <v>74</v>
      </c>
      <c r="L747" t="s">
        <v>74</v>
      </c>
      <c r="M747" t="s">
        <v>78</v>
      </c>
      <c r="N747" t="s">
        <v>112</v>
      </c>
      <c r="O747" t="s">
        <v>74</v>
      </c>
      <c r="P747" t="s">
        <v>74</v>
      </c>
      <c r="Q747" t="s">
        <v>74</v>
      </c>
      <c r="R747" t="s">
        <v>74</v>
      </c>
      <c r="S747" t="s">
        <v>74</v>
      </c>
      <c r="T747" t="s">
        <v>74</v>
      </c>
      <c r="U747" t="s">
        <v>14569</v>
      </c>
      <c r="V747" t="s">
        <v>14570</v>
      </c>
      <c r="W747" t="s">
        <v>14571</v>
      </c>
      <c r="X747" t="s">
        <v>14572</v>
      </c>
      <c r="Y747" t="s">
        <v>14573</v>
      </c>
      <c r="Z747" t="s">
        <v>14574</v>
      </c>
      <c r="AA747" t="s">
        <v>14575</v>
      </c>
      <c r="AB747" t="s">
        <v>14576</v>
      </c>
      <c r="AC747" t="s">
        <v>14577</v>
      </c>
      <c r="AD747" t="s">
        <v>14578</v>
      </c>
      <c r="AE747" t="s">
        <v>14579</v>
      </c>
      <c r="AF747" t="s">
        <v>74</v>
      </c>
      <c r="AG747">
        <v>83</v>
      </c>
      <c r="AH747">
        <v>4</v>
      </c>
      <c r="AI747">
        <v>8</v>
      </c>
      <c r="AJ747">
        <v>6</v>
      </c>
      <c r="AK747">
        <v>17</v>
      </c>
      <c r="AL747" t="s">
        <v>2092</v>
      </c>
      <c r="AM747" t="s">
        <v>2093</v>
      </c>
      <c r="AN747" t="s">
        <v>2094</v>
      </c>
      <c r="AO747" t="s">
        <v>2274</v>
      </c>
      <c r="AP747" t="s">
        <v>2275</v>
      </c>
      <c r="AQ747" t="s">
        <v>74</v>
      </c>
      <c r="AR747" t="s">
        <v>2276</v>
      </c>
      <c r="AS747" t="s">
        <v>2277</v>
      </c>
      <c r="AT747" t="s">
        <v>1437</v>
      </c>
      <c r="AU747">
        <v>2023</v>
      </c>
      <c r="AV747">
        <v>68</v>
      </c>
      <c r="AW747">
        <v>4</v>
      </c>
      <c r="AX747" t="s">
        <v>74</v>
      </c>
      <c r="AY747" t="s">
        <v>74</v>
      </c>
      <c r="AZ747" t="s">
        <v>74</v>
      </c>
      <c r="BA747" t="s">
        <v>74</v>
      </c>
      <c r="BB747">
        <v>845</v>
      </c>
      <c r="BC747">
        <v>861</v>
      </c>
      <c r="BD747" t="s">
        <v>74</v>
      </c>
      <c r="BE747" t="s">
        <v>14580</v>
      </c>
      <c r="BF747" t="str">
        <f>HYPERLINK("http://dx.doi.org/10.1002/lno.12314","http://dx.doi.org/10.1002/lno.12314")</f>
        <v>http://dx.doi.org/10.1002/lno.12314</v>
      </c>
      <c r="BG747" t="s">
        <v>74</v>
      </c>
      <c r="BH747" t="s">
        <v>11628</v>
      </c>
      <c r="BI747">
        <v>17</v>
      </c>
      <c r="BJ747" t="s">
        <v>552</v>
      </c>
      <c r="BK747" t="s">
        <v>103</v>
      </c>
      <c r="BL747" t="s">
        <v>553</v>
      </c>
      <c r="BM747" t="s">
        <v>14581</v>
      </c>
      <c r="BN747" t="s">
        <v>74</v>
      </c>
      <c r="BO747" t="s">
        <v>387</v>
      </c>
      <c r="BP747" t="s">
        <v>74</v>
      </c>
      <c r="BQ747" t="s">
        <v>74</v>
      </c>
      <c r="BR747" t="s">
        <v>106</v>
      </c>
      <c r="BS747" t="s">
        <v>14582</v>
      </c>
      <c r="BT747" t="str">
        <f>HYPERLINK("https%3A%2F%2Fwww.webofscience.com%2Fwos%2Fwoscc%2Ffull-record%2FWOS:000928771600001","View Full Record in Web of Science")</f>
        <v>View Full Record in Web of Science</v>
      </c>
    </row>
    <row r="748" spans="1:72" x14ac:dyDescent="0.15">
      <c r="A748" t="s">
        <v>72</v>
      </c>
      <c r="B748" t="s">
        <v>14583</v>
      </c>
      <c r="C748" t="s">
        <v>74</v>
      </c>
      <c r="D748" t="s">
        <v>74</v>
      </c>
      <c r="E748" t="s">
        <v>74</v>
      </c>
      <c r="F748" t="s">
        <v>14584</v>
      </c>
      <c r="G748" t="s">
        <v>74</v>
      </c>
      <c r="H748" t="s">
        <v>74</v>
      </c>
      <c r="I748" t="s">
        <v>14585</v>
      </c>
      <c r="J748" t="s">
        <v>4198</v>
      </c>
      <c r="K748" t="s">
        <v>74</v>
      </c>
      <c r="L748" t="s">
        <v>74</v>
      </c>
      <c r="M748" t="s">
        <v>78</v>
      </c>
      <c r="N748" t="s">
        <v>112</v>
      </c>
      <c r="O748" t="s">
        <v>74</v>
      </c>
      <c r="P748" t="s">
        <v>74</v>
      </c>
      <c r="Q748" t="s">
        <v>74</v>
      </c>
      <c r="R748" t="s">
        <v>74</v>
      </c>
      <c r="S748" t="s">
        <v>74</v>
      </c>
      <c r="T748" t="s">
        <v>14586</v>
      </c>
      <c r="U748" t="s">
        <v>14587</v>
      </c>
      <c r="V748" t="s">
        <v>14588</v>
      </c>
      <c r="W748" t="s">
        <v>14589</v>
      </c>
      <c r="X748" t="s">
        <v>14590</v>
      </c>
      <c r="Y748" t="s">
        <v>14591</v>
      </c>
      <c r="Z748" t="s">
        <v>14592</v>
      </c>
      <c r="AA748" t="s">
        <v>14593</v>
      </c>
      <c r="AB748" t="s">
        <v>14594</v>
      </c>
      <c r="AC748" t="s">
        <v>14595</v>
      </c>
      <c r="AD748" t="s">
        <v>14596</v>
      </c>
      <c r="AE748" t="s">
        <v>14597</v>
      </c>
      <c r="AF748" t="s">
        <v>74</v>
      </c>
      <c r="AG748">
        <v>106</v>
      </c>
      <c r="AH748">
        <v>1</v>
      </c>
      <c r="AI748">
        <v>1</v>
      </c>
      <c r="AJ748">
        <v>9</v>
      </c>
      <c r="AK748">
        <v>14</v>
      </c>
      <c r="AL748" t="s">
        <v>2116</v>
      </c>
      <c r="AM748" t="s">
        <v>226</v>
      </c>
      <c r="AN748" t="s">
        <v>2117</v>
      </c>
      <c r="AO748" t="s">
        <v>4211</v>
      </c>
      <c r="AP748" t="s">
        <v>4212</v>
      </c>
      <c r="AQ748" t="s">
        <v>74</v>
      </c>
      <c r="AR748" t="s">
        <v>4213</v>
      </c>
      <c r="AS748" t="s">
        <v>4214</v>
      </c>
      <c r="AT748" t="s">
        <v>14510</v>
      </c>
      <c r="AU748">
        <v>2023</v>
      </c>
      <c r="AV748">
        <v>40</v>
      </c>
      <c r="AW748">
        <v>2</v>
      </c>
      <c r="AX748" t="s">
        <v>74</v>
      </c>
      <c r="AY748" t="s">
        <v>74</v>
      </c>
      <c r="AZ748" t="s">
        <v>74</v>
      </c>
      <c r="BA748" t="s">
        <v>74</v>
      </c>
      <c r="BB748" t="s">
        <v>74</v>
      </c>
      <c r="BC748" t="s">
        <v>74</v>
      </c>
      <c r="BD748" t="s">
        <v>14598</v>
      </c>
      <c r="BE748" t="s">
        <v>14599</v>
      </c>
      <c r="BF748" t="str">
        <f>HYPERLINK("http://dx.doi.org/10.1093/molbev/msad014","http://dx.doi.org/10.1093/molbev/msad014")</f>
        <v>http://dx.doi.org/10.1093/molbev/msad014</v>
      </c>
      <c r="BG748" t="s">
        <v>74</v>
      </c>
      <c r="BH748" t="s">
        <v>74</v>
      </c>
      <c r="BI748">
        <v>18</v>
      </c>
      <c r="BJ748" t="s">
        <v>4217</v>
      </c>
      <c r="BK748" t="s">
        <v>103</v>
      </c>
      <c r="BL748" t="s">
        <v>4217</v>
      </c>
      <c r="BM748" t="s">
        <v>14600</v>
      </c>
      <c r="BN748">
        <v>36656997</v>
      </c>
      <c r="BO748" t="s">
        <v>533</v>
      </c>
      <c r="BP748" t="s">
        <v>74</v>
      </c>
      <c r="BQ748" t="s">
        <v>74</v>
      </c>
      <c r="BR748" t="s">
        <v>106</v>
      </c>
      <c r="BS748" t="s">
        <v>14601</v>
      </c>
      <c r="BT748" t="str">
        <f>HYPERLINK("https%3A%2F%2Fwww.webofscience.com%2Fwos%2Fwoscc%2Ffull-record%2FWOS:000925093900001","View Full Record in Web of Science")</f>
        <v>View Full Record in Web of Science</v>
      </c>
    </row>
    <row r="749" spans="1:72" x14ac:dyDescent="0.15">
      <c r="A749" t="s">
        <v>72</v>
      </c>
      <c r="B749" t="s">
        <v>14602</v>
      </c>
      <c r="C749" t="s">
        <v>74</v>
      </c>
      <c r="D749" t="s">
        <v>74</v>
      </c>
      <c r="E749" t="s">
        <v>74</v>
      </c>
      <c r="F749" t="s">
        <v>14603</v>
      </c>
      <c r="G749" t="s">
        <v>74</v>
      </c>
      <c r="H749" t="s">
        <v>74</v>
      </c>
      <c r="I749" t="s">
        <v>14604</v>
      </c>
      <c r="J749" t="s">
        <v>14605</v>
      </c>
      <c r="K749" t="s">
        <v>74</v>
      </c>
      <c r="L749" t="s">
        <v>74</v>
      </c>
      <c r="M749" t="s">
        <v>78</v>
      </c>
      <c r="N749" t="s">
        <v>112</v>
      </c>
      <c r="O749" t="s">
        <v>74</v>
      </c>
      <c r="P749" t="s">
        <v>74</v>
      </c>
      <c r="Q749" t="s">
        <v>74</v>
      </c>
      <c r="R749" t="s">
        <v>74</v>
      </c>
      <c r="S749" t="s">
        <v>74</v>
      </c>
      <c r="T749" t="s">
        <v>14606</v>
      </c>
      <c r="U749" t="s">
        <v>14607</v>
      </c>
      <c r="V749" t="s">
        <v>14608</v>
      </c>
      <c r="W749" t="s">
        <v>14609</v>
      </c>
      <c r="X749" t="s">
        <v>14610</v>
      </c>
      <c r="Y749" t="s">
        <v>14611</v>
      </c>
      <c r="Z749" t="s">
        <v>876</v>
      </c>
      <c r="AA749" t="s">
        <v>14612</v>
      </c>
      <c r="AB749" t="s">
        <v>14613</v>
      </c>
      <c r="AC749" t="s">
        <v>879</v>
      </c>
      <c r="AD749" t="s">
        <v>880</v>
      </c>
      <c r="AE749" t="s">
        <v>14614</v>
      </c>
      <c r="AF749" t="s">
        <v>74</v>
      </c>
      <c r="AG749">
        <v>66</v>
      </c>
      <c r="AH749">
        <v>2</v>
      </c>
      <c r="AI749">
        <v>2</v>
      </c>
      <c r="AJ749">
        <v>9</v>
      </c>
      <c r="AK749">
        <v>33</v>
      </c>
      <c r="AL749" t="s">
        <v>225</v>
      </c>
      <c r="AM749" t="s">
        <v>226</v>
      </c>
      <c r="AN749" t="s">
        <v>227</v>
      </c>
      <c r="AO749" t="s">
        <v>14615</v>
      </c>
      <c r="AP749" t="s">
        <v>14616</v>
      </c>
      <c r="AQ749" t="s">
        <v>74</v>
      </c>
      <c r="AR749" t="s">
        <v>14617</v>
      </c>
      <c r="AS749" t="s">
        <v>14618</v>
      </c>
      <c r="AT749" t="s">
        <v>4546</v>
      </c>
      <c r="AU749">
        <v>2023</v>
      </c>
      <c r="AV749">
        <v>298</v>
      </c>
      <c r="AW749" t="s">
        <v>74</v>
      </c>
      <c r="AX749" t="s">
        <v>74</v>
      </c>
      <c r="AY749" t="s">
        <v>74</v>
      </c>
      <c r="AZ749" t="s">
        <v>74</v>
      </c>
      <c r="BA749" t="s">
        <v>74</v>
      </c>
      <c r="BB749" t="s">
        <v>74</v>
      </c>
      <c r="BC749" t="s">
        <v>74</v>
      </c>
      <c r="BD749">
        <v>119618</v>
      </c>
      <c r="BE749" t="s">
        <v>14619</v>
      </c>
      <c r="BF749" t="str">
        <f>HYPERLINK("http://dx.doi.org/10.1016/j.atmosenv.2023.119618","http://dx.doi.org/10.1016/j.atmosenv.2023.119618")</f>
        <v>http://dx.doi.org/10.1016/j.atmosenv.2023.119618</v>
      </c>
      <c r="BG749" t="s">
        <v>74</v>
      </c>
      <c r="BH749" t="s">
        <v>11628</v>
      </c>
      <c r="BI749">
        <v>11</v>
      </c>
      <c r="BJ749" t="s">
        <v>356</v>
      </c>
      <c r="BK749" t="s">
        <v>103</v>
      </c>
      <c r="BL749" t="s">
        <v>357</v>
      </c>
      <c r="BM749" t="s">
        <v>14620</v>
      </c>
      <c r="BN749" t="s">
        <v>74</v>
      </c>
      <c r="BO749" t="s">
        <v>387</v>
      </c>
      <c r="BP749" t="s">
        <v>74</v>
      </c>
      <c r="BQ749" t="s">
        <v>74</v>
      </c>
      <c r="BR749" t="s">
        <v>106</v>
      </c>
      <c r="BS749" t="s">
        <v>14621</v>
      </c>
      <c r="BT749" t="str">
        <f>HYPERLINK("https%3A%2F%2Fwww.webofscience.com%2Fwos%2Fwoscc%2Ffull-record%2FWOS:000930852700001","View Full Record in Web of Science")</f>
        <v>View Full Record in Web of Science</v>
      </c>
    </row>
    <row r="750" spans="1:72" x14ac:dyDescent="0.15">
      <c r="A750" t="s">
        <v>72</v>
      </c>
      <c r="B750" t="s">
        <v>14622</v>
      </c>
      <c r="C750" t="s">
        <v>74</v>
      </c>
      <c r="D750" t="s">
        <v>74</v>
      </c>
      <c r="E750" t="s">
        <v>74</v>
      </c>
      <c r="F750" t="s">
        <v>14623</v>
      </c>
      <c r="G750" t="s">
        <v>74</v>
      </c>
      <c r="H750" t="s">
        <v>74</v>
      </c>
      <c r="I750" t="s">
        <v>14624</v>
      </c>
      <c r="J750" t="s">
        <v>1685</v>
      </c>
      <c r="K750" t="s">
        <v>74</v>
      </c>
      <c r="L750" t="s">
        <v>74</v>
      </c>
      <c r="M750" t="s">
        <v>78</v>
      </c>
      <c r="N750" t="s">
        <v>112</v>
      </c>
      <c r="O750" t="s">
        <v>74</v>
      </c>
      <c r="P750" t="s">
        <v>74</v>
      </c>
      <c r="Q750" t="s">
        <v>74</v>
      </c>
      <c r="R750" t="s">
        <v>74</v>
      </c>
      <c r="S750" t="s">
        <v>74</v>
      </c>
      <c r="T750" t="s">
        <v>74</v>
      </c>
      <c r="U750" t="s">
        <v>14625</v>
      </c>
      <c r="V750" t="s">
        <v>14626</v>
      </c>
      <c r="W750" t="s">
        <v>14627</v>
      </c>
      <c r="X750" t="s">
        <v>14628</v>
      </c>
      <c r="Y750" t="s">
        <v>14629</v>
      </c>
      <c r="Z750" t="s">
        <v>14630</v>
      </c>
      <c r="AA750" t="s">
        <v>14631</v>
      </c>
      <c r="AB750" t="s">
        <v>14632</v>
      </c>
      <c r="AC750" t="s">
        <v>14633</v>
      </c>
      <c r="AD750" t="s">
        <v>14634</v>
      </c>
      <c r="AE750" t="s">
        <v>14635</v>
      </c>
      <c r="AF750" t="s">
        <v>74</v>
      </c>
      <c r="AG750">
        <v>102</v>
      </c>
      <c r="AH750">
        <v>10</v>
      </c>
      <c r="AI750">
        <v>10</v>
      </c>
      <c r="AJ750">
        <v>7</v>
      </c>
      <c r="AK750">
        <v>10</v>
      </c>
      <c r="AL750" t="s">
        <v>203</v>
      </c>
      <c r="AM750" t="s">
        <v>204</v>
      </c>
      <c r="AN750" t="s">
        <v>205</v>
      </c>
      <c r="AO750" t="s">
        <v>74</v>
      </c>
      <c r="AP750" t="s">
        <v>1696</v>
      </c>
      <c r="AQ750" t="s">
        <v>74</v>
      </c>
      <c r="AR750" t="s">
        <v>1697</v>
      </c>
      <c r="AS750" t="s">
        <v>1698</v>
      </c>
      <c r="AT750" t="s">
        <v>14636</v>
      </c>
      <c r="AU750">
        <v>2023</v>
      </c>
      <c r="AV750">
        <v>14</v>
      </c>
      <c r="AW750">
        <v>1</v>
      </c>
      <c r="AX750" t="s">
        <v>74</v>
      </c>
      <c r="AY750" t="s">
        <v>74</v>
      </c>
      <c r="AZ750" t="s">
        <v>74</v>
      </c>
      <c r="BA750" t="s">
        <v>74</v>
      </c>
      <c r="BB750" t="s">
        <v>74</v>
      </c>
      <c r="BC750" t="s">
        <v>74</v>
      </c>
      <c r="BD750">
        <v>425</v>
      </c>
      <c r="BE750" t="s">
        <v>14637</v>
      </c>
      <c r="BF750" t="str">
        <f>HYPERLINK("http://dx.doi.org/10.1038/s41467-022-35204-6","http://dx.doi.org/10.1038/s41467-022-35204-6")</f>
        <v>http://dx.doi.org/10.1038/s41467-022-35204-6</v>
      </c>
      <c r="BG750" t="s">
        <v>74</v>
      </c>
      <c r="BH750" t="s">
        <v>74</v>
      </c>
      <c r="BI750">
        <v>16</v>
      </c>
      <c r="BJ750" t="s">
        <v>210</v>
      </c>
      <c r="BK750" t="s">
        <v>103</v>
      </c>
      <c r="BL750" t="s">
        <v>211</v>
      </c>
      <c r="BM750" t="s">
        <v>14638</v>
      </c>
      <c r="BN750">
        <v>36732522</v>
      </c>
      <c r="BO750" t="s">
        <v>136</v>
      </c>
      <c r="BP750" t="s">
        <v>74</v>
      </c>
      <c r="BQ750" t="s">
        <v>74</v>
      </c>
      <c r="BR750" t="s">
        <v>106</v>
      </c>
      <c r="BS750" t="s">
        <v>14639</v>
      </c>
      <c r="BT750" t="str">
        <f>HYPERLINK("https%3A%2F%2Fwww.webofscience.com%2Fwos%2Fwoscc%2Ffull-record%2FWOS:001076389000003","View Full Record in Web of Science")</f>
        <v>View Full Record in Web of Science</v>
      </c>
    </row>
    <row r="751" spans="1:72" x14ac:dyDescent="0.15">
      <c r="A751" t="s">
        <v>72</v>
      </c>
      <c r="B751" t="s">
        <v>14640</v>
      </c>
      <c r="C751" t="s">
        <v>74</v>
      </c>
      <c r="D751" t="s">
        <v>74</v>
      </c>
      <c r="E751" t="s">
        <v>74</v>
      </c>
      <c r="F751" t="s">
        <v>14641</v>
      </c>
      <c r="G751" t="s">
        <v>74</v>
      </c>
      <c r="H751" t="s">
        <v>74</v>
      </c>
      <c r="I751" t="s">
        <v>14642</v>
      </c>
      <c r="J751" t="s">
        <v>1685</v>
      </c>
      <c r="K751" t="s">
        <v>74</v>
      </c>
      <c r="L751" t="s">
        <v>74</v>
      </c>
      <c r="M751" t="s">
        <v>78</v>
      </c>
      <c r="N751" t="s">
        <v>365</v>
      </c>
      <c r="O751" t="s">
        <v>74</v>
      </c>
      <c r="P751" t="s">
        <v>74</v>
      </c>
      <c r="Q751" t="s">
        <v>74</v>
      </c>
      <c r="R751" t="s">
        <v>74</v>
      </c>
      <c r="S751" t="s">
        <v>74</v>
      </c>
      <c r="T751" t="s">
        <v>74</v>
      </c>
      <c r="U751" t="s">
        <v>14643</v>
      </c>
      <c r="V751" t="s">
        <v>14644</v>
      </c>
      <c r="W751" t="s">
        <v>14645</v>
      </c>
      <c r="X751" t="s">
        <v>14646</v>
      </c>
      <c r="Y751" t="s">
        <v>14647</v>
      </c>
      <c r="Z751" t="s">
        <v>14648</v>
      </c>
      <c r="AA751" t="s">
        <v>14649</v>
      </c>
      <c r="AB751" t="s">
        <v>14650</v>
      </c>
      <c r="AC751" t="s">
        <v>14651</v>
      </c>
      <c r="AD751" t="s">
        <v>14652</v>
      </c>
      <c r="AE751" t="s">
        <v>14653</v>
      </c>
      <c r="AF751" t="s">
        <v>74</v>
      </c>
      <c r="AG751">
        <v>181</v>
      </c>
      <c r="AH751">
        <v>36</v>
      </c>
      <c r="AI751">
        <v>37</v>
      </c>
      <c r="AJ751">
        <v>82</v>
      </c>
      <c r="AK751">
        <v>130</v>
      </c>
      <c r="AL751" t="s">
        <v>203</v>
      </c>
      <c r="AM751" t="s">
        <v>204</v>
      </c>
      <c r="AN751" t="s">
        <v>205</v>
      </c>
      <c r="AO751" t="s">
        <v>74</v>
      </c>
      <c r="AP751" t="s">
        <v>1696</v>
      </c>
      <c r="AQ751" t="s">
        <v>74</v>
      </c>
      <c r="AR751" t="s">
        <v>1697</v>
      </c>
      <c r="AS751" t="s">
        <v>1698</v>
      </c>
      <c r="AT751" t="s">
        <v>14636</v>
      </c>
      <c r="AU751">
        <v>2023</v>
      </c>
      <c r="AV751">
        <v>14</v>
      </c>
      <c r="AW751">
        <v>1</v>
      </c>
      <c r="AX751" t="s">
        <v>74</v>
      </c>
      <c r="AY751" t="s">
        <v>74</v>
      </c>
      <c r="AZ751" t="s">
        <v>74</v>
      </c>
      <c r="BA751" t="s">
        <v>74</v>
      </c>
      <c r="BB751" t="s">
        <v>74</v>
      </c>
      <c r="BC751" t="s">
        <v>74</v>
      </c>
      <c r="BD751">
        <v>564</v>
      </c>
      <c r="BE751" t="s">
        <v>14654</v>
      </c>
      <c r="BF751" t="str">
        <f>HYPERLINK("http://dx.doi.org/10.1038/s41467-023-36241-5","http://dx.doi.org/10.1038/s41467-023-36241-5")</f>
        <v>http://dx.doi.org/10.1038/s41467-023-36241-5</v>
      </c>
      <c r="BG751" t="s">
        <v>74</v>
      </c>
      <c r="BH751" t="s">
        <v>74</v>
      </c>
      <c r="BI751">
        <v>17</v>
      </c>
      <c r="BJ751" t="s">
        <v>210</v>
      </c>
      <c r="BK751" t="s">
        <v>103</v>
      </c>
      <c r="BL751" t="s">
        <v>211</v>
      </c>
      <c r="BM751" t="s">
        <v>14655</v>
      </c>
      <c r="BN751">
        <v>36732509</v>
      </c>
      <c r="BO751" t="s">
        <v>7702</v>
      </c>
      <c r="BP751" t="s">
        <v>1849</v>
      </c>
      <c r="BQ751" t="s">
        <v>1850</v>
      </c>
      <c r="BR751" t="s">
        <v>106</v>
      </c>
      <c r="BS751" t="s">
        <v>14656</v>
      </c>
      <c r="BT751" t="str">
        <f>HYPERLINK("https%3A%2F%2Fwww.webofscience.com%2Fwos%2Fwoscc%2Ffull-record%2FWOS:001068592900001","View Full Record in Web of Science")</f>
        <v>View Full Record in Web of Science</v>
      </c>
    </row>
    <row r="752" spans="1:72" x14ac:dyDescent="0.15">
      <c r="A752" t="s">
        <v>72</v>
      </c>
      <c r="B752" t="s">
        <v>14657</v>
      </c>
      <c r="C752" t="s">
        <v>74</v>
      </c>
      <c r="D752" t="s">
        <v>74</v>
      </c>
      <c r="E752" t="s">
        <v>74</v>
      </c>
      <c r="F752" t="s">
        <v>14658</v>
      </c>
      <c r="G752" t="s">
        <v>74</v>
      </c>
      <c r="H752" t="s">
        <v>74</v>
      </c>
      <c r="I752" t="s">
        <v>14659</v>
      </c>
      <c r="J752" t="s">
        <v>8843</v>
      </c>
      <c r="K752" t="s">
        <v>74</v>
      </c>
      <c r="L752" t="s">
        <v>74</v>
      </c>
      <c r="M752" t="s">
        <v>78</v>
      </c>
      <c r="N752" t="s">
        <v>112</v>
      </c>
      <c r="O752" t="s">
        <v>74</v>
      </c>
      <c r="P752" t="s">
        <v>74</v>
      </c>
      <c r="Q752" t="s">
        <v>74</v>
      </c>
      <c r="R752" t="s">
        <v>74</v>
      </c>
      <c r="S752" t="s">
        <v>74</v>
      </c>
      <c r="T752" t="s">
        <v>14660</v>
      </c>
      <c r="U752" t="s">
        <v>14661</v>
      </c>
      <c r="V752" t="s">
        <v>14662</v>
      </c>
      <c r="W752" t="s">
        <v>14663</v>
      </c>
      <c r="X752" t="s">
        <v>14664</v>
      </c>
      <c r="Y752" t="s">
        <v>14665</v>
      </c>
      <c r="Z752" t="s">
        <v>14666</v>
      </c>
      <c r="AA752" t="s">
        <v>14667</v>
      </c>
      <c r="AB752" t="s">
        <v>14668</v>
      </c>
      <c r="AC752" t="s">
        <v>14669</v>
      </c>
      <c r="AD752" t="s">
        <v>14670</v>
      </c>
      <c r="AE752" t="s">
        <v>14671</v>
      </c>
      <c r="AF752" t="s">
        <v>74</v>
      </c>
      <c r="AG752">
        <v>88</v>
      </c>
      <c r="AH752">
        <v>0</v>
      </c>
      <c r="AI752">
        <v>0</v>
      </c>
      <c r="AJ752">
        <v>1</v>
      </c>
      <c r="AK752">
        <v>4</v>
      </c>
      <c r="AL752" t="s">
        <v>447</v>
      </c>
      <c r="AM752" t="s">
        <v>448</v>
      </c>
      <c r="AN752" t="s">
        <v>449</v>
      </c>
      <c r="AO752" t="s">
        <v>8854</v>
      </c>
      <c r="AP752" t="s">
        <v>8855</v>
      </c>
      <c r="AQ752" t="s">
        <v>74</v>
      </c>
      <c r="AR752" t="s">
        <v>8843</v>
      </c>
      <c r="AS752" t="s">
        <v>8856</v>
      </c>
      <c r="AT752" t="s">
        <v>12771</v>
      </c>
      <c r="AU752">
        <v>2023</v>
      </c>
      <c r="AV752">
        <v>849</v>
      </c>
      <c r="AW752" t="s">
        <v>74</v>
      </c>
      <c r="AX752" t="s">
        <v>74</v>
      </c>
      <c r="AY752" t="s">
        <v>74</v>
      </c>
      <c r="AZ752" t="s">
        <v>74</v>
      </c>
      <c r="BA752" t="s">
        <v>74</v>
      </c>
      <c r="BB752" t="s">
        <v>74</v>
      </c>
      <c r="BC752" t="s">
        <v>74</v>
      </c>
      <c r="BD752">
        <v>229724</v>
      </c>
      <c r="BE752" t="s">
        <v>14672</v>
      </c>
      <c r="BF752" t="str">
        <f>HYPERLINK("http://dx.doi.org/10.1016/j.tecto.2023.229724","http://dx.doi.org/10.1016/j.tecto.2023.229724")</f>
        <v>http://dx.doi.org/10.1016/j.tecto.2023.229724</v>
      </c>
      <c r="BG752" t="s">
        <v>74</v>
      </c>
      <c r="BH752" t="s">
        <v>11628</v>
      </c>
      <c r="BI752">
        <v>23</v>
      </c>
      <c r="BJ752" t="s">
        <v>313</v>
      </c>
      <c r="BK752" t="s">
        <v>103</v>
      </c>
      <c r="BL752" t="s">
        <v>313</v>
      </c>
      <c r="BM752" t="s">
        <v>14673</v>
      </c>
      <c r="BN752" t="s">
        <v>74</v>
      </c>
      <c r="BO752" t="s">
        <v>74</v>
      </c>
      <c r="BP752" t="s">
        <v>74</v>
      </c>
      <c r="BQ752" t="s">
        <v>74</v>
      </c>
      <c r="BR752" t="s">
        <v>106</v>
      </c>
      <c r="BS752" t="s">
        <v>14674</v>
      </c>
      <c r="BT752" t="str">
        <f>HYPERLINK("https%3A%2F%2Fwww.webofscience.com%2Fwos%2Fwoscc%2Ffull-record%2FWOS:000933217500001","View Full Record in Web of Science")</f>
        <v>View Full Record in Web of Science</v>
      </c>
    </row>
    <row r="753" spans="1:72" x14ac:dyDescent="0.15">
      <c r="A753" t="s">
        <v>72</v>
      </c>
      <c r="B753" t="s">
        <v>14675</v>
      </c>
      <c r="C753" t="s">
        <v>74</v>
      </c>
      <c r="D753" t="s">
        <v>74</v>
      </c>
      <c r="E753" t="s">
        <v>74</v>
      </c>
      <c r="F753" t="s">
        <v>14676</v>
      </c>
      <c r="G753" t="s">
        <v>74</v>
      </c>
      <c r="H753" t="s">
        <v>74</v>
      </c>
      <c r="I753" t="s">
        <v>14677</v>
      </c>
      <c r="J753" t="s">
        <v>8578</v>
      </c>
      <c r="K753" t="s">
        <v>74</v>
      </c>
      <c r="L753" t="s">
        <v>74</v>
      </c>
      <c r="M753" t="s">
        <v>78</v>
      </c>
      <c r="N753" t="s">
        <v>112</v>
      </c>
      <c r="O753" t="s">
        <v>74</v>
      </c>
      <c r="P753" t="s">
        <v>74</v>
      </c>
      <c r="Q753" t="s">
        <v>74</v>
      </c>
      <c r="R753" t="s">
        <v>74</v>
      </c>
      <c r="S753" t="s">
        <v>74</v>
      </c>
      <c r="T753" t="s">
        <v>14678</v>
      </c>
      <c r="U753" t="s">
        <v>14679</v>
      </c>
      <c r="V753" t="s">
        <v>14680</v>
      </c>
      <c r="W753" t="s">
        <v>14681</v>
      </c>
      <c r="X753" t="s">
        <v>14682</v>
      </c>
      <c r="Y753" t="s">
        <v>14683</v>
      </c>
      <c r="Z753" t="s">
        <v>14684</v>
      </c>
      <c r="AA753" t="s">
        <v>14685</v>
      </c>
      <c r="AB753" t="s">
        <v>74</v>
      </c>
      <c r="AC753" t="s">
        <v>14686</v>
      </c>
      <c r="AD753" t="s">
        <v>14687</v>
      </c>
      <c r="AE753" t="s">
        <v>14688</v>
      </c>
      <c r="AF753" t="s">
        <v>74</v>
      </c>
      <c r="AG753">
        <v>66</v>
      </c>
      <c r="AH753">
        <v>1</v>
      </c>
      <c r="AI753">
        <v>1</v>
      </c>
      <c r="AJ753">
        <v>9</v>
      </c>
      <c r="AK753">
        <v>22</v>
      </c>
      <c r="AL753" t="s">
        <v>447</v>
      </c>
      <c r="AM753" t="s">
        <v>448</v>
      </c>
      <c r="AN753" t="s">
        <v>449</v>
      </c>
      <c r="AO753" t="s">
        <v>8590</v>
      </c>
      <c r="AP753" t="s">
        <v>8591</v>
      </c>
      <c r="AQ753" t="s">
        <v>74</v>
      </c>
      <c r="AR753" t="s">
        <v>8592</v>
      </c>
      <c r="AS753" t="s">
        <v>8593</v>
      </c>
      <c r="AT753" t="s">
        <v>10271</v>
      </c>
      <c r="AU753">
        <v>2023</v>
      </c>
      <c r="AV753">
        <v>605</v>
      </c>
      <c r="AW753" t="s">
        <v>74</v>
      </c>
      <c r="AX753" t="s">
        <v>74</v>
      </c>
      <c r="AY753" t="s">
        <v>74</v>
      </c>
      <c r="AZ753" t="s">
        <v>74</v>
      </c>
      <c r="BA753" t="s">
        <v>74</v>
      </c>
      <c r="BB753" t="s">
        <v>74</v>
      </c>
      <c r="BC753" t="s">
        <v>74</v>
      </c>
      <c r="BD753">
        <v>118020</v>
      </c>
      <c r="BE753" t="s">
        <v>14689</v>
      </c>
      <c r="BF753" t="str">
        <f>HYPERLINK("http://dx.doi.org/10.1016/j.epsl.2023.118020","http://dx.doi.org/10.1016/j.epsl.2023.118020")</f>
        <v>http://dx.doi.org/10.1016/j.epsl.2023.118020</v>
      </c>
      <c r="BG753" t="s">
        <v>74</v>
      </c>
      <c r="BH753" t="s">
        <v>11628</v>
      </c>
      <c r="BI753">
        <v>10</v>
      </c>
      <c r="BJ753" t="s">
        <v>313</v>
      </c>
      <c r="BK753" t="s">
        <v>103</v>
      </c>
      <c r="BL753" t="s">
        <v>313</v>
      </c>
      <c r="BM753" t="s">
        <v>14690</v>
      </c>
      <c r="BN753" t="s">
        <v>74</v>
      </c>
      <c r="BO753" t="s">
        <v>74</v>
      </c>
      <c r="BP753" t="s">
        <v>74</v>
      </c>
      <c r="BQ753" t="s">
        <v>74</v>
      </c>
      <c r="BR753" t="s">
        <v>106</v>
      </c>
      <c r="BS753" t="s">
        <v>14691</v>
      </c>
      <c r="BT753" t="str">
        <f>HYPERLINK("https%3A%2F%2Fwww.webofscience.com%2Fwos%2Fwoscc%2Ffull-record%2FWOS:000932510300001","View Full Record in Web of Science")</f>
        <v>View Full Record in Web of Science</v>
      </c>
    </row>
    <row r="754" spans="1:72" x14ac:dyDescent="0.15">
      <c r="A754" t="s">
        <v>72</v>
      </c>
      <c r="B754" t="s">
        <v>14692</v>
      </c>
      <c r="C754" t="s">
        <v>74</v>
      </c>
      <c r="D754" t="s">
        <v>74</v>
      </c>
      <c r="E754" t="s">
        <v>74</v>
      </c>
      <c r="F754" t="s">
        <v>14693</v>
      </c>
      <c r="G754" t="s">
        <v>74</v>
      </c>
      <c r="H754" t="s">
        <v>74</v>
      </c>
      <c r="I754" t="s">
        <v>14694</v>
      </c>
      <c r="J754" t="s">
        <v>1215</v>
      </c>
      <c r="K754" t="s">
        <v>74</v>
      </c>
      <c r="L754" t="s">
        <v>74</v>
      </c>
      <c r="M754" t="s">
        <v>78</v>
      </c>
      <c r="N754" t="s">
        <v>112</v>
      </c>
      <c r="O754" t="s">
        <v>74</v>
      </c>
      <c r="P754" t="s">
        <v>74</v>
      </c>
      <c r="Q754" t="s">
        <v>74</v>
      </c>
      <c r="R754" t="s">
        <v>74</v>
      </c>
      <c r="S754" t="s">
        <v>74</v>
      </c>
      <c r="T754" t="s">
        <v>14695</v>
      </c>
      <c r="U754" t="s">
        <v>14696</v>
      </c>
      <c r="V754" t="s">
        <v>14697</v>
      </c>
      <c r="W754" t="s">
        <v>14698</v>
      </c>
      <c r="X754" t="s">
        <v>14699</v>
      </c>
      <c r="Y754" t="s">
        <v>14700</v>
      </c>
      <c r="Z754" t="s">
        <v>14701</v>
      </c>
      <c r="AA754" t="s">
        <v>14702</v>
      </c>
      <c r="AB754" t="s">
        <v>14703</v>
      </c>
      <c r="AC754" t="s">
        <v>14704</v>
      </c>
      <c r="AD754" t="s">
        <v>14705</v>
      </c>
      <c r="AE754" t="s">
        <v>14706</v>
      </c>
      <c r="AF754" t="s">
        <v>74</v>
      </c>
      <c r="AG754">
        <v>50</v>
      </c>
      <c r="AH754">
        <v>1</v>
      </c>
      <c r="AI754">
        <v>1</v>
      </c>
      <c r="AJ754">
        <v>6</v>
      </c>
      <c r="AK754">
        <v>12</v>
      </c>
      <c r="AL754" t="s">
        <v>700</v>
      </c>
      <c r="AM754" t="s">
        <v>701</v>
      </c>
      <c r="AN754" t="s">
        <v>702</v>
      </c>
      <c r="AO754" t="s">
        <v>74</v>
      </c>
      <c r="AP754" t="s">
        <v>1228</v>
      </c>
      <c r="AQ754" t="s">
        <v>74</v>
      </c>
      <c r="AR754" t="s">
        <v>1229</v>
      </c>
      <c r="AS754" t="s">
        <v>1230</v>
      </c>
      <c r="AT754" t="s">
        <v>14636</v>
      </c>
      <c r="AU754">
        <v>2023</v>
      </c>
      <c r="AV754">
        <v>10</v>
      </c>
      <c r="AW754" t="s">
        <v>74</v>
      </c>
      <c r="AX754" t="s">
        <v>74</v>
      </c>
      <c r="AY754" t="s">
        <v>74</v>
      </c>
      <c r="AZ754" t="s">
        <v>74</v>
      </c>
      <c r="BA754" t="s">
        <v>74</v>
      </c>
      <c r="BB754" t="s">
        <v>74</v>
      </c>
      <c r="BC754" t="s">
        <v>74</v>
      </c>
      <c r="BD754">
        <v>1095570</v>
      </c>
      <c r="BE754" t="s">
        <v>14707</v>
      </c>
      <c r="BF754" t="str">
        <f>HYPERLINK("http://dx.doi.org/10.3389/fmars.2023.1095570","http://dx.doi.org/10.3389/fmars.2023.1095570")</f>
        <v>http://dx.doi.org/10.3389/fmars.2023.1095570</v>
      </c>
      <c r="BG754" t="s">
        <v>74</v>
      </c>
      <c r="BH754" t="s">
        <v>74</v>
      </c>
      <c r="BI754">
        <v>11</v>
      </c>
      <c r="BJ754" t="s">
        <v>636</v>
      </c>
      <c r="BK754" t="s">
        <v>103</v>
      </c>
      <c r="BL754" t="s">
        <v>637</v>
      </c>
      <c r="BM754" t="s">
        <v>14708</v>
      </c>
      <c r="BN754" t="s">
        <v>74</v>
      </c>
      <c r="BO754" t="s">
        <v>2053</v>
      </c>
      <c r="BP754" t="s">
        <v>74</v>
      </c>
      <c r="BQ754" t="s">
        <v>74</v>
      </c>
      <c r="BR754" t="s">
        <v>106</v>
      </c>
      <c r="BS754" t="s">
        <v>14709</v>
      </c>
      <c r="BT754" t="str">
        <f>HYPERLINK("https%3A%2F%2Fwww.webofscience.com%2Fwos%2Fwoscc%2Ffull-record%2FWOS:000937256800001","View Full Record in Web of Science")</f>
        <v>View Full Record in Web of Science</v>
      </c>
    </row>
    <row r="755" spans="1:72" x14ac:dyDescent="0.15">
      <c r="A755" t="s">
        <v>72</v>
      </c>
      <c r="B755" t="s">
        <v>14710</v>
      </c>
      <c r="C755" t="s">
        <v>74</v>
      </c>
      <c r="D755" t="s">
        <v>74</v>
      </c>
      <c r="E755" t="s">
        <v>74</v>
      </c>
      <c r="F755" t="s">
        <v>14711</v>
      </c>
      <c r="G755" t="s">
        <v>74</v>
      </c>
      <c r="H755" t="s">
        <v>74</v>
      </c>
      <c r="I755" t="s">
        <v>14712</v>
      </c>
      <c r="J755" t="s">
        <v>687</v>
      </c>
      <c r="K755" t="s">
        <v>74</v>
      </c>
      <c r="L755" t="s">
        <v>74</v>
      </c>
      <c r="M755" t="s">
        <v>78</v>
      </c>
      <c r="N755" t="s">
        <v>365</v>
      </c>
      <c r="O755" t="s">
        <v>74</v>
      </c>
      <c r="P755" t="s">
        <v>74</v>
      </c>
      <c r="Q755" t="s">
        <v>74</v>
      </c>
      <c r="R755" t="s">
        <v>74</v>
      </c>
      <c r="S755" t="s">
        <v>74</v>
      </c>
      <c r="T755" t="s">
        <v>14713</v>
      </c>
      <c r="U755" t="s">
        <v>14714</v>
      </c>
      <c r="V755" t="s">
        <v>14715</v>
      </c>
      <c r="W755" t="s">
        <v>14716</v>
      </c>
      <c r="X755" t="s">
        <v>14717</v>
      </c>
      <c r="Y755" t="s">
        <v>14718</v>
      </c>
      <c r="Z755" t="s">
        <v>14719</v>
      </c>
      <c r="AA755" t="s">
        <v>14720</v>
      </c>
      <c r="AB755" t="s">
        <v>14721</v>
      </c>
      <c r="AC755" t="s">
        <v>74</v>
      </c>
      <c r="AD755" t="s">
        <v>74</v>
      </c>
      <c r="AE755" t="s">
        <v>74</v>
      </c>
      <c r="AF755" t="s">
        <v>74</v>
      </c>
      <c r="AG755">
        <v>96</v>
      </c>
      <c r="AH755">
        <v>10</v>
      </c>
      <c r="AI755">
        <v>11</v>
      </c>
      <c r="AJ755">
        <v>31</v>
      </c>
      <c r="AK755">
        <v>68</v>
      </c>
      <c r="AL755" t="s">
        <v>700</v>
      </c>
      <c r="AM755" t="s">
        <v>701</v>
      </c>
      <c r="AN755" t="s">
        <v>702</v>
      </c>
      <c r="AO755" t="s">
        <v>703</v>
      </c>
      <c r="AP755" t="s">
        <v>74</v>
      </c>
      <c r="AQ755" t="s">
        <v>74</v>
      </c>
      <c r="AR755" t="s">
        <v>704</v>
      </c>
      <c r="AS755" t="s">
        <v>705</v>
      </c>
      <c r="AT755" t="s">
        <v>14636</v>
      </c>
      <c r="AU755">
        <v>2023</v>
      </c>
      <c r="AV755">
        <v>14</v>
      </c>
      <c r="AW755" t="s">
        <v>74</v>
      </c>
      <c r="AX755" t="s">
        <v>74</v>
      </c>
      <c r="AY755" t="s">
        <v>74</v>
      </c>
      <c r="AZ755" t="s">
        <v>74</v>
      </c>
      <c r="BA755" t="s">
        <v>74</v>
      </c>
      <c r="BB755" t="s">
        <v>74</v>
      </c>
      <c r="BC755" t="s">
        <v>74</v>
      </c>
      <c r="BD755">
        <v>1086078</v>
      </c>
      <c r="BE755" t="s">
        <v>14722</v>
      </c>
      <c r="BF755" t="str">
        <f>HYPERLINK("http://dx.doi.org/10.3389/fimmu.2023.1086078","http://dx.doi.org/10.3389/fimmu.2023.1086078")</f>
        <v>http://dx.doi.org/10.3389/fimmu.2023.1086078</v>
      </c>
      <c r="BG755" t="s">
        <v>74</v>
      </c>
      <c r="BH755" t="s">
        <v>74</v>
      </c>
      <c r="BI755">
        <v>14</v>
      </c>
      <c r="BJ755" t="s">
        <v>707</v>
      </c>
      <c r="BK755" t="s">
        <v>103</v>
      </c>
      <c r="BL755" t="s">
        <v>707</v>
      </c>
      <c r="BM755" t="s">
        <v>14723</v>
      </c>
      <c r="BN755">
        <v>36817459</v>
      </c>
      <c r="BO755" t="s">
        <v>614</v>
      </c>
      <c r="BP755" t="s">
        <v>74</v>
      </c>
      <c r="BQ755" t="s">
        <v>74</v>
      </c>
      <c r="BR755" t="s">
        <v>106</v>
      </c>
      <c r="BS755" t="s">
        <v>14724</v>
      </c>
      <c r="BT755" t="str">
        <f>HYPERLINK("https%3A%2F%2Fwww.webofscience.com%2Fwos%2Fwoscc%2Ffull-record%2FWOS:000937256900001","View Full Record in Web of Science")</f>
        <v>View Full Record in Web of Science</v>
      </c>
    </row>
    <row r="756" spans="1:72" x14ac:dyDescent="0.15">
      <c r="A756" t="s">
        <v>72</v>
      </c>
      <c r="B756" t="s">
        <v>14725</v>
      </c>
      <c r="C756" t="s">
        <v>74</v>
      </c>
      <c r="D756" t="s">
        <v>74</v>
      </c>
      <c r="E756" t="s">
        <v>74</v>
      </c>
      <c r="F756" t="s">
        <v>14726</v>
      </c>
      <c r="G756" t="s">
        <v>74</v>
      </c>
      <c r="H756" t="s">
        <v>74</v>
      </c>
      <c r="I756" t="s">
        <v>14727</v>
      </c>
      <c r="J756" t="s">
        <v>1881</v>
      </c>
      <c r="K756" t="s">
        <v>74</v>
      </c>
      <c r="L756" t="s">
        <v>74</v>
      </c>
      <c r="M756" t="s">
        <v>78</v>
      </c>
      <c r="N756" t="s">
        <v>112</v>
      </c>
      <c r="O756" t="s">
        <v>74</v>
      </c>
      <c r="P756" t="s">
        <v>74</v>
      </c>
      <c r="Q756" t="s">
        <v>74</v>
      </c>
      <c r="R756" t="s">
        <v>74</v>
      </c>
      <c r="S756" t="s">
        <v>74</v>
      </c>
      <c r="T756" t="s">
        <v>74</v>
      </c>
      <c r="U756" t="s">
        <v>14728</v>
      </c>
      <c r="V756" t="s">
        <v>14729</v>
      </c>
      <c r="W756" t="s">
        <v>14730</v>
      </c>
      <c r="X756" t="s">
        <v>14731</v>
      </c>
      <c r="Y756" t="s">
        <v>14732</v>
      </c>
      <c r="Z756" t="s">
        <v>14733</v>
      </c>
      <c r="AA756" t="s">
        <v>14734</v>
      </c>
      <c r="AB756" t="s">
        <v>14735</v>
      </c>
      <c r="AC756" t="s">
        <v>14736</v>
      </c>
      <c r="AD756" t="s">
        <v>7089</v>
      </c>
      <c r="AE756" t="s">
        <v>14737</v>
      </c>
      <c r="AF756" t="s">
        <v>74</v>
      </c>
      <c r="AG756">
        <v>117</v>
      </c>
      <c r="AH756">
        <v>1</v>
      </c>
      <c r="AI756">
        <v>1</v>
      </c>
      <c r="AJ756">
        <v>1</v>
      </c>
      <c r="AK756">
        <v>4</v>
      </c>
      <c r="AL756" t="s">
        <v>794</v>
      </c>
      <c r="AM756" t="s">
        <v>795</v>
      </c>
      <c r="AN756" t="s">
        <v>796</v>
      </c>
      <c r="AO756" t="s">
        <v>1893</v>
      </c>
      <c r="AP756" t="s">
        <v>1894</v>
      </c>
      <c r="AQ756" t="s">
        <v>74</v>
      </c>
      <c r="AR756" t="s">
        <v>1881</v>
      </c>
      <c r="AS756" t="s">
        <v>1895</v>
      </c>
      <c r="AT756" t="s">
        <v>14636</v>
      </c>
      <c r="AU756">
        <v>2023</v>
      </c>
      <c r="AV756">
        <v>20</v>
      </c>
      <c r="AW756">
        <v>3</v>
      </c>
      <c r="AX756" t="s">
        <v>74</v>
      </c>
      <c r="AY756" t="s">
        <v>74</v>
      </c>
      <c r="AZ756" t="s">
        <v>74</v>
      </c>
      <c r="BA756" t="s">
        <v>74</v>
      </c>
      <c r="BB756">
        <v>523</v>
      </c>
      <c r="BC756">
        <v>544</v>
      </c>
      <c r="BD756" t="s">
        <v>74</v>
      </c>
      <c r="BE756" t="s">
        <v>14738</v>
      </c>
      <c r="BF756" t="str">
        <f>HYPERLINK("http://dx.doi.org/10.5194/bg-20-523-2023","http://dx.doi.org/10.5194/bg-20-523-2023")</f>
        <v>http://dx.doi.org/10.5194/bg-20-523-2023</v>
      </c>
      <c r="BG756" t="s">
        <v>74</v>
      </c>
      <c r="BH756" t="s">
        <v>74</v>
      </c>
      <c r="BI756">
        <v>22</v>
      </c>
      <c r="BJ756" t="s">
        <v>1897</v>
      </c>
      <c r="BK756" t="s">
        <v>103</v>
      </c>
      <c r="BL756" t="s">
        <v>1364</v>
      </c>
      <c r="BM756" t="s">
        <v>14739</v>
      </c>
      <c r="BN756" t="s">
        <v>74</v>
      </c>
      <c r="BO756" t="s">
        <v>2989</v>
      </c>
      <c r="BP756" t="s">
        <v>74</v>
      </c>
      <c r="BQ756" t="s">
        <v>74</v>
      </c>
      <c r="BR756" t="s">
        <v>106</v>
      </c>
      <c r="BS756" t="s">
        <v>14740</v>
      </c>
      <c r="BT756" t="str">
        <f>HYPERLINK("https%3A%2F%2Fwww.webofscience.com%2Fwos%2Fwoscc%2Ffull-record%2FWOS:000925109500001","View Full Record in Web of Science")</f>
        <v>View Full Record in Web of Science</v>
      </c>
    </row>
    <row r="757" spans="1:72" x14ac:dyDescent="0.15">
      <c r="A757" t="s">
        <v>72</v>
      </c>
      <c r="B757" t="s">
        <v>14741</v>
      </c>
      <c r="C757" t="s">
        <v>74</v>
      </c>
      <c r="D757" t="s">
        <v>74</v>
      </c>
      <c r="E757" t="s">
        <v>74</v>
      </c>
      <c r="F757" t="s">
        <v>14742</v>
      </c>
      <c r="G757" t="s">
        <v>74</v>
      </c>
      <c r="H757" t="s">
        <v>74</v>
      </c>
      <c r="I757" t="s">
        <v>14743</v>
      </c>
      <c r="J757" t="s">
        <v>1025</v>
      </c>
      <c r="K757" t="s">
        <v>74</v>
      </c>
      <c r="L757" t="s">
        <v>74</v>
      </c>
      <c r="M757" t="s">
        <v>78</v>
      </c>
      <c r="N757" t="s">
        <v>112</v>
      </c>
      <c r="O757" t="s">
        <v>74</v>
      </c>
      <c r="P757" t="s">
        <v>74</v>
      </c>
      <c r="Q757" t="s">
        <v>74</v>
      </c>
      <c r="R757" t="s">
        <v>74</v>
      </c>
      <c r="S757" t="s">
        <v>74</v>
      </c>
      <c r="T757" t="s">
        <v>74</v>
      </c>
      <c r="U757" t="s">
        <v>14744</v>
      </c>
      <c r="V757" t="s">
        <v>14745</v>
      </c>
      <c r="W757" t="s">
        <v>14746</v>
      </c>
      <c r="X757" t="s">
        <v>14747</v>
      </c>
      <c r="Y757" t="s">
        <v>14748</v>
      </c>
      <c r="Z757" t="s">
        <v>14749</v>
      </c>
      <c r="AA757" t="s">
        <v>14750</v>
      </c>
      <c r="AB757" t="s">
        <v>14751</v>
      </c>
      <c r="AC757" t="s">
        <v>14752</v>
      </c>
      <c r="AD757" t="s">
        <v>14753</v>
      </c>
      <c r="AE757" t="s">
        <v>14754</v>
      </c>
      <c r="AF757" t="s">
        <v>74</v>
      </c>
      <c r="AG757">
        <v>131</v>
      </c>
      <c r="AH757">
        <v>2</v>
      </c>
      <c r="AI757">
        <v>2</v>
      </c>
      <c r="AJ757">
        <v>2</v>
      </c>
      <c r="AK757">
        <v>14</v>
      </c>
      <c r="AL757" t="s">
        <v>794</v>
      </c>
      <c r="AM757" t="s">
        <v>795</v>
      </c>
      <c r="AN757" t="s">
        <v>796</v>
      </c>
      <c r="AO757" t="s">
        <v>1036</v>
      </c>
      <c r="AP757" t="s">
        <v>1037</v>
      </c>
      <c r="AQ757" t="s">
        <v>74</v>
      </c>
      <c r="AR757" t="s">
        <v>1038</v>
      </c>
      <c r="AS757" t="s">
        <v>1039</v>
      </c>
      <c r="AT757" t="s">
        <v>14636</v>
      </c>
      <c r="AU757">
        <v>2023</v>
      </c>
      <c r="AV757">
        <v>19</v>
      </c>
      <c r="AW757">
        <v>2</v>
      </c>
      <c r="AX757" t="s">
        <v>74</v>
      </c>
      <c r="AY757" t="s">
        <v>74</v>
      </c>
      <c r="AZ757" t="s">
        <v>74</v>
      </c>
      <c r="BA757" t="s">
        <v>74</v>
      </c>
      <c r="BB757">
        <v>293</v>
      </c>
      <c r="BC757">
        <v>321</v>
      </c>
      <c r="BD757" t="s">
        <v>74</v>
      </c>
      <c r="BE757" t="s">
        <v>14755</v>
      </c>
      <c r="BF757" t="str">
        <f>HYPERLINK("http://dx.doi.org/10.5194/cp-19-293-2023","http://dx.doi.org/10.5194/cp-19-293-2023")</f>
        <v>http://dx.doi.org/10.5194/cp-19-293-2023</v>
      </c>
      <c r="BG757" t="s">
        <v>74</v>
      </c>
      <c r="BH757" t="s">
        <v>74</v>
      </c>
      <c r="BI757">
        <v>29</v>
      </c>
      <c r="BJ757" t="s">
        <v>1041</v>
      </c>
      <c r="BK757" t="s">
        <v>103</v>
      </c>
      <c r="BL757" t="s">
        <v>1042</v>
      </c>
      <c r="BM757" t="s">
        <v>14756</v>
      </c>
      <c r="BN757" t="s">
        <v>74</v>
      </c>
      <c r="BO757" t="s">
        <v>614</v>
      </c>
      <c r="BP757" t="s">
        <v>74</v>
      </c>
      <c r="BQ757" t="s">
        <v>74</v>
      </c>
      <c r="BR757" t="s">
        <v>106</v>
      </c>
      <c r="BS757" t="s">
        <v>14757</v>
      </c>
      <c r="BT757" t="str">
        <f>HYPERLINK("https%3A%2F%2Fwww.webofscience.com%2Fwos%2Fwoscc%2Ffull-record%2FWOS:000925188500001","View Full Record in Web of Science")</f>
        <v>View Full Record in Web of Science</v>
      </c>
    </row>
    <row r="758" spans="1:72" x14ac:dyDescent="0.15">
      <c r="A758" t="s">
        <v>72</v>
      </c>
      <c r="B758" t="s">
        <v>14758</v>
      </c>
      <c r="C758" t="s">
        <v>74</v>
      </c>
      <c r="D758" t="s">
        <v>74</v>
      </c>
      <c r="E758" t="s">
        <v>74</v>
      </c>
      <c r="F758" t="s">
        <v>14759</v>
      </c>
      <c r="G758" t="s">
        <v>74</v>
      </c>
      <c r="H758" t="s">
        <v>74</v>
      </c>
      <c r="I758" t="s">
        <v>14760</v>
      </c>
      <c r="J758" t="s">
        <v>14761</v>
      </c>
      <c r="K758" t="s">
        <v>74</v>
      </c>
      <c r="L758" t="s">
        <v>74</v>
      </c>
      <c r="M758" t="s">
        <v>78</v>
      </c>
      <c r="N758" t="s">
        <v>112</v>
      </c>
      <c r="O758" t="s">
        <v>74</v>
      </c>
      <c r="P758" t="s">
        <v>74</v>
      </c>
      <c r="Q758" t="s">
        <v>74</v>
      </c>
      <c r="R758" t="s">
        <v>74</v>
      </c>
      <c r="S758" t="s">
        <v>74</v>
      </c>
      <c r="T758" t="s">
        <v>74</v>
      </c>
      <c r="U758" t="s">
        <v>14762</v>
      </c>
      <c r="V758" t="s">
        <v>14763</v>
      </c>
      <c r="W758" t="s">
        <v>14764</v>
      </c>
      <c r="X758" t="s">
        <v>14765</v>
      </c>
      <c r="Y758" t="s">
        <v>14766</v>
      </c>
      <c r="Z758" t="s">
        <v>14767</v>
      </c>
      <c r="AA758" t="s">
        <v>14768</v>
      </c>
      <c r="AB758" t="s">
        <v>14769</v>
      </c>
      <c r="AC758" t="s">
        <v>14770</v>
      </c>
      <c r="AD758" t="s">
        <v>14771</v>
      </c>
      <c r="AE758" t="s">
        <v>14772</v>
      </c>
      <c r="AF758" t="s">
        <v>74</v>
      </c>
      <c r="AG758">
        <v>82</v>
      </c>
      <c r="AH758">
        <v>2</v>
      </c>
      <c r="AI758">
        <v>2</v>
      </c>
      <c r="AJ758">
        <v>0</v>
      </c>
      <c r="AK758">
        <v>0</v>
      </c>
      <c r="AL758" t="s">
        <v>794</v>
      </c>
      <c r="AM758" t="s">
        <v>795</v>
      </c>
      <c r="AN758" t="s">
        <v>796</v>
      </c>
      <c r="AO758" t="s">
        <v>74</v>
      </c>
      <c r="AP758" t="s">
        <v>14773</v>
      </c>
      <c r="AQ758" t="s">
        <v>74</v>
      </c>
      <c r="AR758" t="s">
        <v>14774</v>
      </c>
      <c r="AS758" t="s">
        <v>14774</v>
      </c>
      <c r="AT758" t="s">
        <v>14636</v>
      </c>
      <c r="AU758">
        <v>2023</v>
      </c>
      <c r="AV758">
        <v>4</v>
      </c>
      <c r="AW758">
        <v>1</v>
      </c>
      <c r="AX758" t="s">
        <v>74</v>
      </c>
      <c r="AY758" t="s">
        <v>74</v>
      </c>
      <c r="AZ758" t="s">
        <v>74</v>
      </c>
      <c r="BA758" t="s">
        <v>74</v>
      </c>
      <c r="BB758">
        <v>189</v>
      </c>
      <c r="BC758">
        <v>211</v>
      </c>
      <c r="BD758" t="s">
        <v>74</v>
      </c>
      <c r="BE758" t="s">
        <v>14775</v>
      </c>
      <c r="BF758" t="str">
        <f>HYPERLINK("http://dx.doi.org/10.5194/wcd-4-189-2023","http://dx.doi.org/10.5194/wcd-4-189-2023")</f>
        <v>http://dx.doi.org/10.5194/wcd-4-189-2023</v>
      </c>
      <c r="BG758" t="s">
        <v>74</v>
      </c>
      <c r="BH758" t="s">
        <v>74</v>
      </c>
      <c r="BI758">
        <v>23</v>
      </c>
      <c r="BJ758" t="s">
        <v>102</v>
      </c>
      <c r="BK758" t="s">
        <v>160</v>
      </c>
      <c r="BL758" t="s">
        <v>102</v>
      </c>
      <c r="BM758" t="s">
        <v>14776</v>
      </c>
      <c r="BN758" t="s">
        <v>74</v>
      </c>
      <c r="BO758" t="s">
        <v>14086</v>
      </c>
      <c r="BP758" t="s">
        <v>74</v>
      </c>
      <c r="BQ758" t="s">
        <v>74</v>
      </c>
      <c r="BR758" t="s">
        <v>106</v>
      </c>
      <c r="BS758" t="s">
        <v>14777</v>
      </c>
      <c r="BT758" t="str">
        <f>HYPERLINK("https%3A%2F%2Fwww.webofscience.com%2Fwos%2Fwoscc%2Ffull-record%2FWOS:001168853900001","View Full Record in Web of Science")</f>
        <v>View Full Record in Web of Science</v>
      </c>
    </row>
    <row r="759" spans="1:72" x14ac:dyDescent="0.15">
      <c r="A759" t="s">
        <v>72</v>
      </c>
      <c r="B759" t="s">
        <v>14778</v>
      </c>
      <c r="C759" t="s">
        <v>74</v>
      </c>
      <c r="D759" t="s">
        <v>74</v>
      </c>
      <c r="E759" t="s">
        <v>74</v>
      </c>
      <c r="F759" t="s">
        <v>14779</v>
      </c>
      <c r="G759" t="s">
        <v>74</v>
      </c>
      <c r="H759" t="s">
        <v>74</v>
      </c>
      <c r="I759" t="s">
        <v>14780</v>
      </c>
      <c r="J759" t="s">
        <v>14781</v>
      </c>
      <c r="K759" t="s">
        <v>74</v>
      </c>
      <c r="L759" t="s">
        <v>74</v>
      </c>
      <c r="M759" t="s">
        <v>78</v>
      </c>
      <c r="N759" t="s">
        <v>112</v>
      </c>
      <c r="O759" t="s">
        <v>74</v>
      </c>
      <c r="P759" t="s">
        <v>74</v>
      </c>
      <c r="Q759" t="s">
        <v>74</v>
      </c>
      <c r="R759" t="s">
        <v>74</v>
      </c>
      <c r="S759" t="s">
        <v>74</v>
      </c>
      <c r="T759" t="s">
        <v>14782</v>
      </c>
      <c r="U759" t="s">
        <v>14783</v>
      </c>
      <c r="V759" t="s">
        <v>14784</v>
      </c>
      <c r="W759" t="s">
        <v>14785</v>
      </c>
      <c r="X759" t="s">
        <v>74</v>
      </c>
      <c r="Y759" t="s">
        <v>14786</v>
      </c>
      <c r="Z759" t="s">
        <v>14787</v>
      </c>
      <c r="AA759" t="s">
        <v>74</v>
      </c>
      <c r="AB759" t="s">
        <v>74</v>
      </c>
      <c r="AC759" t="s">
        <v>74</v>
      </c>
      <c r="AD759" t="s">
        <v>74</v>
      </c>
      <c r="AE759" t="s">
        <v>74</v>
      </c>
      <c r="AF759" t="s">
        <v>74</v>
      </c>
      <c r="AG759">
        <v>13</v>
      </c>
      <c r="AH759">
        <v>0</v>
      </c>
      <c r="AI759">
        <v>0</v>
      </c>
      <c r="AJ759">
        <v>0</v>
      </c>
      <c r="AK759">
        <v>0</v>
      </c>
      <c r="AL759" t="s">
        <v>14788</v>
      </c>
      <c r="AM759" t="s">
        <v>14789</v>
      </c>
      <c r="AN759" t="s">
        <v>14790</v>
      </c>
      <c r="AO759" t="s">
        <v>14791</v>
      </c>
      <c r="AP759" t="s">
        <v>14792</v>
      </c>
      <c r="AQ759" t="s">
        <v>74</v>
      </c>
      <c r="AR759" t="s">
        <v>14793</v>
      </c>
      <c r="AS759" t="s">
        <v>14794</v>
      </c>
      <c r="AT759" t="s">
        <v>8210</v>
      </c>
      <c r="AU759">
        <v>2023</v>
      </c>
      <c r="AV759">
        <v>151</v>
      </c>
      <c r="AW759">
        <v>2</v>
      </c>
      <c r="AX759" t="s">
        <v>74</v>
      </c>
      <c r="AY759" t="s">
        <v>74</v>
      </c>
      <c r="AZ759" t="s">
        <v>74</v>
      </c>
      <c r="BA759" t="s">
        <v>74</v>
      </c>
      <c r="BB759">
        <v>255</v>
      </c>
      <c r="BC759">
        <v>258</v>
      </c>
      <c r="BD759" t="s">
        <v>74</v>
      </c>
      <c r="BE759" t="s">
        <v>74</v>
      </c>
      <c r="BF759" t="s">
        <v>74</v>
      </c>
      <c r="BG759" t="s">
        <v>74</v>
      </c>
      <c r="BH759" t="s">
        <v>74</v>
      </c>
      <c r="BI759">
        <v>4</v>
      </c>
      <c r="BJ759" t="s">
        <v>14795</v>
      </c>
      <c r="BK759" t="s">
        <v>103</v>
      </c>
      <c r="BL759" t="s">
        <v>14796</v>
      </c>
      <c r="BM759" t="s">
        <v>14797</v>
      </c>
      <c r="BN759">
        <v>38293861</v>
      </c>
      <c r="BO759" t="s">
        <v>359</v>
      </c>
      <c r="BP759" t="s">
        <v>74</v>
      </c>
      <c r="BQ759" t="s">
        <v>74</v>
      </c>
      <c r="BR759" t="s">
        <v>106</v>
      </c>
      <c r="BS759" t="s">
        <v>14798</v>
      </c>
      <c r="BT759" t="str">
        <f>HYPERLINK("https%3A%2F%2Fwww.webofscience.com%2Fwos%2Fwoscc%2Ffull-record%2FWOS:001105914300012","View Full Record in Web of Science")</f>
        <v>View Full Record in Web of Science</v>
      </c>
    </row>
    <row r="760" spans="1:72" x14ac:dyDescent="0.15">
      <c r="A760" t="s">
        <v>72</v>
      </c>
      <c r="B760" t="s">
        <v>14799</v>
      </c>
      <c r="C760" t="s">
        <v>74</v>
      </c>
      <c r="D760" t="s">
        <v>74</v>
      </c>
      <c r="E760" t="s">
        <v>74</v>
      </c>
      <c r="F760" t="s">
        <v>14800</v>
      </c>
      <c r="G760" t="s">
        <v>74</v>
      </c>
      <c r="H760" t="s">
        <v>74</v>
      </c>
      <c r="I760" t="s">
        <v>14801</v>
      </c>
      <c r="J760" t="s">
        <v>4757</v>
      </c>
      <c r="K760" t="s">
        <v>74</v>
      </c>
      <c r="L760" t="s">
        <v>74</v>
      </c>
      <c r="M760" t="s">
        <v>78</v>
      </c>
      <c r="N760" t="s">
        <v>112</v>
      </c>
      <c r="O760" t="s">
        <v>74</v>
      </c>
      <c r="P760" t="s">
        <v>74</v>
      </c>
      <c r="Q760" t="s">
        <v>74</v>
      </c>
      <c r="R760" t="s">
        <v>74</v>
      </c>
      <c r="S760" t="s">
        <v>74</v>
      </c>
      <c r="T760" t="s">
        <v>74</v>
      </c>
      <c r="U760" t="s">
        <v>14802</v>
      </c>
      <c r="V760" t="s">
        <v>14803</v>
      </c>
      <c r="W760" t="s">
        <v>14804</v>
      </c>
      <c r="X760" t="s">
        <v>14805</v>
      </c>
      <c r="Y760" t="s">
        <v>14806</v>
      </c>
      <c r="Z760" t="s">
        <v>14807</v>
      </c>
      <c r="AA760" t="s">
        <v>74</v>
      </c>
      <c r="AB760" t="s">
        <v>14808</v>
      </c>
      <c r="AC760" t="s">
        <v>14809</v>
      </c>
      <c r="AD760" t="s">
        <v>14810</v>
      </c>
      <c r="AE760" t="s">
        <v>14811</v>
      </c>
      <c r="AF760" t="s">
        <v>74</v>
      </c>
      <c r="AG760">
        <v>39</v>
      </c>
      <c r="AH760">
        <v>0</v>
      </c>
      <c r="AI760">
        <v>0</v>
      </c>
      <c r="AJ760">
        <v>3</v>
      </c>
      <c r="AK760">
        <v>3</v>
      </c>
      <c r="AL760" t="s">
        <v>305</v>
      </c>
      <c r="AM760" t="s">
        <v>306</v>
      </c>
      <c r="AN760" t="s">
        <v>307</v>
      </c>
      <c r="AO760" t="s">
        <v>4769</v>
      </c>
      <c r="AP760" t="s">
        <v>4770</v>
      </c>
      <c r="AQ760" t="s">
        <v>74</v>
      </c>
      <c r="AR760" t="s">
        <v>4771</v>
      </c>
      <c r="AS760" t="s">
        <v>4772</v>
      </c>
      <c r="AT760" t="s">
        <v>8210</v>
      </c>
      <c r="AU760">
        <v>2023</v>
      </c>
      <c r="AV760">
        <v>128</v>
      </c>
      <c r="AW760">
        <v>2</v>
      </c>
      <c r="AX760" t="s">
        <v>74</v>
      </c>
      <c r="AY760" t="s">
        <v>74</v>
      </c>
      <c r="AZ760" t="s">
        <v>74</v>
      </c>
      <c r="BA760" t="s">
        <v>74</v>
      </c>
      <c r="BB760" t="s">
        <v>74</v>
      </c>
      <c r="BC760" t="s">
        <v>74</v>
      </c>
      <c r="BD760" t="s">
        <v>14812</v>
      </c>
      <c r="BE760" t="s">
        <v>14813</v>
      </c>
      <c r="BF760" t="str">
        <f>HYPERLINK("http://dx.doi.org/10.1029/2022JC019257","http://dx.doi.org/10.1029/2022JC019257")</f>
        <v>http://dx.doi.org/10.1029/2022JC019257</v>
      </c>
      <c r="BG760" t="s">
        <v>74</v>
      </c>
      <c r="BH760" t="s">
        <v>74</v>
      </c>
      <c r="BI760">
        <v>13</v>
      </c>
      <c r="BJ760" t="s">
        <v>863</v>
      </c>
      <c r="BK760" t="s">
        <v>103</v>
      </c>
      <c r="BL760" t="s">
        <v>863</v>
      </c>
      <c r="BM760" t="s">
        <v>14814</v>
      </c>
      <c r="BN760" t="s">
        <v>74</v>
      </c>
      <c r="BO760" t="s">
        <v>5294</v>
      </c>
      <c r="BP760" t="s">
        <v>74</v>
      </c>
      <c r="BQ760" t="s">
        <v>74</v>
      </c>
      <c r="BR760" t="s">
        <v>106</v>
      </c>
      <c r="BS760" t="s">
        <v>14815</v>
      </c>
      <c r="BT760" t="str">
        <f>HYPERLINK("https%3A%2F%2Fwww.webofscience.com%2Fwos%2Fwoscc%2Ffull-record%2FWOS:000949116400001","View Full Record in Web of Science")</f>
        <v>View Full Record in Web of Science</v>
      </c>
    </row>
    <row r="761" spans="1:72" x14ac:dyDescent="0.15">
      <c r="A761" t="s">
        <v>72</v>
      </c>
      <c r="B761" t="s">
        <v>14816</v>
      </c>
      <c r="C761" t="s">
        <v>74</v>
      </c>
      <c r="D761" t="s">
        <v>74</v>
      </c>
      <c r="E761" t="s">
        <v>74</v>
      </c>
      <c r="F761" t="s">
        <v>14817</v>
      </c>
      <c r="G761" t="s">
        <v>74</v>
      </c>
      <c r="H761" t="s">
        <v>74</v>
      </c>
      <c r="I761" t="s">
        <v>14818</v>
      </c>
      <c r="J761" t="s">
        <v>4757</v>
      </c>
      <c r="K761" t="s">
        <v>74</v>
      </c>
      <c r="L761" t="s">
        <v>74</v>
      </c>
      <c r="M761" t="s">
        <v>78</v>
      </c>
      <c r="N761" t="s">
        <v>112</v>
      </c>
      <c r="O761" t="s">
        <v>74</v>
      </c>
      <c r="P761" t="s">
        <v>74</v>
      </c>
      <c r="Q761" t="s">
        <v>74</v>
      </c>
      <c r="R761" t="s">
        <v>74</v>
      </c>
      <c r="S761" t="s">
        <v>74</v>
      </c>
      <c r="T761" t="s">
        <v>14819</v>
      </c>
      <c r="U761" t="s">
        <v>14820</v>
      </c>
      <c r="V761" t="s">
        <v>14821</v>
      </c>
      <c r="W761" t="s">
        <v>14822</v>
      </c>
      <c r="X761" t="s">
        <v>14823</v>
      </c>
      <c r="Y761" t="s">
        <v>14824</v>
      </c>
      <c r="Z761" t="s">
        <v>14825</v>
      </c>
      <c r="AA761" t="s">
        <v>14826</v>
      </c>
      <c r="AB761" t="s">
        <v>14827</v>
      </c>
      <c r="AC761" t="s">
        <v>14828</v>
      </c>
      <c r="AD761" t="s">
        <v>14829</v>
      </c>
      <c r="AE761" t="s">
        <v>14830</v>
      </c>
      <c r="AF761" t="s">
        <v>74</v>
      </c>
      <c r="AG761">
        <v>104</v>
      </c>
      <c r="AH761">
        <v>0</v>
      </c>
      <c r="AI761">
        <v>0</v>
      </c>
      <c r="AJ761">
        <v>3</v>
      </c>
      <c r="AK761">
        <v>3</v>
      </c>
      <c r="AL761" t="s">
        <v>305</v>
      </c>
      <c r="AM761" t="s">
        <v>306</v>
      </c>
      <c r="AN761" t="s">
        <v>307</v>
      </c>
      <c r="AO761" t="s">
        <v>4769</v>
      </c>
      <c r="AP761" t="s">
        <v>4770</v>
      </c>
      <c r="AQ761" t="s">
        <v>74</v>
      </c>
      <c r="AR761" t="s">
        <v>4771</v>
      </c>
      <c r="AS761" t="s">
        <v>4772</v>
      </c>
      <c r="AT761" t="s">
        <v>8210</v>
      </c>
      <c r="AU761">
        <v>2023</v>
      </c>
      <c r="AV761">
        <v>128</v>
      </c>
      <c r="AW761">
        <v>2</v>
      </c>
      <c r="AX761" t="s">
        <v>74</v>
      </c>
      <c r="AY761" t="s">
        <v>74</v>
      </c>
      <c r="AZ761" t="s">
        <v>74</v>
      </c>
      <c r="BA761" t="s">
        <v>74</v>
      </c>
      <c r="BB761" t="s">
        <v>74</v>
      </c>
      <c r="BC761" t="s">
        <v>74</v>
      </c>
      <c r="BD761" t="s">
        <v>14831</v>
      </c>
      <c r="BE761" t="s">
        <v>14832</v>
      </c>
      <c r="BF761" t="str">
        <f>HYPERLINK("http://dx.doi.org/10.1029/2022JC018875","http://dx.doi.org/10.1029/2022JC018875")</f>
        <v>http://dx.doi.org/10.1029/2022JC018875</v>
      </c>
      <c r="BG761" t="s">
        <v>74</v>
      </c>
      <c r="BH761" t="s">
        <v>74</v>
      </c>
      <c r="BI761">
        <v>20</v>
      </c>
      <c r="BJ761" t="s">
        <v>863</v>
      </c>
      <c r="BK761" t="s">
        <v>103</v>
      </c>
      <c r="BL761" t="s">
        <v>863</v>
      </c>
      <c r="BM761" t="s">
        <v>14833</v>
      </c>
      <c r="BN761" t="s">
        <v>74</v>
      </c>
      <c r="BO761" t="s">
        <v>1748</v>
      </c>
      <c r="BP761" t="s">
        <v>74</v>
      </c>
      <c r="BQ761" t="s">
        <v>74</v>
      </c>
      <c r="BR761" t="s">
        <v>106</v>
      </c>
      <c r="BS761" t="s">
        <v>14834</v>
      </c>
      <c r="BT761" t="str">
        <f>HYPERLINK("https%3A%2F%2Fwww.webofscience.com%2Fwos%2Fwoscc%2Ffull-record%2FWOS:000929758900001","View Full Record in Web of Science")</f>
        <v>View Full Record in Web of Science</v>
      </c>
    </row>
    <row r="762" spans="1:72" x14ac:dyDescent="0.15">
      <c r="A762" t="s">
        <v>72</v>
      </c>
      <c r="B762" t="s">
        <v>14835</v>
      </c>
      <c r="C762" t="s">
        <v>74</v>
      </c>
      <c r="D762" t="s">
        <v>74</v>
      </c>
      <c r="E762" t="s">
        <v>74</v>
      </c>
      <c r="F762" t="s">
        <v>14836</v>
      </c>
      <c r="G762" t="s">
        <v>74</v>
      </c>
      <c r="H762" t="s">
        <v>74</v>
      </c>
      <c r="I762" t="s">
        <v>14837</v>
      </c>
      <c r="J762" t="s">
        <v>4757</v>
      </c>
      <c r="K762" t="s">
        <v>74</v>
      </c>
      <c r="L762" t="s">
        <v>74</v>
      </c>
      <c r="M762" t="s">
        <v>78</v>
      </c>
      <c r="N762" t="s">
        <v>112</v>
      </c>
      <c r="O762" t="s">
        <v>74</v>
      </c>
      <c r="P762" t="s">
        <v>74</v>
      </c>
      <c r="Q762" t="s">
        <v>74</v>
      </c>
      <c r="R762" t="s">
        <v>74</v>
      </c>
      <c r="S762" t="s">
        <v>74</v>
      </c>
      <c r="T762" t="s">
        <v>14838</v>
      </c>
      <c r="U762" t="s">
        <v>14839</v>
      </c>
      <c r="V762" t="s">
        <v>14840</v>
      </c>
      <c r="W762" t="s">
        <v>14841</v>
      </c>
      <c r="X762" t="s">
        <v>14842</v>
      </c>
      <c r="Y762" t="s">
        <v>14843</v>
      </c>
      <c r="Z762" t="s">
        <v>14844</v>
      </c>
      <c r="AA762" t="s">
        <v>14845</v>
      </c>
      <c r="AB762" t="s">
        <v>14846</v>
      </c>
      <c r="AC762" t="s">
        <v>14847</v>
      </c>
      <c r="AD762" t="s">
        <v>14848</v>
      </c>
      <c r="AE762" t="s">
        <v>14849</v>
      </c>
      <c r="AF762" t="s">
        <v>74</v>
      </c>
      <c r="AG762">
        <v>91</v>
      </c>
      <c r="AH762">
        <v>12</v>
      </c>
      <c r="AI762">
        <v>13</v>
      </c>
      <c r="AJ762">
        <v>5</v>
      </c>
      <c r="AK762">
        <v>7</v>
      </c>
      <c r="AL762" t="s">
        <v>305</v>
      </c>
      <c r="AM762" t="s">
        <v>306</v>
      </c>
      <c r="AN762" t="s">
        <v>307</v>
      </c>
      <c r="AO762" t="s">
        <v>4769</v>
      </c>
      <c r="AP762" t="s">
        <v>4770</v>
      </c>
      <c r="AQ762" t="s">
        <v>74</v>
      </c>
      <c r="AR762" t="s">
        <v>4771</v>
      </c>
      <c r="AS762" t="s">
        <v>4772</v>
      </c>
      <c r="AT762" t="s">
        <v>8210</v>
      </c>
      <c r="AU762">
        <v>2023</v>
      </c>
      <c r="AV762">
        <v>128</v>
      </c>
      <c r="AW762">
        <v>2</v>
      </c>
      <c r="AX762" t="s">
        <v>74</v>
      </c>
      <c r="AY762" t="s">
        <v>74</v>
      </c>
      <c r="AZ762" t="s">
        <v>74</v>
      </c>
      <c r="BA762" t="s">
        <v>74</v>
      </c>
      <c r="BB762" t="s">
        <v>74</v>
      </c>
      <c r="BC762" t="s">
        <v>74</v>
      </c>
      <c r="BD762" t="s">
        <v>14850</v>
      </c>
      <c r="BE762" t="s">
        <v>14851</v>
      </c>
      <c r="BF762" t="str">
        <f>HYPERLINK("http://dx.doi.org/10.1029/2022JC018962","http://dx.doi.org/10.1029/2022JC018962")</f>
        <v>http://dx.doi.org/10.1029/2022JC018962</v>
      </c>
      <c r="BG762" t="s">
        <v>74</v>
      </c>
      <c r="BH762" t="s">
        <v>74</v>
      </c>
      <c r="BI762">
        <v>25</v>
      </c>
      <c r="BJ762" t="s">
        <v>863</v>
      </c>
      <c r="BK762" t="s">
        <v>103</v>
      </c>
      <c r="BL762" t="s">
        <v>863</v>
      </c>
      <c r="BM762" t="s">
        <v>14852</v>
      </c>
      <c r="BN762" t="s">
        <v>74</v>
      </c>
      <c r="BO762" t="s">
        <v>387</v>
      </c>
      <c r="BP762" t="s">
        <v>74</v>
      </c>
      <c r="BQ762" t="s">
        <v>74</v>
      </c>
      <c r="BR762" t="s">
        <v>106</v>
      </c>
      <c r="BS762" t="s">
        <v>14853</v>
      </c>
      <c r="BT762" t="str">
        <f>HYPERLINK("https%3A%2F%2Fwww.webofscience.com%2Fwos%2Fwoscc%2Ffull-record%2FWOS:000949113400001","View Full Record in Web of Science")</f>
        <v>View Full Record in Web of Science</v>
      </c>
    </row>
    <row r="763" spans="1:72" x14ac:dyDescent="0.15">
      <c r="A763" t="s">
        <v>72</v>
      </c>
      <c r="B763" t="s">
        <v>14854</v>
      </c>
      <c r="C763" t="s">
        <v>74</v>
      </c>
      <c r="D763" t="s">
        <v>74</v>
      </c>
      <c r="E763" t="s">
        <v>74</v>
      </c>
      <c r="F763" t="s">
        <v>14855</v>
      </c>
      <c r="G763" t="s">
        <v>74</v>
      </c>
      <c r="H763" t="s">
        <v>74</v>
      </c>
      <c r="I763" t="s">
        <v>14856</v>
      </c>
      <c r="J763" t="s">
        <v>4757</v>
      </c>
      <c r="K763" t="s">
        <v>74</v>
      </c>
      <c r="L763" t="s">
        <v>74</v>
      </c>
      <c r="M763" t="s">
        <v>78</v>
      </c>
      <c r="N763" t="s">
        <v>112</v>
      </c>
      <c r="O763" t="s">
        <v>74</v>
      </c>
      <c r="P763" t="s">
        <v>74</v>
      </c>
      <c r="Q763" t="s">
        <v>74</v>
      </c>
      <c r="R763" t="s">
        <v>74</v>
      </c>
      <c r="S763" t="s">
        <v>74</v>
      </c>
      <c r="T763" t="s">
        <v>14857</v>
      </c>
      <c r="U763" t="s">
        <v>14858</v>
      </c>
      <c r="V763" t="s">
        <v>14859</v>
      </c>
      <c r="W763" t="s">
        <v>14860</v>
      </c>
      <c r="X763" t="s">
        <v>14861</v>
      </c>
      <c r="Y763" t="s">
        <v>14862</v>
      </c>
      <c r="Z763" t="s">
        <v>14863</v>
      </c>
      <c r="AA763" t="s">
        <v>14864</v>
      </c>
      <c r="AB763" t="s">
        <v>14865</v>
      </c>
      <c r="AC763" t="s">
        <v>14866</v>
      </c>
      <c r="AD763" t="s">
        <v>14867</v>
      </c>
      <c r="AE763" t="s">
        <v>14868</v>
      </c>
      <c r="AF763" t="s">
        <v>74</v>
      </c>
      <c r="AG763">
        <v>90</v>
      </c>
      <c r="AH763">
        <v>2</v>
      </c>
      <c r="AI763">
        <v>2</v>
      </c>
      <c r="AJ763">
        <v>2</v>
      </c>
      <c r="AK763">
        <v>2</v>
      </c>
      <c r="AL763" t="s">
        <v>305</v>
      </c>
      <c r="AM763" t="s">
        <v>306</v>
      </c>
      <c r="AN763" t="s">
        <v>307</v>
      </c>
      <c r="AO763" t="s">
        <v>4769</v>
      </c>
      <c r="AP763" t="s">
        <v>4770</v>
      </c>
      <c r="AQ763" t="s">
        <v>74</v>
      </c>
      <c r="AR763" t="s">
        <v>4771</v>
      </c>
      <c r="AS763" t="s">
        <v>4772</v>
      </c>
      <c r="AT763" t="s">
        <v>8210</v>
      </c>
      <c r="AU763">
        <v>2023</v>
      </c>
      <c r="AV763">
        <v>128</v>
      </c>
      <c r="AW763">
        <v>2</v>
      </c>
      <c r="AX763" t="s">
        <v>74</v>
      </c>
      <c r="AY763" t="s">
        <v>74</v>
      </c>
      <c r="AZ763" t="s">
        <v>74</v>
      </c>
      <c r="BA763" t="s">
        <v>74</v>
      </c>
      <c r="BB763" t="s">
        <v>74</v>
      </c>
      <c r="BC763" t="s">
        <v>74</v>
      </c>
      <c r="BD763" t="s">
        <v>14869</v>
      </c>
      <c r="BE763" t="s">
        <v>14870</v>
      </c>
      <c r="BF763" t="str">
        <f>HYPERLINK("http://dx.doi.org/10.1029/2022JC019459","http://dx.doi.org/10.1029/2022JC019459")</f>
        <v>http://dx.doi.org/10.1029/2022JC019459</v>
      </c>
      <c r="BG763" t="s">
        <v>74</v>
      </c>
      <c r="BH763" t="s">
        <v>74</v>
      </c>
      <c r="BI763">
        <v>21</v>
      </c>
      <c r="BJ763" t="s">
        <v>863</v>
      </c>
      <c r="BK763" t="s">
        <v>103</v>
      </c>
      <c r="BL763" t="s">
        <v>863</v>
      </c>
      <c r="BM763" t="s">
        <v>14871</v>
      </c>
      <c r="BN763" t="s">
        <v>74</v>
      </c>
      <c r="BO763" t="s">
        <v>74</v>
      </c>
      <c r="BP763" t="s">
        <v>74</v>
      </c>
      <c r="BQ763" t="s">
        <v>74</v>
      </c>
      <c r="BR763" t="s">
        <v>106</v>
      </c>
      <c r="BS763" t="s">
        <v>14872</v>
      </c>
      <c r="BT763" t="str">
        <f>HYPERLINK("https%3A%2F%2Fwww.webofscience.com%2Fwos%2Fwoscc%2Ffull-record%2FWOS:000933289200001","View Full Record in Web of Science")</f>
        <v>View Full Record in Web of Science</v>
      </c>
    </row>
    <row r="764" spans="1:72" x14ac:dyDescent="0.15">
      <c r="A764" t="s">
        <v>72</v>
      </c>
      <c r="B764" t="s">
        <v>14873</v>
      </c>
      <c r="C764" t="s">
        <v>74</v>
      </c>
      <c r="D764" t="s">
        <v>74</v>
      </c>
      <c r="E764" t="s">
        <v>74</v>
      </c>
      <c r="F764" t="s">
        <v>14874</v>
      </c>
      <c r="G764" t="s">
        <v>74</v>
      </c>
      <c r="H764" t="s">
        <v>74</v>
      </c>
      <c r="I764" t="s">
        <v>14875</v>
      </c>
      <c r="J764" t="s">
        <v>4757</v>
      </c>
      <c r="K764" t="s">
        <v>74</v>
      </c>
      <c r="L764" t="s">
        <v>74</v>
      </c>
      <c r="M764" t="s">
        <v>78</v>
      </c>
      <c r="N764" t="s">
        <v>112</v>
      </c>
      <c r="O764" t="s">
        <v>74</v>
      </c>
      <c r="P764" t="s">
        <v>74</v>
      </c>
      <c r="Q764" t="s">
        <v>74</v>
      </c>
      <c r="R764" t="s">
        <v>74</v>
      </c>
      <c r="S764" t="s">
        <v>74</v>
      </c>
      <c r="T764" t="s">
        <v>14876</v>
      </c>
      <c r="U764" t="s">
        <v>14877</v>
      </c>
      <c r="V764" t="s">
        <v>14878</v>
      </c>
      <c r="W764" t="s">
        <v>14879</v>
      </c>
      <c r="X764" t="s">
        <v>14880</v>
      </c>
      <c r="Y764" t="s">
        <v>14881</v>
      </c>
      <c r="Z764" t="s">
        <v>14882</v>
      </c>
      <c r="AA764" t="s">
        <v>14883</v>
      </c>
      <c r="AB764" t="s">
        <v>14884</v>
      </c>
      <c r="AC764" t="s">
        <v>14885</v>
      </c>
      <c r="AD764" t="s">
        <v>14886</v>
      </c>
      <c r="AE764" t="s">
        <v>14887</v>
      </c>
      <c r="AF764" t="s">
        <v>74</v>
      </c>
      <c r="AG764">
        <v>53</v>
      </c>
      <c r="AH764">
        <v>0</v>
      </c>
      <c r="AI764">
        <v>0</v>
      </c>
      <c r="AJ764">
        <v>4</v>
      </c>
      <c r="AK764">
        <v>5</v>
      </c>
      <c r="AL764" t="s">
        <v>305</v>
      </c>
      <c r="AM764" t="s">
        <v>306</v>
      </c>
      <c r="AN764" t="s">
        <v>307</v>
      </c>
      <c r="AO764" t="s">
        <v>4769</v>
      </c>
      <c r="AP764" t="s">
        <v>4770</v>
      </c>
      <c r="AQ764" t="s">
        <v>74</v>
      </c>
      <c r="AR764" t="s">
        <v>4771</v>
      </c>
      <c r="AS764" t="s">
        <v>4772</v>
      </c>
      <c r="AT764" t="s">
        <v>8210</v>
      </c>
      <c r="AU764">
        <v>2023</v>
      </c>
      <c r="AV764">
        <v>128</v>
      </c>
      <c r="AW764">
        <v>2</v>
      </c>
      <c r="AX764" t="s">
        <v>74</v>
      </c>
      <c r="AY764" t="s">
        <v>74</v>
      </c>
      <c r="AZ764" t="s">
        <v>74</v>
      </c>
      <c r="BA764" t="s">
        <v>74</v>
      </c>
      <c r="BB764" t="s">
        <v>74</v>
      </c>
      <c r="BC764" t="s">
        <v>74</v>
      </c>
      <c r="BD764" t="s">
        <v>14888</v>
      </c>
      <c r="BE764" t="s">
        <v>14889</v>
      </c>
      <c r="BF764" t="str">
        <f>HYPERLINK("http://dx.doi.org/10.1029/2022JC019422","http://dx.doi.org/10.1029/2022JC019422")</f>
        <v>http://dx.doi.org/10.1029/2022JC019422</v>
      </c>
      <c r="BG764" t="s">
        <v>74</v>
      </c>
      <c r="BH764" t="s">
        <v>74</v>
      </c>
      <c r="BI764">
        <v>21</v>
      </c>
      <c r="BJ764" t="s">
        <v>863</v>
      </c>
      <c r="BK764" t="s">
        <v>103</v>
      </c>
      <c r="BL764" t="s">
        <v>863</v>
      </c>
      <c r="BM764" t="s">
        <v>14890</v>
      </c>
      <c r="BN764" t="s">
        <v>74</v>
      </c>
      <c r="BO764" t="s">
        <v>387</v>
      </c>
      <c r="BP764" t="s">
        <v>74</v>
      </c>
      <c r="BQ764" t="s">
        <v>74</v>
      </c>
      <c r="BR764" t="s">
        <v>106</v>
      </c>
      <c r="BS764" t="s">
        <v>14891</v>
      </c>
      <c r="BT764" t="str">
        <f>HYPERLINK("https%3A%2F%2Fwww.webofscience.com%2Fwos%2Fwoscc%2Ffull-record%2FWOS:000949113100001","View Full Record in Web of Science")</f>
        <v>View Full Record in Web of Science</v>
      </c>
    </row>
    <row r="765" spans="1:72" x14ac:dyDescent="0.15">
      <c r="A765" t="s">
        <v>72</v>
      </c>
      <c r="B765" t="s">
        <v>14892</v>
      </c>
      <c r="C765" t="s">
        <v>74</v>
      </c>
      <c r="D765" t="s">
        <v>74</v>
      </c>
      <c r="E765" t="s">
        <v>74</v>
      </c>
      <c r="F765" t="s">
        <v>14893</v>
      </c>
      <c r="G765" t="s">
        <v>74</v>
      </c>
      <c r="H765" t="s">
        <v>74</v>
      </c>
      <c r="I765" t="s">
        <v>14894</v>
      </c>
      <c r="J765" t="s">
        <v>4757</v>
      </c>
      <c r="K765" t="s">
        <v>74</v>
      </c>
      <c r="L765" t="s">
        <v>74</v>
      </c>
      <c r="M765" t="s">
        <v>78</v>
      </c>
      <c r="N765" t="s">
        <v>112</v>
      </c>
      <c r="O765" t="s">
        <v>74</v>
      </c>
      <c r="P765" t="s">
        <v>74</v>
      </c>
      <c r="Q765" t="s">
        <v>74</v>
      </c>
      <c r="R765" t="s">
        <v>74</v>
      </c>
      <c r="S765" t="s">
        <v>74</v>
      </c>
      <c r="T765" t="s">
        <v>14895</v>
      </c>
      <c r="U765" t="s">
        <v>14896</v>
      </c>
      <c r="V765" t="s">
        <v>14897</v>
      </c>
      <c r="W765" t="s">
        <v>14898</v>
      </c>
      <c r="X765" t="s">
        <v>14899</v>
      </c>
      <c r="Y765" t="s">
        <v>14900</v>
      </c>
      <c r="Z765" t="s">
        <v>14901</v>
      </c>
      <c r="AA765" t="s">
        <v>14902</v>
      </c>
      <c r="AB765" t="s">
        <v>14903</v>
      </c>
      <c r="AC765" t="s">
        <v>14904</v>
      </c>
      <c r="AD765" t="s">
        <v>14905</v>
      </c>
      <c r="AE765" t="s">
        <v>14906</v>
      </c>
      <c r="AF765" t="s">
        <v>74</v>
      </c>
      <c r="AG765">
        <v>125</v>
      </c>
      <c r="AH765">
        <v>0</v>
      </c>
      <c r="AI765">
        <v>0</v>
      </c>
      <c r="AJ765">
        <v>4</v>
      </c>
      <c r="AK765">
        <v>4</v>
      </c>
      <c r="AL765" t="s">
        <v>305</v>
      </c>
      <c r="AM765" t="s">
        <v>306</v>
      </c>
      <c r="AN765" t="s">
        <v>307</v>
      </c>
      <c r="AO765" t="s">
        <v>4769</v>
      </c>
      <c r="AP765" t="s">
        <v>4770</v>
      </c>
      <c r="AQ765" t="s">
        <v>74</v>
      </c>
      <c r="AR765" t="s">
        <v>4771</v>
      </c>
      <c r="AS765" t="s">
        <v>4772</v>
      </c>
      <c r="AT765" t="s">
        <v>8210</v>
      </c>
      <c r="AU765">
        <v>2023</v>
      </c>
      <c r="AV765">
        <v>128</v>
      </c>
      <c r="AW765">
        <v>2</v>
      </c>
      <c r="AX765" t="s">
        <v>74</v>
      </c>
      <c r="AY765" t="s">
        <v>74</v>
      </c>
      <c r="AZ765" t="s">
        <v>74</v>
      </c>
      <c r="BA765" t="s">
        <v>74</v>
      </c>
      <c r="BB765" t="s">
        <v>74</v>
      </c>
      <c r="BC765" t="s">
        <v>74</v>
      </c>
      <c r="BD765" t="s">
        <v>14907</v>
      </c>
      <c r="BE765" t="s">
        <v>14908</v>
      </c>
      <c r="BF765" t="str">
        <f>HYPERLINK("http://dx.doi.org/10.1029/2022JC019148","http://dx.doi.org/10.1029/2022JC019148")</f>
        <v>http://dx.doi.org/10.1029/2022JC019148</v>
      </c>
      <c r="BG765" t="s">
        <v>74</v>
      </c>
      <c r="BH765" t="s">
        <v>74</v>
      </c>
      <c r="BI765">
        <v>20</v>
      </c>
      <c r="BJ765" t="s">
        <v>863</v>
      </c>
      <c r="BK765" t="s">
        <v>103</v>
      </c>
      <c r="BL765" t="s">
        <v>863</v>
      </c>
      <c r="BM765" t="s">
        <v>14909</v>
      </c>
      <c r="BN765" t="s">
        <v>74</v>
      </c>
      <c r="BO765" t="s">
        <v>387</v>
      </c>
      <c r="BP765" t="s">
        <v>74</v>
      </c>
      <c r="BQ765" t="s">
        <v>74</v>
      </c>
      <c r="BR765" t="s">
        <v>106</v>
      </c>
      <c r="BS765" t="s">
        <v>14910</v>
      </c>
      <c r="BT765" t="str">
        <f>HYPERLINK("https%3A%2F%2Fwww.webofscience.com%2Fwos%2Fwoscc%2Ffull-record%2FWOS:000949113600001","View Full Record in Web of Science")</f>
        <v>View Full Record in Web of Science</v>
      </c>
    </row>
    <row r="766" spans="1:72" x14ac:dyDescent="0.15">
      <c r="A766" t="s">
        <v>72</v>
      </c>
      <c r="B766" t="s">
        <v>14911</v>
      </c>
      <c r="C766" t="s">
        <v>74</v>
      </c>
      <c r="D766" t="s">
        <v>74</v>
      </c>
      <c r="E766" t="s">
        <v>74</v>
      </c>
      <c r="F766" t="s">
        <v>14912</v>
      </c>
      <c r="G766" t="s">
        <v>74</v>
      </c>
      <c r="H766" t="s">
        <v>74</v>
      </c>
      <c r="I766" t="s">
        <v>14913</v>
      </c>
      <c r="J766" t="s">
        <v>5048</v>
      </c>
      <c r="K766" t="s">
        <v>74</v>
      </c>
      <c r="L766" t="s">
        <v>74</v>
      </c>
      <c r="M766" t="s">
        <v>78</v>
      </c>
      <c r="N766" t="s">
        <v>112</v>
      </c>
      <c r="O766" t="s">
        <v>74</v>
      </c>
      <c r="P766" t="s">
        <v>74</v>
      </c>
      <c r="Q766" t="s">
        <v>74</v>
      </c>
      <c r="R766" t="s">
        <v>74</v>
      </c>
      <c r="S766" t="s">
        <v>74</v>
      </c>
      <c r="T766" t="s">
        <v>14914</v>
      </c>
      <c r="U766" t="s">
        <v>14915</v>
      </c>
      <c r="V766" t="s">
        <v>14916</v>
      </c>
      <c r="W766" t="s">
        <v>14917</v>
      </c>
      <c r="X766" t="s">
        <v>14918</v>
      </c>
      <c r="Y766" t="s">
        <v>14919</v>
      </c>
      <c r="Z766" t="s">
        <v>14920</v>
      </c>
      <c r="AA766" t="s">
        <v>14921</v>
      </c>
      <c r="AB766" t="s">
        <v>14922</v>
      </c>
      <c r="AC766" t="s">
        <v>14923</v>
      </c>
      <c r="AD766" t="s">
        <v>14924</v>
      </c>
      <c r="AE766" t="s">
        <v>14925</v>
      </c>
      <c r="AF766" t="s">
        <v>74</v>
      </c>
      <c r="AG766">
        <v>118</v>
      </c>
      <c r="AH766">
        <v>8</v>
      </c>
      <c r="AI766">
        <v>8</v>
      </c>
      <c r="AJ766">
        <v>6</v>
      </c>
      <c r="AK766">
        <v>7</v>
      </c>
      <c r="AL766" t="s">
        <v>2092</v>
      </c>
      <c r="AM766" t="s">
        <v>2093</v>
      </c>
      <c r="AN766" t="s">
        <v>2094</v>
      </c>
      <c r="AO766" t="s">
        <v>5060</v>
      </c>
      <c r="AP766" t="s">
        <v>74</v>
      </c>
      <c r="AQ766" t="s">
        <v>74</v>
      </c>
      <c r="AR766" t="s">
        <v>5061</v>
      </c>
      <c r="AS766" t="s">
        <v>5062</v>
      </c>
      <c r="AT766" t="s">
        <v>8210</v>
      </c>
      <c r="AU766">
        <v>2023</v>
      </c>
      <c r="AV766">
        <v>13</v>
      </c>
      <c r="AW766">
        <v>2</v>
      </c>
      <c r="AX766" t="s">
        <v>74</v>
      </c>
      <c r="AY766" t="s">
        <v>74</v>
      </c>
      <c r="AZ766" t="s">
        <v>74</v>
      </c>
      <c r="BA766" t="s">
        <v>74</v>
      </c>
      <c r="BB766" t="s">
        <v>74</v>
      </c>
      <c r="BC766" t="s">
        <v>74</v>
      </c>
      <c r="BD766" t="s">
        <v>14926</v>
      </c>
      <c r="BE766" t="s">
        <v>14927</v>
      </c>
      <c r="BF766" t="str">
        <f>HYPERLINK("http://dx.doi.org/10.1002/ece3.9837","http://dx.doi.org/10.1002/ece3.9837")</f>
        <v>http://dx.doi.org/10.1002/ece3.9837</v>
      </c>
      <c r="BG766" t="s">
        <v>74</v>
      </c>
      <c r="BH766" t="s">
        <v>74</v>
      </c>
      <c r="BI766">
        <v>22</v>
      </c>
      <c r="BJ766" t="s">
        <v>5065</v>
      </c>
      <c r="BK766" t="s">
        <v>103</v>
      </c>
      <c r="BL766" t="s">
        <v>5066</v>
      </c>
      <c r="BM766" t="s">
        <v>14928</v>
      </c>
      <c r="BN766">
        <v>36844667</v>
      </c>
      <c r="BO766" t="s">
        <v>9287</v>
      </c>
      <c r="BP766" t="s">
        <v>74</v>
      </c>
      <c r="BQ766" t="s">
        <v>74</v>
      </c>
      <c r="BR766" t="s">
        <v>106</v>
      </c>
      <c r="BS766" t="s">
        <v>14929</v>
      </c>
      <c r="BT766" t="str">
        <f>HYPERLINK("https%3A%2F%2Fwww.webofscience.com%2Fwos%2Fwoscc%2Ffull-record%2FWOS:000976129300046","View Full Record in Web of Science")</f>
        <v>View Full Record in Web of Science</v>
      </c>
    </row>
    <row r="767" spans="1:72" x14ac:dyDescent="0.15">
      <c r="A767" t="s">
        <v>72</v>
      </c>
      <c r="B767" t="s">
        <v>14930</v>
      </c>
      <c r="C767" t="s">
        <v>74</v>
      </c>
      <c r="D767" t="s">
        <v>74</v>
      </c>
      <c r="E767" t="s">
        <v>74</v>
      </c>
      <c r="F767" t="s">
        <v>14931</v>
      </c>
      <c r="G767" t="s">
        <v>74</v>
      </c>
      <c r="H767" t="s">
        <v>74</v>
      </c>
      <c r="I767" t="s">
        <v>14932</v>
      </c>
      <c r="J767" t="s">
        <v>10023</v>
      </c>
      <c r="K767" t="s">
        <v>74</v>
      </c>
      <c r="L767" t="s">
        <v>74</v>
      </c>
      <c r="M767" t="s">
        <v>78</v>
      </c>
      <c r="N767" t="s">
        <v>112</v>
      </c>
      <c r="O767" t="s">
        <v>74</v>
      </c>
      <c r="P767" t="s">
        <v>74</v>
      </c>
      <c r="Q767" t="s">
        <v>74</v>
      </c>
      <c r="R767" t="s">
        <v>74</v>
      </c>
      <c r="S767" t="s">
        <v>74</v>
      </c>
      <c r="T767" t="s">
        <v>14933</v>
      </c>
      <c r="U767" t="s">
        <v>14934</v>
      </c>
      <c r="V767" t="s">
        <v>14935</v>
      </c>
      <c r="W767" t="s">
        <v>14936</v>
      </c>
      <c r="X767" t="s">
        <v>14937</v>
      </c>
      <c r="Y767" t="s">
        <v>14938</v>
      </c>
      <c r="Z767" t="s">
        <v>14939</v>
      </c>
      <c r="AA767" t="s">
        <v>14940</v>
      </c>
      <c r="AB767" t="s">
        <v>14941</v>
      </c>
      <c r="AC767" t="s">
        <v>14942</v>
      </c>
      <c r="AD767" t="s">
        <v>4427</v>
      </c>
      <c r="AE767" t="s">
        <v>14943</v>
      </c>
      <c r="AF767" t="s">
        <v>74</v>
      </c>
      <c r="AG767">
        <v>49</v>
      </c>
      <c r="AH767">
        <v>0</v>
      </c>
      <c r="AI767">
        <v>0</v>
      </c>
      <c r="AJ767">
        <v>1</v>
      </c>
      <c r="AK767">
        <v>2</v>
      </c>
      <c r="AL767" t="s">
        <v>305</v>
      </c>
      <c r="AM767" t="s">
        <v>306</v>
      </c>
      <c r="AN767" t="s">
        <v>307</v>
      </c>
      <c r="AO767" t="s">
        <v>10035</v>
      </c>
      <c r="AP767" t="s">
        <v>10036</v>
      </c>
      <c r="AQ767" t="s">
        <v>74</v>
      </c>
      <c r="AR767" t="s">
        <v>10037</v>
      </c>
      <c r="AS767" t="s">
        <v>10038</v>
      </c>
      <c r="AT767" t="s">
        <v>8210</v>
      </c>
      <c r="AU767">
        <v>2023</v>
      </c>
      <c r="AV767">
        <v>128</v>
      </c>
      <c r="AW767">
        <v>2</v>
      </c>
      <c r="AX767" t="s">
        <v>74</v>
      </c>
      <c r="AY767" t="s">
        <v>74</v>
      </c>
      <c r="AZ767" t="s">
        <v>74</v>
      </c>
      <c r="BA767" t="s">
        <v>74</v>
      </c>
      <c r="BB767" t="s">
        <v>74</v>
      </c>
      <c r="BC767" t="s">
        <v>74</v>
      </c>
      <c r="BD767" t="s">
        <v>14944</v>
      </c>
      <c r="BE767" t="s">
        <v>14945</v>
      </c>
      <c r="BF767" t="str">
        <f>HYPERLINK("http://dx.doi.org/10.1029/2022JF006696","http://dx.doi.org/10.1029/2022JF006696")</f>
        <v>http://dx.doi.org/10.1029/2022JF006696</v>
      </c>
      <c r="BG767" t="s">
        <v>74</v>
      </c>
      <c r="BH767" t="s">
        <v>74</v>
      </c>
      <c r="BI767">
        <v>17</v>
      </c>
      <c r="BJ767" t="s">
        <v>261</v>
      </c>
      <c r="BK767" t="s">
        <v>103</v>
      </c>
      <c r="BL767" t="s">
        <v>262</v>
      </c>
      <c r="BM767" t="s">
        <v>14946</v>
      </c>
      <c r="BN767" t="s">
        <v>74</v>
      </c>
      <c r="BO767" t="s">
        <v>334</v>
      </c>
      <c r="BP767" t="s">
        <v>74</v>
      </c>
      <c r="BQ767" t="s">
        <v>74</v>
      </c>
      <c r="BR767" t="s">
        <v>106</v>
      </c>
      <c r="BS767" t="s">
        <v>14947</v>
      </c>
      <c r="BT767" t="str">
        <f>HYPERLINK("https%3A%2F%2Fwww.webofscience.com%2Fwos%2Fwoscc%2Ffull-record%2FWOS:000936020200001","View Full Record in Web of Science")</f>
        <v>View Full Record in Web of Science</v>
      </c>
    </row>
    <row r="768" spans="1:72" x14ac:dyDescent="0.15">
      <c r="A768" t="s">
        <v>72</v>
      </c>
      <c r="B768" t="s">
        <v>14948</v>
      </c>
      <c r="C768" t="s">
        <v>74</v>
      </c>
      <c r="D768" t="s">
        <v>74</v>
      </c>
      <c r="E768" t="s">
        <v>74</v>
      </c>
      <c r="F768" t="s">
        <v>14949</v>
      </c>
      <c r="G768" t="s">
        <v>74</v>
      </c>
      <c r="H768" t="s">
        <v>74</v>
      </c>
      <c r="I768" t="s">
        <v>14950</v>
      </c>
      <c r="J768" t="s">
        <v>10023</v>
      </c>
      <c r="K768" t="s">
        <v>74</v>
      </c>
      <c r="L768" t="s">
        <v>74</v>
      </c>
      <c r="M768" t="s">
        <v>78</v>
      </c>
      <c r="N768" t="s">
        <v>112</v>
      </c>
      <c r="O768" t="s">
        <v>74</v>
      </c>
      <c r="P768" t="s">
        <v>74</v>
      </c>
      <c r="Q768" t="s">
        <v>74</v>
      </c>
      <c r="R768" t="s">
        <v>74</v>
      </c>
      <c r="S768" t="s">
        <v>74</v>
      </c>
      <c r="T768" t="s">
        <v>74</v>
      </c>
      <c r="U768" t="s">
        <v>14951</v>
      </c>
      <c r="V768" t="s">
        <v>14952</v>
      </c>
      <c r="W768" t="s">
        <v>14953</v>
      </c>
      <c r="X768" t="s">
        <v>6875</v>
      </c>
      <c r="Y768" t="s">
        <v>14954</v>
      </c>
      <c r="Z768" t="s">
        <v>14955</v>
      </c>
      <c r="AA768" t="s">
        <v>14956</v>
      </c>
      <c r="AB768" t="s">
        <v>14957</v>
      </c>
      <c r="AC768" t="s">
        <v>14958</v>
      </c>
      <c r="AD768" t="s">
        <v>14959</v>
      </c>
      <c r="AE768" t="s">
        <v>14960</v>
      </c>
      <c r="AF768" t="s">
        <v>74</v>
      </c>
      <c r="AG768">
        <v>28</v>
      </c>
      <c r="AH768">
        <v>0</v>
      </c>
      <c r="AI768">
        <v>0</v>
      </c>
      <c r="AJ768">
        <v>1</v>
      </c>
      <c r="AK768">
        <v>1</v>
      </c>
      <c r="AL768" t="s">
        <v>305</v>
      </c>
      <c r="AM768" t="s">
        <v>306</v>
      </c>
      <c r="AN768" t="s">
        <v>307</v>
      </c>
      <c r="AO768" t="s">
        <v>10035</v>
      </c>
      <c r="AP768" t="s">
        <v>10036</v>
      </c>
      <c r="AQ768" t="s">
        <v>74</v>
      </c>
      <c r="AR768" t="s">
        <v>10037</v>
      </c>
      <c r="AS768" t="s">
        <v>10038</v>
      </c>
      <c r="AT768" t="s">
        <v>8210</v>
      </c>
      <c r="AU768">
        <v>2023</v>
      </c>
      <c r="AV768">
        <v>128</v>
      </c>
      <c r="AW768">
        <v>2</v>
      </c>
      <c r="AX768" t="s">
        <v>74</v>
      </c>
      <c r="AY768" t="s">
        <v>74</v>
      </c>
      <c r="AZ768" t="s">
        <v>74</v>
      </c>
      <c r="BA768" t="s">
        <v>74</v>
      </c>
      <c r="BB768" t="s">
        <v>74</v>
      </c>
      <c r="BC768" t="s">
        <v>74</v>
      </c>
      <c r="BD768" t="s">
        <v>14961</v>
      </c>
      <c r="BE768" t="s">
        <v>14962</v>
      </c>
      <c r="BF768" t="str">
        <f>HYPERLINK("http://dx.doi.org/10.1029/2022JF006744","http://dx.doi.org/10.1029/2022JF006744")</f>
        <v>http://dx.doi.org/10.1029/2022JF006744</v>
      </c>
      <c r="BG768" t="s">
        <v>74</v>
      </c>
      <c r="BH768" t="s">
        <v>74</v>
      </c>
      <c r="BI768">
        <v>39</v>
      </c>
      <c r="BJ768" t="s">
        <v>261</v>
      </c>
      <c r="BK768" t="s">
        <v>103</v>
      </c>
      <c r="BL768" t="s">
        <v>262</v>
      </c>
      <c r="BM768" t="s">
        <v>14963</v>
      </c>
      <c r="BN768" t="s">
        <v>74</v>
      </c>
      <c r="BO768" t="s">
        <v>315</v>
      </c>
      <c r="BP768" t="s">
        <v>74</v>
      </c>
      <c r="BQ768" t="s">
        <v>74</v>
      </c>
      <c r="BR768" t="s">
        <v>106</v>
      </c>
      <c r="BS768" t="s">
        <v>14964</v>
      </c>
      <c r="BT768" t="str">
        <f>HYPERLINK("https%3A%2F%2Fwww.webofscience.com%2Fwos%2Fwoscc%2Ffull-record%2FWOS:000936267800001","View Full Record in Web of Science")</f>
        <v>View Full Record in Web of Science</v>
      </c>
    </row>
    <row r="769" spans="1:72" x14ac:dyDescent="0.15">
      <c r="A769" t="s">
        <v>72</v>
      </c>
      <c r="B769" t="s">
        <v>14965</v>
      </c>
      <c r="C769" t="s">
        <v>74</v>
      </c>
      <c r="D769" t="s">
        <v>74</v>
      </c>
      <c r="E769" t="s">
        <v>74</v>
      </c>
      <c r="F769" t="s">
        <v>14966</v>
      </c>
      <c r="G769" t="s">
        <v>74</v>
      </c>
      <c r="H769" t="s">
        <v>74</v>
      </c>
      <c r="I769" t="s">
        <v>14967</v>
      </c>
      <c r="J769" t="s">
        <v>10023</v>
      </c>
      <c r="K769" t="s">
        <v>74</v>
      </c>
      <c r="L769" t="s">
        <v>74</v>
      </c>
      <c r="M769" t="s">
        <v>78</v>
      </c>
      <c r="N769" t="s">
        <v>112</v>
      </c>
      <c r="O769" t="s">
        <v>74</v>
      </c>
      <c r="P769" t="s">
        <v>74</v>
      </c>
      <c r="Q769" t="s">
        <v>74</v>
      </c>
      <c r="R769" t="s">
        <v>74</v>
      </c>
      <c r="S769" t="s">
        <v>74</v>
      </c>
      <c r="T769" t="s">
        <v>74</v>
      </c>
      <c r="U769" t="s">
        <v>14968</v>
      </c>
      <c r="V769" t="s">
        <v>14969</v>
      </c>
      <c r="W769" t="s">
        <v>14970</v>
      </c>
      <c r="X769" t="s">
        <v>14971</v>
      </c>
      <c r="Y769" t="s">
        <v>14972</v>
      </c>
      <c r="Z769" t="s">
        <v>14973</v>
      </c>
      <c r="AA769" t="s">
        <v>14974</v>
      </c>
      <c r="AB769" t="s">
        <v>14975</v>
      </c>
      <c r="AC769" t="s">
        <v>14976</v>
      </c>
      <c r="AD769" t="s">
        <v>14977</v>
      </c>
      <c r="AE769" t="s">
        <v>14978</v>
      </c>
      <c r="AF769" t="s">
        <v>74</v>
      </c>
      <c r="AG769">
        <v>54</v>
      </c>
      <c r="AH769">
        <v>0</v>
      </c>
      <c r="AI769">
        <v>0</v>
      </c>
      <c r="AJ769">
        <v>0</v>
      </c>
      <c r="AK769">
        <v>0</v>
      </c>
      <c r="AL769" t="s">
        <v>305</v>
      </c>
      <c r="AM769" t="s">
        <v>306</v>
      </c>
      <c r="AN769" t="s">
        <v>307</v>
      </c>
      <c r="AO769" t="s">
        <v>10035</v>
      </c>
      <c r="AP769" t="s">
        <v>10036</v>
      </c>
      <c r="AQ769" t="s">
        <v>74</v>
      </c>
      <c r="AR769" t="s">
        <v>10037</v>
      </c>
      <c r="AS769" t="s">
        <v>10038</v>
      </c>
      <c r="AT769" t="s">
        <v>8210</v>
      </c>
      <c r="AU769">
        <v>2023</v>
      </c>
      <c r="AV769">
        <v>128</v>
      </c>
      <c r="AW769">
        <v>2</v>
      </c>
      <c r="AX769" t="s">
        <v>74</v>
      </c>
      <c r="AY769" t="s">
        <v>74</v>
      </c>
      <c r="AZ769" t="s">
        <v>74</v>
      </c>
      <c r="BA769" t="s">
        <v>74</v>
      </c>
      <c r="BB769" t="s">
        <v>74</v>
      </c>
      <c r="BC769" t="s">
        <v>74</v>
      </c>
      <c r="BD769" t="s">
        <v>14979</v>
      </c>
      <c r="BE769" t="s">
        <v>14980</v>
      </c>
      <c r="BF769" t="str">
        <f>HYPERLINK("http://dx.doi.org/10.1029/2022JF006789","http://dx.doi.org/10.1029/2022JF006789")</f>
        <v>http://dx.doi.org/10.1029/2022JF006789</v>
      </c>
      <c r="BG769" t="s">
        <v>74</v>
      </c>
      <c r="BH769" t="s">
        <v>74</v>
      </c>
      <c r="BI769">
        <v>26</v>
      </c>
      <c r="BJ769" t="s">
        <v>261</v>
      </c>
      <c r="BK769" t="s">
        <v>103</v>
      </c>
      <c r="BL769" t="s">
        <v>262</v>
      </c>
      <c r="BM769" t="s">
        <v>14981</v>
      </c>
      <c r="BN769" t="s">
        <v>74</v>
      </c>
      <c r="BO769" t="s">
        <v>74</v>
      </c>
      <c r="BP769" t="s">
        <v>74</v>
      </c>
      <c r="BQ769" t="s">
        <v>74</v>
      </c>
      <c r="BR769" t="s">
        <v>106</v>
      </c>
      <c r="BS769" t="s">
        <v>14982</v>
      </c>
      <c r="BT769" t="str">
        <f>HYPERLINK("https%3A%2F%2Fwww.webofscience.com%2Fwos%2Fwoscc%2Ffull-record%2FWOS:000934201500001","View Full Record in Web of Science")</f>
        <v>View Full Record in Web of Science</v>
      </c>
    </row>
    <row r="770" spans="1:72" x14ac:dyDescent="0.15">
      <c r="A770" t="s">
        <v>72</v>
      </c>
      <c r="B770" t="s">
        <v>14983</v>
      </c>
      <c r="C770" t="s">
        <v>74</v>
      </c>
      <c r="D770" t="s">
        <v>74</v>
      </c>
      <c r="E770" t="s">
        <v>74</v>
      </c>
      <c r="F770" t="s">
        <v>14984</v>
      </c>
      <c r="G770" t="s">
        <v>74</v>
      </c>
      <c r="H770" t="s">
        <v>74</v>
      </c>
      <c r="I770" t="s">
        <v>14985</v>
      </c>
      <c r="J770" t="s">
        <v>10023</v>
      </c>
      <c r="K770" t="s">
        <v>74</v>
      </c>
      <c r="L770" t="s">
        <v>74</v>
      </c>
      <c r="M770" t="s">
        <v>78</v>
      </c>
      <c r="N770" t="s">
        <v>112</v>
      </c>
      <c r="O770" t="s">
        <v>74</v>
      </c>
      <c r="P770" t="s">
        <v>74</v>
      </c>
      <c r="Q770" t="s">
        <v>74</v>
      </c>
      <c r="R770" t="s">
        <v>74</v>
      </c>
      <c r="S770" t="s">
        <v>74</v>
      </c>
      <c r="T770" t="s">
        <v>14986</v>
      </c>
      <c r="U770" t="s">
        <v>14987</v>
      </c>
      <c r="V770" t="s">
        <v>14988</v>
      </c>
      <c r="W770" t="s">
        <v>14989</v>
      </c>
      <c r="X770" t="s">
        <v>14990</v>
      </c>
      <c r="Y770" t="s">
        <v>14991</v>
      </c>
      <c r="Z770" t="s">
        <v>14992</v>
      </c>
      <c r="AA770" t="s">
        <v>14993</v>
      </c>
      <c r="AB770" t="s">
        <v>14994</v>
      </c>
      <c r="AC770" t="s">
        <v>14995</v>
      </c>
      <c r="AD770" t="s">
        <v>14996</v>
      </c>
      <c r="AE770" t="s">
        <v>14997</v>
      </c>
      <c r="AF770" t="s">
        <v>74</v>
      </c>
      <c r="AG770">
        <v>55</v>
      </c>
      <c r="AH770">
        <v>2</v>
      </c>
      <c r="AI770">
        <v>2</v>
      </c>
      <c r="AJ770">
        <v>0</v>
      </c>
      <c r="AK770">
        <v>4</v>
      </c>
      <c r="AL770" t="s">
        <v>305</v>
      </c>
      <c r="AM770" t="s">
        <v>306</v>
      </c>
      <c r="AN770" t="s">
        <v>307</v>
      </c>
      <c r="AO770" t="s">
        <v>10035</v>
      </c>
      <c r="AP770" t="s">
        <v>10036</v>
      </c>
      <c r="AQ770" t="s">
        <v>74</v>
      </c>
      <c r="AR770" t="s">
        <v>10037</v>
      </c>
      <c r="AS770" t="s">
        <v>10038</v>
      </c>
      <c r="AT770" t="s">
        <v>8210</v>
      </c>
      <c r="AU770">
        <v>2023</v>
      </c>
      <c r="AV770">
        <v>128</v>
      </c>
      <c r="AW770">
        <v>2</v>
      </c>
      <c r="AX770" t="s">
        <v>74</v>
      </c>
      <c r="AY770" t="s">
        <v>74</v>
      </c>
      <c r="AZ770" t="s">
        <v>74</v>
      </c>
      <c r="BA770" t="s">
        <v>74</v>
      </c>
      <c r="BB770" t="s">
        <v>74</v>
      </c>
      <c r="BC770" t="s">
        <v>74</v>
      </c>
      <c r="BD770" t="s">
        <v>14998</v>
      </c>
      <c r="BE770" t="s">
        <v>14999</v>
      </c>
      <c r="BF770" t="str">
        <f>HYPERLINK("http://dx.doi.org/10.1029/2022JF006767","http://dx.doi.org/10.1029/2022JF006767")</f>
        <v>http://dx.doi.org/10.1029/2022JF006767</v>
      </c>
      <c r="BG770" t="s">
        <v>74</v>
      </c>
      <c r="BH770" t="s">
        <v>74</v>
      </c>
      <c r="BI770">
        <v>15</v>
      </c>
      <c r="BJ770" t="s">
        <v>261</v>
      </c>
      <c r="BK770" t="s">
        <v>103</v>
      </c>
      <c r="BL770" t="s">
        <v>262</v>
      </c>
      <c r="BM770" t="s">
        <v>15000</v>
      </c>
      <c r="BN770" t="s">
        <v>74</v>
      </c>
      <c r="BO770" t="s">
        <v>387</v>
      </c>
      <c r="BP770" t="s">
        <v>74</v>
      </c>
      <c r="BQ770" t="s">
        <v>74</v>
      </c>
      <c r="BR770" t="s">
        <v>106</v>
      </c>
      <c r="BS770" t="s">
        <v>15001</v>
      </c>
      <c r="BT770" t="str">
        <f>HYPERLINK("https%3A%2F%2Fwww.webofscience.com%2Fwos%2Fwoscc%2Ffull-record%2FWOS:000937031200001","View Full Record in Web of Science")</f>
        <v>View Full Record in Web of Science</v>
      </c>
    </row>
    <row r="771" spans="1:72" x14ac:dyDescent="0.15">
      <c r="A771" t="s">
        <v>72</v>
      </c>
      <c r="B771" t="s">
        <v>15002</v>
      </c>
      <c r="C771" t="s">
        <v>74</v>
      </c>
      <c r="D771" t="s">
        <v>74</v>
      </c>
      <c r="E771" t="s">
        <v>74</v>
      </c>
      <c r="F771" t="s">
        <v>15003</v>
      </c>
      <c r="G771" t="s">
        <v>74</v>
      </c>
      <c r="H771" t="s">
        <v>74</v>
      </c>
      <c r="I771" t="s">
        <v>15004</v>
      </c>
      <c r="J771" t="s">
        <v>4757</v>
      </c>
      <c r="K771" t="s">
        <v>74</v>
      </c>
      <c r="L771" t="s">
        <v>74</v>
      </c>
      <c r="M771" t="s">
        <v>78</v>
      </c>
      <c r="N771" t="s">
        <v>112</v>
      </c>
      <c r="O771" t="s">
        <v>74</v>
      </c>
      <c r="P771" t="s">
        <v>74</v>
      </c>
      <c r="Q771" t="s">
        <v>74</v>
      </c>
      <c r="R771" t="s">
        <v>74</v>
      </c>
      <c r="S771" t="s">
        <v>74</v>
      </c>
      <c r="T771" t="s">
        <v>74</v>
      </c>
      <c r="U771" t="s">
        <v>15005</v>
      </c>
      <c r="V771" t="s">
        <v>15006</v>
      </c>
      <c r="W771" t="s">
        <v>15007</v>
      </c>
      <c r="X771" t="s">
        <v>15008</v>
      </c>
      <c r="Y771" t="s">
        <v>15009</v>
      </c>
      <c r="Z771" t="s">
        <v>15010</v>
      </c>
      <c r="AA771" t="s">
        <v>15011</v>
      </c>
      <c r="AB771" t="s">
        <v>15012</v>
      </c>
      <c r="AC771" t="s">
        <v>15013</v>
      </c>
      <c r="AD771" t="s">
        <v>15014</v>
      </c>
      <c r="AE771" t="s">
        <v>15015</v>
      </c>
      <c r="AF771" t="s">
        <v>74</v>
      </c>
      <c r="AG771">
        <v>98</v>
      </c>
      <c r="AH771">
        <v>1</v>
      </c>
      <c r="AI771">
        <v>1</v>
      </c>
      <c r="AJ771">
        <v>3</v>
      </c>
      <c r="AK771">
        <v>3</v>
      </c>
      <c r="AL771" t="s">
        <v>305</v>
      </c>
      <c r="AM771" t="s">
        <v>306</v>
      </c>
      <c r="AN771" t="s">
        <v>307</v>
      </c>
      <c r="AO771" t="s">
        <v>4769</v>
      </c>
      <c r="AP771" t="s">
        <v>4770</v>
      </c>
      <c r="AQ771" t="s">
        <v>74</v>
      </c>
      <c r="AR771" t="s">
        <v>4771</v>
      </c>
      <c r="AS771" t="s">
        <v>4772</v>
      </c>
      <c r="AT771" t="s">
        <v>8210</v>
      </c>
      <c r="AU771">
        <v>2023</v>
      </c>
      <c r="AV771">
        <v>128</v>
      </c>
      <c r="AW771">
        <v>2</v>
      </c>
      <c r="AX771" t="s">
        <v>74</v>
      </c>
      <c r="AY771" t="s">
        <v>74</v>
      </c>
      <c r="AZ771" t="s">
        <v>74</v>
      </c>
      <c r="BA771" t="s">
        <v>74</v>
      </c>
      <c r="BB771" t="s">
        <v>74</v>
      </c>
      <c r="BC771" t="s">
        <v>74</v>
      </c>
      <c r="BD771" t="s">
        <v>15016</v>
      </c>
      <c r="BE771" t="s">
        <v>15017</v>
      </c>
      <c r="BF771" t="str">
        <f>HYPERLINK("http://dx.doi.org/10.1029/2022JC019210","http://dx.doi.org/10.1029/2022JC019210")</f>
        <v>http://dx.doi.org/10.1029/2022JC019210</v>
      </c>
      <c r="BG771" t="s">
        <v>74</v>
      </c>
      <c r="BH771" t="s">
        <v>74</v>
      </c>
      <c r="BI771">
        <v>18</v>
      </c>
      <c r="BJ771" t="s">
        <v>863</v>
      </c>
      <c r="BK771" t="s">
        <v>103</v>
      </c>
      <c r="BL771" t="s">
        <v>863</v>
      </c>
      <c r="BM771" t="s">
        <v>15018</v>
      </c>
      <c r="BN771" t="s">
        <v>74</v>
      </c>
      <c r="BO771" t="s">
        <v>430</v>
      </c>
      <c r="BP771" t="s">
        <v>74</v>
      </c>
      <c r="BQ771" t="s">
        <v>74</v>
      </c>
      <c r="BR771" t="s">
        <v>106</v>
      </c>
      <c r="BS771" t="s">
        <v>15019</v>
      </c>
      <c r="BT771" t="str">
        <f>HYPERLINK("https%3A%2F%2Fwww.webofscience.com%2Fwos%2Fwoscc%2Ffull-record%2FWOS:000936182700001","View Full Record in Web of Science")</f>
        <v>View Full Record in Web of Science</v>
      </c>
    </row>
    <row r="772" spans="1:72" x14ac:dyDescent="0.15">
      <c r="A772" t="s">
        <v>72</v>
      </c>
      <c r="B772" t="s">
        <v>15020</v>
      </c>
      <c r="C772" t="s">
        <v>74</v>
      </c>
      <c r="D772" t="s">
        <v>74</v>
      </c>
      <c r="E772" t="s">
        <v>74</v>
      </c>
      <c r="F772" t="s">
        <v>15021</v>
      </c>
      <c r="G772" t="s">
        <v>74</v>
      </c>
      <c r="H772" t="s">
        <v>74</v>
      </c>
      <c r="I772" t="s">
        <v>15022</v>
      </c>
      <c r="J772" t="s">
        <v>4757</v>
      </c>
      <c r="K772" t="s">
        <v>74</v>
      </c>
      <c r="L772" t="s">
        <v>74</v>
      </c>
      <c r="M772" t="s">
        <v>78</v>
      </c>
      <c r="N772" t="s">
        <v>112</v>
      </c>
      <c r="O772" t="s">
        <v>74</v>
      </c>
      <c r="P772" t="s">
        <v>74</v>
      </c>
      <c r="Q772" t="s">
        <v>74</v>
      </c>
      <c r="R772" t="s">
        <v>74</v>
      </c>
      <c r="S772" t="s">
        <v>74</v>
      </c>
      <c r="T772" t="s">
        <v>15023</v>
      </c>
      <c r="U772" t="s">
        <v>15024</v>
      </c>
      <c r="V772" t="s">
        <v>15025</v>
      </c>
      <c r="W772" t="s">
        <v>15026</v>
      </c>
      <c r="X772" t="s">
        <v>15027</v>
      </c>
      <c r="Y772" t="s">
        <v>15028</v>
      </c>
      <c r="Z772" t="s">
        <v>8136</v>
      </c>
      <c r="AA772" t="s">
        <v>15029</v>
      </c>
      <c r="AB772" t="s">
        <v>15030</v>
      </c>
      <c r="AC772" t="s">
        <v>15031</v>
      </c>
      <c r="AD772" t="s">
        <v>15032</v>
      </c>
      <c r="AE772" t="s">
        <v>15033</v>
      </c>
      <c r="AF772" t="s">
        <v>74</v>
      </c>
      <c r="AG772">
        <v>74</v>
      </c>
      <c r="AH772">
        <v>4</v>
      </c>
      <c r="AI772">
        <v>4</v>
      </c>
      <c r="AJ772">
        <v>1</v>
      </c>
      <c r="AK772">
        <v>4</v>
      </c>
      <c r="AL772" t="s">
        <v>305</v>
      </c>
      <c r="AM772" t="s">
        <v>306</v>
      </c>
      <c r="AN772" t="s">
        <v>307</v>
      </c>
      <c r="AO772" t="s">
        <v>4769</v>
      </c>
      <c r="AP772" t="s">
        <v>4770</v>
      </c>
      <c r="AQ772" t="s">
        <v>74</v>
      </c>
      <c r="AR772" t="s">
        <v>4771</v>
      </c>
      <c r="AS772" t="s">
        <v>4772</v>
      </c>
      <c r="AT772" t="s">
        <v>8210</v>
      </c>
      <c r="AU772">
        <v>2023</v>
      </c>
      <c r="AV772">
        <v>128</v>
      </c>
      <c r="AW772">
        <v>2</v>
      </c>
      <c r="AX772" t="s">
        <v>74</v>
      </c>
      <c r="AY772" t="s">
        <v>74</v>
      </c>
      <c r="AZ772" t="s">
        <v>74</v>
      </c>
      <c r="BA772" t="s">
        <v>74</v>
      </c>
      <c r="BB772" t="s">
        <v>74</v>
      </c>
      <c r="BC772" t="s">
        <v>74</v>
      </c>
      <c r="BD772" t="s">
        <v>15034</v>
      </c>
      <c r="BE772" t="s">
        <v>15035</v>
      </c>
      <c r="BF772" t="str">
        <f>HYPERLINK("http://dx.doi.org/10.1029/2022JC019434","http://dx.doi.org/10.1029/2022JC019434")</f>
        <v>http://dx.doi.org/10.1029/2022JC019434</v>
      </c>
      <c r="BG772" t="s">
        <v>74</v>
      </c>
      <c r="BH772" t="s">
        <v>74</v>
      </c>
      <c r="BI772">
        <v>20</v>
      </c>
      <c r="BJ772" t="s">
        <v>863</v>
      </c>
      <c r="BK772" t="s">
        <v>103</v>
      </c>
      <c r="BL772" t="s">
        <v>863</v>
      </c>
      <c r="BM772" t="s">
        <v>15036</v>
      </c>
      <c r="BN772" t="s">
        <v>74</v>
      </c>
      <c r="BO772" t="s">
        <v>74</v>
      </c>
      <c r="BP772" t="s">
        <v>74</v>
      </c>
      <c r="BQ772" t="s">
        <v>74</v>
      </c>
      <c r="BR772" t="s">
        <v>106</v>
      </c>
      <c r="BS772" t="s">
        <v>15037</v>
      </c>
      <c r="BT772" t="str">
        <f>HYPERLINK("https%3A%2F%2Fwww.webofscience.com%2Fwos%2Fwoscc%2Ffull-record%2FWOS:001016933100022","View Full Record in Web of Science")</f>
        <v>View Full Record in Web of Science</v>
      </c>
    </row>
    <row r="773" spans="1:72" x14ac:dyDescent="0.15">
      <c r="A773" t="s">
        <v>72</v>
      </c>
      <c r="B773" t="s">
        <v>15038</v>
      </c>
      <c r="C773" t="s">
        <v>74</v>
      </c>
      <c r="D773" t="s">
        <v>74</v>
      </c>
      <c r="E773" t="s">
        <v>74</v>
      </c>
      <c r="F773" t="s">
        <v>15039</v>
      </c>
      <c r="G773" t="s">
        <v>74</v>
      </c>
      <c r="H773" t="s">
        <v>74</v>
      </c>
      <c r="I773" t="s">
        <v>15040</v>
      </c>
      <c r="J773" t="s">
        <v>10140</v>
      </c>
      <c r="K773" t="s">
        <v>74</v>
      </c>
      <c r="L773" t="s">
        <v>74</v>
      </c>
      <c r="M773" t="s">
        <v>78</v>
      </c>
      <c r="N773" t="s">
        <v>112</v>
      </c>
      <c r="O773" t="s">
        <v>74</v>
      </c>
      <c r="P773" t="s">
        <v>74</v>
      </c>
      <c r="Q773" t="s">
        <v>74</v>
      </c>
      <c r="R773" t="s">
        <v>74</v>
      </c>
      <c r="S773" t="s">
        <v>74</v>
      </c>
      <c r="T773" t="s">
        <v>15041</v>
      </c>
      <c r="U773" t="s">
        <v>15042</v>
      </c>
      <c r="V773" t="s">
        <v>15043</v>
      </c>
      <c r="W773" t="s">
        <v>15044</v>
      </c>
      <c r="X773" t="s">
        <v>15045</v>
      </c>
      <c r="Y773" t="s">
        <v>15046</v>
      </c>
      <c r="Z773" t="s">
        <v>15047</v>
      </c>
      <c r="AA773" t="s">
        <v>15048</v>
      </c>
      <c r="AB773" t="s">
        <v>15049</v>
      </c>
      <c r="AC773" t="s">
        <v>15050</v>
      </c>
      <c r="AD773" t="s">
        <v>15051</v>
      </c>
      <c r="AE773" t="s">
        <v>15052</v>
      </c>
      <c r="AF773" t="s">
        <v>74</v>
      </c>
      <c r="AG773">
        <v>91</v>
      </c>
      <c r="AH773">
        <v>0</v>
      </c>
      <c r="AI773">
        <v>0</v>
      </c>
      <c r="AJ773">
        <v>4</v>
      </c>
      <c r="AK773">
        <v>6</v>
      </c>
      <c r="AL773" t="s">
        <v>305</v>
      </c>
      <c r="AM773" t="s">
        <v>306</v>
      </c>
      <c r="AN773" t="s">
        <v>307</v>
      </c>
      <c r="AO773" t="s">
        <v>10153</v>
      </c>
      <c r="AP773" t="s">
        <v>10154</v>
      </c>
      <c r="AQ773" t="s">
        <v>74</v>
      </c>
      <c r="AR773" t="s">
        <v>10155</v>
      </c>
      <c r="AS773" t="s">
        <v>10156</v>
      </c>
      <c r="AT773" t="s">
        <v>8210</v>
      </c>
      <c r="AU773">
        <v>2023</v>
      </c>
      <c r="AV773">
        <v>37</v>
      </c>
      <c r="AW773">
        <v>2</v>
      </c>
      <c r="AX773" t="s">
        <v>74</v>
      </c>
      <c r="AY773" t="s">
        <v>74</v>
      </c>
      <c r="AZ773" t="s">
        <v>74</v>
      </c>
      <c r="BA773" t="s">
        <v>74</v>
      </c>
      <c r="BB773" t="s">
        <v>74</v>
      </c>
      <c r="BC773" t="s">
        <v>74</v>
      </c>
      <c r="BD773" t="s">
        <v>15053</v>
      </c>
      <c r="BE773" t="s">
        <v>15054</v>
      </c>
      <c r="BF773" t="str">
        <f>HYPERLINK("http://dx.doi.org/10.1029/2022GB007442","http://dx.doi.org/10.1029/2022GB007442")</f>
        <v>http://dx.doi.org/10.1029/2022GB007442</v>
      </c>
      <c r="BG773" t="s">
        <v>74</v>
      </c>
      <c r="BH773" t="s">
        <v>74</v>
      </c>
      <c r="BI773">
        <v>25</v>
      </c>
      <c r="BJ773" t="s">
        <v>2474</v>
      </c>
      <c r="BK773" t="s">
        <v>103</v>
      </c>
      <c r="BL773" t="s">
        <v>2475</v>
      </c>
      <c r="BM773" t="s">
        <v>15055</v>
      </c>
      <c r="BN773" t="s">
        <v>74</v>
      </c>
      <c r="BO773" t="s">
        <v>1748</v>
      </c>
      <c r="BP773" t="s">
        <v>74</v>
      </c>
      <c r="BQ773" t="s">
        <v>74</v>
      </c>
      <c r="BR773" t="s">
        <v>106</v>
      </c>
      <c r="BS773" t="s">
        <v>15056</v>
      </c>
      <c r="BT773" t="str">
        <f>HYPERLINK("https%3A%2F%2Fwww.webofscience.com%2Fwos%2Fwoscc%2Ffull-record%2FWOS:001000100300011","View Full Record in Web of Science")</f>
        <v>View Full Record in Web of Science</v>
      </c>
    </row>
    <row r="774" spans="1:72" x14ac:dyDescent="0.15">
      <c r="A774" t="s">
        <v>72</v>
      </c>
      <c r="B774" t="s">
        <v>15057</v>
      </c>
      <c r="C774" t="s">
        <v>74</v>
      </c>
      <c r="D774" t="s">
        <v>74</v>
      </c>
      <c r="E774" t="s">
        <v>74</v>
      </c>
      <c r="F774" t="s">
        <v>15058</v>
      </c>
      <c r="G774" t="s">
        <v>74</v>
      </c>
      <c r="H774" t="s">
        <v>74</v>
      </c>
      <c r="I774" t="s">
        <v>15059</v>
      </c>
      <c r="J774" t="s">
        <v>15060</v>
      </c>
      <c r="K774" t="s">
        <v>74</v>
      </c>
      <c r="L774" t="s">
        <v>74</v>
      </c>
      <c r="M774" t="s">
        <v>78</v>
      </c>
      <c r="N774" t="s">
        <v>112</v>
      </c>
      <c r="O774" t="s">
        <v>74</v>
      </c>
      <c r="P774" t="s">
        <v>74</v>
      </c>
      <c r="Q774" t="s">
        <v>74</v>
      </c>
      <c r="R774" t="s">
        <v>74</v>
      </c>
      <c r="S774" t="s">
        <v>74</v>
      </c>
      <c r="T774" t="s">
        <v>15061</v>
      </c>
      <c r="U774" t="s">
        <v>15062</v>
      </c>
      <c r="V774" t="s">
        <v>15063</v>
      </c>
      <c r="W774" t="s">
        <v>15064</v>
      </c>
      <c r="X774" t="s">
        <v>172</v>
      </c>
      <c r="Y774" t="s">
        <v>15065</v>
      </c>
      <c r="Z774" t="s">
        <v>15066</v>
      </c>
      <c r="AA774" t="s">
        <v>74</v>
      </c>
      <c r="AB774" t="s">
        <v>74</v>
      </c>
      <c r="AC774" t="s">
        <v>74</v>
      </c>
      <c r="AD774" t="s">
        <v>74</v>
      </c>
      <c r="AE774" t="s">
        <v>74</v>
      </c>
      <c r="AF774" t="s">
        <v>74</v>
      </c>
      <c r="AG774">
        <v>50</v>
      </c>
      <c r="AH774">
        <v>0</v>
      </c>
      <c r="AI774">
        <v>0</v>
      </c>
      <c r="AJ774">
        <v>4</v>
      </c>
      <c r="AK774">
        <v>7</v>
      </c>
      <c r="AL774" t="s">
        <v>15067</v>
      </c>
      <c r="AM774" t="s">
        <v>15068</v>
      </c>
      <c r="AN774" t="s">
        <v>15069</v>
      </c>
      <c r="AO774" t="s">
        <v>15070</v>
      </c>
      <c r="AP774" t="s">
        <v>15071</v>
      </c>
      <c r="AQ774" t="s">
        <v>74</v>
      </c>
      <c r="AR774" t="s">
        <v>15072</v>
      </c>
      <c r="AS774" t="s">
        <v>15073</v>
      </c>
      <c r="AT774" t="s">
        <v>8210</v>
      </c>
      <c r="AU774">
        <v>2023</v>
      </c>
      <c r="AV774">
        <v>78</v>
      </c>
      <c r="AW774">
        <v>1</v>
      </c>
      <c r="AX774" t="s">
        <v>74</v>
      </c>
      <c r="AY774" t="s">
        <v>74</v>
      </c>
      <c r="AZ774" t="s">
        <v>74</v>
      </c>
      <c r="BA774" t="s">
        <v>74</v>
      </c>
      <c r="BB774">
        <v>110</v>
      </c>
      <c r="BC774">
        <v>123</v>
      </c>
      <c r="BD774" t="s">
        <v>74</v>
      </c>
      <c r="BE774" t="s">
        <v>15074</v>
      </c>
      <c r="BF774" t="str">
        <f>HYPERLINK("http://dx.doi.org/10.3103/S0145875223010076","http://dx.doi.org/10.3103/S0145875223010076")</f>
        <v>http://dx.doi.org/10.3103/S0145875223010076</v>
      </c>
      <c r="BG774" t="s">
        <v>74</v>
      </c>
      <c r="BH774" t="s">
        <v>74</v>
      </c>
      <c r="BI774">
        <v>14</v>
      </c>
      <c r="BJ774" t="s">
        <v>262</v>
      </c>
      <c r="BK774" t="s">
        <v>160</v>
      </c>
      <c r="BL774" t="s">
        <v>262</v>
      </c>
      <c r="BM774" t="s">
        <v>15075</v>
      </c>
      <c r="BN774" t="s">
        <v>74</v>
      </c>
      <c r="BO774" t="s">
        <v>74</v>
      </c>
      <c r="BP774" t="s">
        <v>74</v>
      </c>
      <c r="BQ774" t="s">
        <v>74</v>
      </c>
      <c r="BR774" t="s">
        <v>106</v>
      </c>
      <c r="BS774" t="s">
        <v>15076</v>
      </c>
      <c r="BT774" t="str">
        <f>HYPERLINK("https%3A%2F%2Fwww.webofscience.com%2Fwos%2Fwoscc%2Ffull-record%2FWOS:001006278700011","View Full Record in Web of Science")</f>
        <v>View Full Record in Web of Science</v>
      </c>
    </row>
    <row r="775" spans="1:72" x14ac:dyDescent="0.15">
      <c r="A775" t="s">
        <v>72</v>
      </c>
      <c r="B775" t="s">
        <v>15077</v>
      </c>
      <c r="C775" t="s">
        <v>74</v>
      </c>
      <c r="D775" t="s">
        <v>74</v>
      </c>
      <c r="E775" t="s">
        <v>74</v>
      </c>
      <c r="F775" t="s">
        <v>15078</v>
      </c>
      <c r="G775" t="s">
        <v>74</v>
      </c>
      <c r="H775" t="s">
        <v>74</v>
      </c>
      <c r="I775" t="s">
        <v>15079</v>
      </c>
      <c r="J775" t="s">
        <v>4821</v>
      </c>
      <c r="K775" t="s">
        <v>74</v>
      </c>
      <c r="L775" t="s">
        <v>74</v>
      </c>
      <c r="M775" t="s">
        <v>78</v>
      </c>
      <c r="N775" t="s">
        <v>112</v>
      </c>
      <c r="O775" t="s">
        <v>74</v>
      </c>
      <c r="P775" t="s">
        <v>74</v>
      </c>
      <c r="Q775" t="s">
        <v>74</v>
      </c>
      <c r="R775" t="s">
        <v>74</v>
      </c>
      <c r="S775" t="s">
        <v>74</v>
      </c>
      <c r="T775" t="s">
        <v>15080</v>
      </c>
      <c r="U775" t="s">
        <v>15081</v>
      </c>
      <c r="V775" t="s">
        <v>15082</v>
      </c>
      <c r="W775" t="s">
        <v>15083</v>
      </c>
      <c r="X775" t="s">
        <v>15084</v>
      </c>
      <c r="Y775" t="s">
        <v>15085</v>
      </c>
      <c r="Z775" t="s">
        <v>15086</v>
      </c>
      <c r="AA775" t="s">
        <v>15087</v>
      </c>
      <c r="AB775" t="s">
        <v>15088</v>
      </c>
      <c r="AC775" t="s">
        <v>15089</v>
      </c>
      <c r="AD775" t="s">
        <v>15089</v>
      </c>
      <c r="AE775" t="s">
        <v>15090</v>
      </c>
      <c r="AF775" t="s">
        <v>74</v>
      </c>
      <c r="AG775">
        <v>123</v>
      </c>
      <c r="AH775">
        <v>2</v>
      </c>
      <c r="AI775">
        <v>2</v>
      </c>
      <c r="AJ775">
        <v>6</v>
      </c>
      <c r="AK775">
        <v>9</v>
      </c>
      <c r="AL775" t="s">
        <v>305</v>
      </c>
      <c r="AM775" t="s">
        <v>306</v>
      </c>
      <c r="AN775" t="s">
        <v>307</v>
      </c>
      <c r="AO775" t="s">
        <v>4834</v>
      </c>
      <c r="AP775" t="s">
        <v>4835</v>
      </c>
      <c r="AQ775" t="s">
        <v>74</v>
      </c>
      <c r="AR775" t="s">
        <v>4836</v>
      </c>
      <c r="AS775" t="s">
        <v>4837</v>
      </c>
      <c r="AT775" t="s">
        <v>8210</v>
      </c>
      <c r="AU775">
        <v>2023</v>
      </c>
      <c r="AV775">
        <v>38</v>
      </c>
      <c r="AW775">
        <v>2</v>
      </c>
      <c r="AX775" t="s">
        <v>74</v>
      </c>
      <c r="AY775" t="s">
        <v>74</v>
      </c>
      <c r="AZ775" t="s">
        <v>74</v>
      </c>
      <c r="BA775" t="s">
        <v>74</v>
      </c>
      <c r="BB775" t="s">
        <v>74</v>
      </c>
      <c r="BC775" t="s">
        <v>74</v>
      </c>
      <c r="BD775" t="s">
        <v>15091</v>
      </c>
      <c r="BE775" t="s">
        <v>15092</v>
      </c>
      <c r="BF775" t="str">
        <f>HYPERLINK("http://dx.doi.org/10.1029/2022PA004438","http://dx.doi.org/10.1029/2022PA004438")</f>
        <v>http://dx.doi.org/10.1029/2022PA004438</v>
      </c>
      <c r="BG775" t="s">
        <v>74</v>
      </c>
      <c r="BH775" t="s">
        <v>74</v>
      </c>
      <c r="BI775">
        <v>20</v>
      </c>
      <c r="BJ775" t="s">
        <v>4840</v>
      </c>
      <c r="BK775" t="s">
        <v>103</v>
      </c>
      <c r="BL775" t="s">
        <v>4841</v>
      </c>
      <c r="BM775" t="s">
        <v>15093</v>
      </c>
      <c r="BN775" t="s">
        <v>74</v>
      </c>
      <c r="BO775" t="s">
        <v>1748</v>
      </c>
      <c r="BP775" t="s">
        <v>74</v>
      </c>
      <c r="BQ775" t="s">
        <v>74</v>
      </c>
      <c r="BR775" t="s">
        <v>106</v>
      </c>
      <c r="BS775" t="s">
        <v>15094</v>
      </c>
      <c r="BT775" t="str">
        <f>HYPERLINK("https%3A%2F%2Fwww.webofscience.com%2Fwos%2Fwoscc%2Ffull-record%2FWOS:001000274100011","View Full Record in Web of Science")</f>
        <v>View Full Record in Web of Science</v>
      </c>
    </row>
    <row r="776" spans="1:72" x14ac:dyDescent="0.15">
      <c r="A776" t="s">
        <v>72</v>
      </c>
      <c r="B776" t="s">
        <v>15095</v>
      </c>
      <c r="C776" t="s">
        <v>74</v>
      </c>
      <c r="D776" t="s">
        <v>74</v>
      </c>
      <c r="E776" t="s">
        <v>74</v>
      </c>
      <c r="F776" t="s">
        <v>15096</v>
      </c>
      <c r="G776" t="s">
        <v>74</v>
      </c>
      <c r="H776" t="s">
        <v>74</v>
      </c>
      <c r="I776" t="s">
        <v>15097</v>
      </c>
      <c r="J776" t="s">
        <v>4821</v>
      </c>
      <c r="K776" t="s">
        <v>74</v>
      </c>
      <c r="L776" t="s">
        <v>74</v>
      </c>
      <c r="M776" t="s">
        <v>78</v>
      </c>
      <c r="N776" t="s">
        <v>112</v>
      </c>
      <c r="O776" t="s">
        <v>74</v>
      </c>
      <c r="P776" t="s">
        <v>74</v>
      </c>
      <c r="Q776" t="s">
        <v>74</v>
      </c>
      <c r="R776" t="s">
        <v>74</v>
      </c>
      <c r="S776" t="s">
        <v>74</v>
      </c>
      <c r="T776" t="s">
        <v>15098</v>
      </c>
      <c r="U776" t="s">
        <v>15099</v>
      </c>
      <c r="V776" t="s">
        <v>15100</v>
      </c>
      <c r="W776" t="s">
        <v>15101</v>
      </c>
      <c r="X776" t="s">
        <v>15102</v>
      </c>
      <c r="Y776" t="s">
        <v>15103</v>
      </c>
      <c r="Z776" t="s">
        <v>15104</v>
      </c>
      <c r="AA776" t="s">
        <v>15105</v>
      </c>
      <c r="AB776" t="s">
        <v>15106</v>
      </c>
      <c r="AC776" t="s">
        <v>15107</v>
      </c>
      <c r="AD776" t="s">
        <v>15108</v>
      </c>
      <c r="AE776" t="s">
        <v>15109</v>
      </c>
      <c r="AF776" t="s">
        <v>74</v>
      </c>
      <c r="AG776">
        <v>107</v>
      </c>
      <c r="AH776">
        <v>1</v>
      </c>
      <c r="AI776">
        <v>1</v>
      </c>
      <c r="AJ776">
        <v>2</v>
      </c>
      <c r="AK776">
        <v>3</v>
      </c>
      <c r="AL776" t="s">
        <v>305</v>
      </c>
      <c r="AM776" t="s">
        <v>306</v>
      </c>
      <c r="AN776" t="s">
        <v>307</v>
      </c>
      <c r="AO776" t="s">
        <v>4834</v>
      </c>
      <c r="AP776" t="s">
        <v>4835</v>
      </c>
      <c r="AQ776" t="s">
        <v>74</v>
      </c>
      <c r="AR776" t="s">
        <v>4836</v>
      </c>
      <c r="AS776" t="s">
        <v>4837</v>
      </c>
      <c r="AT776" t="s">
        <v>8210</v>
      </c>
      <c r="AU776">
        <v>2023</v>
      </c>
      <c r="AV776">
        <v>38</v>
      </c>
      <c r="AW776">
        <v>2</v>
      </c>
      <c r="AX776" t="s">
        <v>74</v>
      </c>
      <c r="AY776" t="s">
        <v>74</v>
      </c>
      <c r="AZ776" t="s">
        <v>74</v>
      </c>
      <c r="BA776" t="s">
        <v>74</v>
      </c>
      <c r="BB776" t="s">
        <v>74</v>
      </c>
      <c r="BC776" t="s">
        <v>74</v>
      </c>
      <c r="BD776" t="s">
        <v>15110</v>
      </c>
      <c r="BE776" t="s">
        <v>15111</v>
      </c>
      <c r="BF776" t="str">
        <f>HYPERLINK("http://dx.doi.org/10.1029/2022PA004496","http://dx.doi.org/10.1029/2022PA004496")</f>
        <v>http://dx.doi.org/10.1029/2022PA004496</v>
      </c>
      <c r="BG776" t="s">
        <v>74</v>
      </c>
      <c r="BH776" t="s">
        <v>74</v>
      </c>
      <c r="BI776">
        <v>21</v>
      </c>
      <c r="BJ776" t="s">
        <v>4840</v>
      </c>
      <c r="BK776" t="s">
        <v>103</v>
      </c>
      <c r="BL776" t="s">
        <v>4841</v>
      </c>
      <c r="BM776" t="s">
        <v>15093</v>
      </c>
      <c r="BN776" t="s">
        <v>74</v>
      </c>
      <c r="BO776" t="s">
        <v>387</v>
      </c>
      <c r="BP776" t="s">
        <v>74</v>
      </c>
      <c r="BQ776" t="s">
        <v>74</v>
      </c>
      <c r="BR776" t="s">
        <v>106</v>
      </c>
      <c r="BS776" t="s">
        <v>15112</v>
      </c>
      <c r="BT776" t="str">
        <f>HYPERLINK("https%3A%2F%2Fwww.webofscience.com%2Fwos%2Fwoscc%2Ffull-record%2FWOS:001000274100007","View Full Record in Web of Science")</f>
        <v>View Full Record in Web of Science</v>
      </c>
    </row>
    <row r="777" spans="1:72" x14ac:dyDescent="0.15">
      <c r="A777" t="s">
        <v>72</v>
      </c>
      <c r="B777" t="s">
        <v>15113</v>
      </c>
      <c r="C777" t="s">
        <v>74</v>
      </c>
      <c r="D777" t="s">
        <v>74</v>
      </c>
      <c r="E777" t="s">
        <v>74</v>
      </c>
      <c r="F777" t="s">
        <v>15114</v>
      </c>
      <c r="G777" t="s">
        <v>74</v>
      </c>
      <c r="H777" t="s">
        <v>74</v>
      </c>
      <c r="I777" t="s">
        <v>15115</v>
      </c>
      <c r="J777" t="s">
        <v>10140</v>
      </c>
      <c r="K777" t="s">
        <v>74</v>
      </c>
      <c r="L777" t="s">
        <v>74</v>
      </c>
      <c r="M777" t="s">
        <v>78</v>
      </c>
      <c r="N777" t="s">
        <v>112</v>
      </c>
      <c r="O777" t="s">
        <v>74</v>
      </c>
      <c r="P777" t="s">
        <v>74</v>
      </c>
      <c r="Q777" t="s">
        <v>74</v>
      </c>
      <c r="R777" t="s">
        <v>74</v>
      </c>
      <c r="S777" t="s">
        <v>74</v>
      </c>
      <c r="T777" t="s">
        <v>15116</v>
      </c>
      <c r="U777" t="s">
        <v>15117</v>
      </c>
      <c r="V777" t="s">
        <v>15118</v>
      </c>
      <c r="W777" t="s">
        <v>15119</v>
      </c>
      <c r="X777" t="s">
        <v>15120</v>
      </c>
      <c r="Y777" t="s">
        <v>15121</v>
      </c>
      <c r="Z777" t="s">
        <v>15122</v>
      </c>
      <c r="AA777" t="s">
        <v>15123</v>
      </c>
      <c r="AB777" t="s">
        <v>15124</v>
      </c>
      <c r="AC777" t="s">
        <v>15125</v>
      </c>
      <c r="AD777" t="s">
        <v>4427</v>
      </c>
      <c r="AE777" t="s">
        <v>15126</v>
      </c>
      <c r="AF777" t="s">
        <v>74</v>
      </c>
      <c r="AG777">
        <v>64</v>
      </c>
      <c r="AH777">
        <v>4</v>
      </c>
      <c r="AI777">
        <v>4</v>
      </c>
      <c r="AJ777">
        <v>13</v>
      </c>
      <c r="AK777">
        <v>17</v>
      </c>
      <c r="AL777" t="s">
        <v>305</v>
      </c>
      <c r="AM777" t="s">
        <v>306</v>
      </c>
      <c r="AN777" t="s">
        <v>307</v>
      </c>
      <c r="AO777" t="s">
        <v>10153</v>
      </c>
      <c r="AP777" t="s">
        <v>10154</v>
      </c>
      <c r="AQ777" t="s">
        <v>74</v>
      </c>
      <c r="AR777" t="s">
        <v>10155</v>
      </c>
      <c r="AS777" t="s">
        <v>10156</v>
      </c>
      <c r="AT777" t="s">
        <v>8210</v>
      </c>
      <c r="AU777">
        <v>2023</v>
      </c>
      <c r="AV777">
        <v>37</v>
      </c>
      <c r="AW777">
        <v>2</v>
      </c>
      <c r="AX777" t="s">
        <v>74</v>
      </c>
      <c r="AY777" t="s">
        <v>74</v>
      </c>
      <c r="AZ777" t="s">
        <v>74</v>
      </c>
      <c r="BA777" t="s">
        <v>74</v>
      </c>
      <c r="BB777" t="s">
        <v>74</v>
      </c>
      <c r="BC777" t="s">
        <v>74</v>
      </c>
      <c r="BD777" t="s">
        <v>15127</v>
      </c>
      <c r="BE777" t="s">
        <v>15128</v>
      </c>
      <c r="BF777" t="str">
        <f>HYPERLINK("http://dx.doi.org/10.1029/2022GB007441","http://dx.doi.org/10.1029/2022GB007441")</f>
        <v>http://dx.doi.org/10.1029/2022GB007441</v>
      </c>
      <c r="BG777" t="s">
        <v>74</v>
      </c>
      <c r="BH777" t="s">
        <v>74</v>
      </c>
      <c r="BI777">
        <v>19</v>
      </c>
      <c r="BJ777" t="s">
        <v>2474</v>
      </c>
      <c r="BK777" t="s">
        <v>103</v>
      </c>
      <c r="BL777" t="s">
        <v>2475</v>
      </c>
      <c r="BM777" t="s">
        <v>15055</v>
      </c>
      <c r="BN777" t="s">
        <v>74</v>
      </c>
      <c r="BO777" t="s">
        <v>334</v>
      </c>
      <c r="BP777" t="s">
        <v>74</v>
      </c>
      <c r="BQ777" t="s">
        <v>74</v>
      </c>
      <c r="BR777" t="s">
        <v>106</v>
      </c>
      <c r="BS777" t="s">
        <v>15129</v>
      </c>
      <c r="BT777" t="str">
        <f>HYPERLINK("https%3A%2F%2Fwww.webofscience.com%2Fwos%2Fwoscc%2Ffull-record%2FWOS:001000100300004","View Full Record in Web of Science")</f>
        <v>View Full Record in Web of Science</v>
      </c>
    </row>
    <row r="778" spans="1:72" x14ac:dyDescent="0.15">
      <c r="A778" t="s">
        <v>72</v>
      </c>
      <c r="B778" t="s">
        <v>15130</v>
      </c>
      <c r="C778" t="s">
        <v>74</v>
      </c>
      <c r="D778" t="s">
        <v>74</v>
      </c>
      <c r="E778" t="s">
        <v>74</v>
      </c>
      <c r="F778" t="s">
        <v>15131</v>
      </c>
      <c r="G778" t="s">
        <v>74</v>
      </c>
      <c r="H778" t="s">
        <v>74</v>
      </c>
      <c r="I778" t="s">
        <v>15132</v>
      </c>
      <c r="J778" t="s">
        <v>10140</v>
      </c>
      <c r="K778" t="s">
        <v>74</v>
      </c>
      <c r="L778" t="s">
        <v>74</v>
      </c>
      <c r="M778" t="s">
        <v>78</v>
      </c>
      <c r="N778" t="s">
        <v>112</v>
      </c>
      <c r="O778" t="s">
        <v>74</v>
      </c>
      <c r="P778" t="s">
        <v>74</v>
      </c>
      <c r="Q778" t="s">
        <v>74</v>
      </c>
      <c r="R778" t="s">
        <v>74</v>
      </c>
      <c r="S778" t="s">
        <v>74</v>
      </c>
      <c r="T778" t="s">
        <v>15133</v>
      </c>
      <c r="U778" t="s">
        <v>15134</v>
      </c>
      <c r="V778" t="s">
        <v>15135</v>
      </c>
      <c r="W778" t="s">
        <v>15136</v>
      </c>
      <c r="X778" t="s">
        <v>15137</v>
      </c>
      <c r="Y778" t="s">
        <v>15138</v>
      </c>
      <c r="Z778" t="s">
        <v>15139</v>
      </c>
      <c r="AA778" t="s">
        <v>15140</v>
      </c>
      <c r="AB778" t="s">
        <v>15141</v>
      </c>
      <c r="AC778" t="s">
        <v>15142</v>
      </c>
      <c r="AD778" t="s">
        <v>15143</v>
      </c>
      <c r="AE778" t="s">
        <v>15144</v>
      </c>
      <c r="AF778" t="s">
        <v>74</v>
      </c>
      <c r="AG778">
        <v>88</v>
      </c>
      <c r="AH778">
        <v>0</v>
      </c>
      <c r="AI778">
        <v>0</v>
      </c>
      <c r="AJ778">
        <v>10</v>
      </c>
      <c r="AK778">
        <v>14</v>
      </c>
      <c r="AL778" t="s">
        <v>305</v>
      </c>
      <c r="AM778" t="s">
        <v>306</v>
      </c>
      <c r="AN778" t="s">
        <v>307</v>
      </c>
      <c r="AO778" t="s">
        <v>10153</v>
      </c>
      <c r="AP778" t="s">
        <v>10154</v>
      </c>
      <c r="AQ778" t="s">
        <v>74</v>
      </c>
      <c r="AR778" t="s">
        <v>10155</v>
      </c>
      <c r="AS778" t="s">
        <v>10156</v>
      </c>
      <c r="AT778" t="s">
        <v>8210</v>
      </c>
      <c r="AU778">
        <v>2023</v>
      </c>
      <c r="AV778">
        <v>37</v>
      </c>
      <c r="AW778">
        <v>2</v>
      </c>
      <c r="AX778" t="s">
        <v>74</v>
      </c>
      <c r="AY778" t="s">
        <v>74</v>
      </c>
      <c r="AZ778" t="s">
        <v>74</v>
      </c>
      <c r="BA778" t="s">
        <v>74</v>
      </c>
      <c r="BB778" t="s">
        <v>74</v>
      </c>
      <c r="BC778" t="s">
        <v>74</v>
      </c>
      <c r="BD778" t="s">
        <v>15145</v>
      </c>
      <c r="BE778" t="s">
        <v>15146</v>
      </c>
      <c r="BF778" t="str">
        <f>HYPERLINK("http://dx.doi.org/10.1029/2022GB007368","http://dx.doi.org/10.1029/2022GB007368")</f>
        <v>http://dx.doi.org/10.1029/2022GB007368</v>
      </c>
      <c r="BG778" t="s">
        <v>74</v>
      </c>
      <c r="BH778" t="s">
        <v>74</v>
      </c>
      <c r="BI778">
        <v>21</v>
      </c>
      <c r="BJ778" t="s">
        <v>2474</v>
      </c>
      <c r="BK778" t="s">
        <v>103</v>
      </c>
      <c r="BL778" t="s">
        <v>2475</v>
      </c>
      <c r="BM778" t="s">
        <v>15055</v>
      </c>
      <c r="BN778" t="s">
        <v>74</v>
      </c>
      <c r="BO778" t="s">
        <v>387</v>
      </c>
      <c r="BP778" t="s">
        <v>74</v>
      </c>
      <c r="BQ778" t="s">
        <v>74</v>
      </c>
      <c r="BR778" t="s">
        <v>106</v>
      </c>
      <c r="BS778" t="s">
        <v>15147</v>
      </c>
      <c r="BT778" t="str">
        <f>HYPERLINK("https%3A%2F%2Fwww.webofscience.com%2Fwos%2Fwoscc%2Ffull-record%2FWOS:001000100300001","View Full Record in Web of Science")</f>
        <v>View Full Record in Web of Science</v>
      </c>
    </row>
    <row r="779" spans="1:72" x14ac:dyDescent="0.15">
      <c r="A779" t="s">
        <v>72</v>
      </c>
      <c r="B779" t="s">
        <v>15148</v>
      </c>
      <c r="C779" t="s">
        <v>74</v>
      </c>
      <c r="D779" t="s">
        <v>74</v>
      </c>
      <c r="E779" t="s">
        <v>74</v>
      </c>
      <c r="F779" t="s">
        <v>15149</v>
      </c>
      <c r="G779" t="s">
        <v>74</v>
      </c>
      <c r="H779" t="s">
        <v>74</v>
      </c>
      <c r="I779" t="s">
        <v>15150</v>
      </c>
      <c r="J779" t="s">
        <v>15151</v>
      </c>
      <c r="K779" t="s">
        <v>74</v>
      </c>
      <c r="L779" t="s">
        <v>74</v>
      </c>
      <c r="M779" t="s">
        <v>78</v>
      </c>
      <c r="N779" t="s">
        <v>112</v>
      </c>
      <c r="O779" t="s">
        <v>74</v>
      </c>
      <c r="P779" t="s">
        <v>74</v>
      </c>
      <c r="Q779" t="s">
        <v>74</v>
      </c>
      <c r="R779" t="s">
        <v>74</v>
      </c>
      <c r="S779" t="s">
        <v>74</v>
      </c>
      <c r="T779" t="s">
        <v>15152</v>
      </c>
      <c r="U779" t="s">
        <v>15153</v>
      </c>
      <c r="V779" t="s">
        <v>15154</v>
      </c>
      <c r="W779" t="s">
        <v>15155</v>
      </c>
      <c r="X779" t="s">
        <v>9538</v>
      </c>
      <c r="Y779" t="s">
        <v>15156</v>
      </c>
      <c r="Z779" t="s">
        <v>15157</v>
      </c>
      <c r="AA779" t="s">
        <v>15158</v>
      </c>
      <c r="AB779" t="s">
        <v>15159</v>
      </c>
      <c r="AC779" t="s">
        <v>15160</v>
      </c>
      <c r="AD779" t="s">
        <v>15161</v>
      </c>
      <c r="AE779" t="s">
        <v>15162</v>
      </c>
      <c r="AF779" t="s">
        <v>74</v>
      </c>
      <c r="AG779">
        <v>38</v>
      </c>
      <c r="AH779">
        <v>1</v>
      </c>
      <c r="AI779">
        <v>1</v>
      </c>
      <c r="AJ779">
        <v>4</v>
      </c>
      <c r="AK779">
        <v>8</v>
      </c>
      <c r="AL779" t="s">
        <v>447</v>
      </c>
      <c r="AM779" t="s">
        <v>448</v>
      </c>
      <c r="AN779" t="s">
        <v>449</v>
      </c>
      <c r="AO779" t="s">
        <v>74</v>
      </c>
      <c r="AP779" t="s">
        <v>15163</v>
      </c>
      <c r="AQ779" t="s">
        <v>74</v>
      </c>
      <c r="AR779" t="s">
        <v>15164</v>
      </c>
      <c r="AS779" t="s">
        <v>15165</v>
      </c>
      <c r="AT779" t="s">
        <v>232</v>
      </c>
      <c r="AU779">
        <v>2023</v>
      </c>
      <c r="AV779">
        <v>35</v>
      </c>
      <c r="AW779" t="s">
        <v>74</v>
      </c>
      <c r="AX779" t="s">
        <v>74</v>
      </c>
      <c r="AY779" t="s">
        <v>74</v>
      </c>
      <c r="AZ779" t="s">
        <v>74</v>
      </c>
      <c r="BA779" t="s">
        <v>74</v>
      </c>
      <c r="BB779" t="s">
        <v>74</v>
      </c>
      <c r="BC779" t="s">
        <v>74</v>
      </c>
      <c r="BD779">
        <v>105514</v>
      </c>
      <c r="BE779" t="s">
        <v>15166</v>
      </c>
      <c r="BF779" t="str">
        <f>HYPERLINK("http://dx.doi.org/10.1016/j.mtcomm.2023.105514","http://dx.doi.org/10.1016/j.mtcomm.2023.105514")</f>
        <v>http://dx.doi.org/10.1016/j.mtcomm.2023.105514</v>
      </c>
      <c r="BG779" t="s">
        <v>74</v>
      </c>
      <c r="BH779" t="s">
        <v>11628</v>
      </c>
      <c r="BI779">
        <v>9</v>
      </c>
      <c r="BJ779" t="s">
        <v>15167</v>
      </c>
      <c r="BK779" t="s">
        <v>103</v>
      </c>
      <c r="BL779" t="s">
        <v>9552</v>
      </c>
      <c r="BM779" t="s">
        <v>15168</v>
      </c>
      <c r="BN779" t="s">
        <v>74</v>
      </c>
      <c r="BO779" t="s">
        <v>74</v>
      </c>
      <c r="BP779" t="s">
        <v>74</v>
      </c>
      <c r="BQ779" t="s">
        <v>74</v>
      </c>
      <c r="BR779" t="s">
        <v>106</v>
      </c>
      <c r="BS779" t="s">
        <v>15169</v>
      </c>
      <c r="BT779" t="str">
        <f>HYPERLINK("https%3A%2F%2Fwww.webofscience.com%2Fwos%2Fwoscc%2Ffull-record%2FWOS:001010901000001","View Full Record in Web of Science")</f>
        <v>View Full Record in Web of Science</v>
      </c>
    </row>
    <row r="780" spans="1:72" x14ac:dyDescent="0.15">
      <c r="A780" t="s">
        <v>72</v>
      </c>
      <c r="B780" t="s">
        <v>15170</v>
      </c>
      <c r="C780" t="s">
        <v>74</v>
      </c>
      <c r="D780" t="s">
        <v>74</v>
      </c>
      <c r="E780" t="s">
        <v>74</v>
      </c>
      <c r="F780" t="s">
        <v>15171</v>
      </c>
      <c r="G780" t="s">
        <v>74</v>
      </c>
      <c r="H780" t="s">
        <v>74</v>
      </c>
      <c r="I780" t="s">
        <v>15172</v>
      </c>
      <c r="J780" t="s">
        <v>846</v>
      </c>
      <c r="K780" t="s">
        <v>74</v>
      </c>
      <c r="L780" t="s">
        <v>74</v>
      </c>
      <c r="M780" t="s">
        <v>78</v>
      </c>
      <c r="N780" t="s">
        <v>112</v>
      </c>
      <c r="O780" t="s">
        <v>74</v>
      </c>
      <c r="P780" t="s">
        <v>74</v>
      </c>
      <c r="Q780" t="s">
        <v>74</v>
      </c>
      <c r="R780" t="s">
        <v>74</v>
      </c>
      <c r="S780" t="s">
        <v>74</v>
      </c>
      <c r="T780" t="s">
        <v>15173</v>
      </c>
      <c r="U780" t="s">
        <v>15174</v>
      </c>
      <c r="V780" t="s">
        <v>15175</v>
      </c>
      <c r="W780" t="s">
        <v>15176</v>
      </c>
      <c r="X780" t="s">
        <v>15177</v>
      </c>
      <c r="Y780" t="s">
        <v>15178</v>
      </c>
      <c r="Z780" t="s">
        <v>15179</v>
      </c>
      <c r="AA780" t="s">
        <v>15180</v>
      </c>
      <c r="AB780" t="s">
        <v>15181</v>
      </c>
      <c r="AC780" t="s">
        <v>15182</v>
      </c>
      <c r="AD780" t="s">
        <v>15183</v>
      </c>
      <c r="AE780" t="s">
        <v>15184</v>
      </c>
      <c r="AF780" t="s">
        <v>74</v>
      </c>
      <c r="AG780">
        <v>53</v>
      </c>
      <c r="AH780">
        <v>3</v>
      </c>
      <c r="AI780">
        <v>3</v>
      </c>
      <c r="AJ780">
        <v>17</v>
      </c>
      <c r="AK780">
        <v>21</v>
      </c>
      <c r="AL780" t="s">
        <v>225</v>
      </c>
      <c r="AM780" t="s">
        <v>226</v>
      </c>
      <c r="AN780" t="s">
        <v>227</v>
      </c>
      <c r="AO780" t="s">
        <v>858</v>
      </c>
      <c r="AP780" t="s">
        <v>859</v>
      </c>
      <c r="AQ780" t="s">
        <v>74</v>
      </c>
      <c r="AR780" t="s">
        <v>860</v>
      </c>
      <c r="AS780" t="s">
        <v>861</v>
      </c>
      <c r="AT780" t="s">
        <v>98</v>
      </c>
      <c r="AU780">
        <v>2023</v>
      </c>
      <c r="AV780">
        <v>195</v>
      </c>
      <c r="AW780" t="s">
        <v>74</v>
      </c>
      <c r="AX780" t="s">
        <v>74</v>
      </c>
      <c r="AY780" t="s">
        <v>74</v>
      </c>
      <c r="AZ780" t="s">
        <v>74</v>
      </c>
      <c r="BA780" t="s">
        <v>74</v>
      </c>
      <c r="BB780" t="s">
        <v>74</v>
      </c>
      <c r="BC780" t="s">
        <v>74</v>
      </c>
      <c r="BD780">
        <v>103981</v>
      </c>
      <c r="BE780" t="s">
        <v>15185</v>
      </c>
      <c r="BF780" t="str">
        <f>HYPERLINK("http://dx.doi.org/10.1016/j.dsr.2023.103981","http://dx.doi.org/10.1016/j.dsr.2023.103981")</f>
        <v>http://dx.doi.org/10.1016/j.dsr.2023.103981</v>
      </c>
      <c r="BG780" t="s">
        <v>74</v>
      </c>
      <c r="BH780" t="s">
        <v>11628</v>
      </c>
      <c r="BI780">
        <v>8</v>
      </c>
      <c r="BJ780" t="s">
        <v>863</v>
      </c>
      <c r="BK780" t="s">
        <v>103</v>
      </c>
      <c r="BL780" t="s">
        <v>863</v>
      </c>
      <c r="BM780" t="s">
        <v>15186</v>
      </c>
      <c r="BN780" t="s">
        <v>74</v>
      </c>
      <c r="BO780" t="s">
        <v>74</v>
      </c>
      <c r="BP780" t="s">
        <v>74</v>
      </c>
      <c r="BQ780" t="s">
        <v>74</v>
      </c>
      <c r="BR780" t="s">
        <v>106</v>
      </c>
      <c r="BS780" t="s">
        <v>15187</v>
      </c>
      <c r="BT780" t="str">
        <f>HYPERLINK("https%3A%2F%2Fwww.webofscience.com%2Fwos%2Fwoscc%2Ffull-record%2FWOS:001009360100001","View Full Record in Web of Science")</f>
        <v>View Full Record in Web of Science</v>
      </c>
    </row>
    <row r="781" spans="1:72" x14ac:dyDescent="0.15">
      <c r="A781" t="s">
        <v>72</v>
      </c>
      <c r="B781" t="s">
        <v>15188</v>
      </c>
      <c r="C781" t="s">
        <v>74</v>
      </c>
      <c r="D781" t="s">
        <v>74</v>
      </c>
      <c r="E781" t="s">
        <v>74</v>
      </c>
      <c r="F781" t="s">
        <v>15189</v>
      </c>
      <c r="G781" t="s">
        <v>74</v>
      </c>
      <c r="H781" t="s">
        <v>74</v>
      </c>
      <c r="I781" t="s">
        <v>15190</v>
      </c>
      <c r="J781" t="s">
        <v>15191</v>
      </c>
      <c r="K781" t="s">
        <v>74</v>
      </c>
      <c r="L781" t="s">
        <v>74</v>
      </c>
      <c r="M781" t="s">
        <v>78</v>
      </c>
      <c r="N781" t="s">
        <v>112</v>
      </c>
      <c r="O781" t="s">
        <v>74</v>
      </c>
      <c r="P781" t="s">
        <v>74</v>
      </c>
      <c r="Q781" t="s">
        <v>74</v>
      </c>
      <c r="R781" t="s">
        <v>74</v>
      </c>
      <c r="S781" t="s">
        <v>74</v>
      </c>
      <c r="T781" t="s">
        <v>15192</v>
      </c>
      <c r="U781" t="s">
        <v>74</v>
      </c>
      <c r="V781" t="s">
        <v>15193</v>
      </c>
      <c r="W781" t="s">
        <v>15194</v>
      </c>
      <c r="X781" t="s">
        <v>15195</v>
      </c>
      <c r="Y781" t="s">
        <v>15196</v>
      </c>
      <c r="Z781" t="s">
        <v>15197</v>
      </c>
      <c r="AA781" t="s">
        <v>74</v>
      </c>
      <c r="AB781" t="s">
        <v>74</v>
      </c>
      <c r="AC781" t="s">
        <v>15198</v>
      </c>
      <c r="AD781" t="s">
        <v>15199</v>
      </c>
      <c r="AE781" t="s">
        <v>15200</v>
      </c>
      <c r="AF781" t="s">
        <v>74</v>
      </c>
      <c r="AG781">
        <v>24</v>
      </c>
      <c r="AH781">
        <v>0</v>
      </c>
      <c r="AI781">
        <v>0</v>
      </c>
      <c r="AJ781">
        <v>1</v>
      </c>
      <c r="AK781">
        <v>1</v>
      </c>
      <c r="AL781" t="s">
        <v>178</v>
      </c>
      <c r="AM781" t="s">
        <v>179</v>
      </c>
      <c r="AN781" t="s">
        <v>180</v>
      </c>
      <c r="AO781" t="s">
        <v>15201</v>
      </c>
      <c r="AP781" t="s">
        <v>15202</v>
      </c>
      <c r="AQ781" t="s">
        <v>74</v>
      </c>
      <c r="AR781" t="s">
        <v>15203</v>
      </c>
      <c r="AS781" t="s">
        <v>15204</v>
      </c>
      <c r="AT781" t="s">
        <v>8210</v>
      </c>
      <c r="AU781">
        <v>2023</v>
      </c>
      <c r="AV781">
        <v>48</v>
      </c>
      <c r="AW781">
        <v>2</v>
      </c>
      <c r="AX781" t="s">
        <v>74</v>
      </c>
      <c r="AY781" t="s">
        <v>74</v>
      </c>
      <c r="AZ781" t="s">
        <v>74</v>
      </c>
      <c r="BA781" t="s">
        <v>74</v>
      </c>
      <c r="BB781">
        <v>163</v>
      </c>
      <c r="BC781">
        <v>172</v>
      </c>
      <c r="BD781" t="s">
        <v>74</v>
      </c>
      <c r="BE781" t="s">
        <v>15205</v>
      </c>
      <c r="BF781" t="str">
        <f>HYPERLINK("http://dx.doi.org/10.3103/S1068373923020097","http://dx.doi.org/10.3103/S1068373923020097")</f>
        <v>http://dx.doi.org/10.3103/S1068373923020097</v>
      </c>
      <c r="BG781" t="s">
        <v>74</v>
      </c>
      <c r="BH781" t="s">
        <v>74</v>
      </c>
      <c r="BI781">
        <v>10</v>
      </c>
      <c r="BJ781" t="s">
        <v>102</v>
      </c>
      <c r="BK781" t="s">
        <v>103</v>
      </c>
      <c r="BL781" t="s">
        <v>102</v>
      </c>
      <c r="BM781" t="s">
        <v>15206</v>
      </c>
      <c r="BN781" t="s">
        <v>74</v>
      </c>
      <c r="BO781" t="s">
        <v>74</v>
      </c>
      <c r="BP781" t="s">
        <v>74</v>
      </c>
      <c r="BQ781" t="s">
        <v>74</v>
      </c>
      <c r="BR781" t="s">
        <v>106</v>
      </c>
      <c r="BS781" t="s">
        <v>15207</v>
      </c>
      <c r="BT781" t="str">
        <f>HYPERLINK("https%3A%2F%2Fwww.webofscience.com%2Fwos%2Fwoscc%2Ffull-record%2FWOS:000993839300009","View Full Record in Web of Science")</f>
        <v>View Full Record in Web of Science</v>
      </c>
    </row>
    <row r="782" spans="1:72" x14ac:dyDescent="0.15">
      <c r="A782" t="s">
        <v>72</v>
      </c>
      <c r="B782" t="s">
        <v>15208</v>
      </c>
      <c r="C782" t="s">
        <v>74</v>
      </c>
      <c r="D782" t="s">
        <v>74</v>
      </c>
      <c r="E782" t="s">
        <v>74</v>
      </c>
      <c r="F782" t="s">
        <v>15209</v>
      </c>
      <c r="G782" t="s">
        <v>74</v>
      </c>
      <c r="H782" t="s">
        <v>74</v>
      </c>
      <c r="I782" t="s">
        <v>15210</v>
      </c>
      <c r="J782" t="s">
        <v>1534</v>
      </c>
      <c r="K782" t="s">
        <v>74</v>
      </c>
      <c r="L782" t="s">
        <v>74</v>
      </c>
      <c r="M782" t="s">
        <v>78</v>
      </c>
      <c r="N782" t="s">
        <v>79</v>
      </c>
      <c r="O782" t="s">
        <v>74</v>
      </c>
      <c r="P782" t="s">
        <v>74</v>
      </c>
      <c r="Q782" t="s">
        <v>74</v>
      </c>
      <c r="R782" t="s">
        <v>74</v>
      </c>
      <c r="S782" t="s">
        <v>74</v>
      </c>
      <c r="T782" t="s">
        <v>74</v>
      </c>
      <c r="U782" t="s">
        <v>74</v>
      </c>
      <c r="V782" t="s">
        <v>74</v>
      </c>
      <c r="W782" t="s">
        <v>15211</v>
      </c>
      <c r="X782" t="s">
        <v>2244</v>
      </c>
      <c r="Y782" t="s">
        <v>15212</v>
      </c>
      <c r="Z782" t="s">
        <v>15213</v>
      </c>
      <c r="AA782" t="s">
        <v>10474</v>
      </c>
      <c r="AB782" t="s">
        <v>10475</v>
      </c>
      <c r="AC782" t="s">
        <v>74</v>
      </c>
      <c r="AD782" t="s">
        <v>74</v>
      </c>
      <c r="AE782" t="s">
        <v>74</v>
      </c>
      <c r="AF782" t="s">
        <v>74</v>
      </c>
      <c r="AG782">
        <v>11</v>
      </c>
      <c r="AH782">
        <v>2</v>
      </c>
      <c r="AI782">
        <v>2</v>
      </c>
      <c r="AJ782">
        <v>1</v>
      </c>
      <c r="AK782">
        <v>3</v>
      </c>
      <c r="AL782" t="s">
        <v>1101</v>
      </c>
      <c r="AM782" t="s">
        <v>179</v>
      </c>
      <c r="AN782" t="s">
        <v>1543</v>
      </c>
      <c r="AO782" t="s">
        <v>1544</v>
      </c>
      <c r="AP782" t="s">
        <v>1545</v>
      </c>
      <c r="AQ782" t="s">
        <v>74</v>
      </c>
      <c r="AR782" t="s">
        <v>1546</v>
      </c>
      <c r="AS782" t="s">
        <v>1547</v>
      </c>
      <c r="AT782" t="s">
        <v>8210</v>
      </c>
      <c r="AU782">
        <v>2023</v>
      </c>
      <c r="AV782">
        <v>35</v>
      </c>
      <c r="AW782">
        <v>1</v>
      </c>
      <c r="AX782" t="s">
        <v>74</v>
      </c>
      <c r="AY782" t="s">
        <v>74</v>
      </c>
      <c r="AZ782" t="s">
        <v>74</v>
      </c>
      <c r="BA782" t="s">
        <v>74</v>
      </c>
      <c r="BB782">
        <v>1</v>
      </c>
      <c r="BC782">
        <v>3</v>
      </c>
      <c r="BD782" t="s">
        <v>74</v>
      </c>
      <c r="BE782" t="s">
        <v>15214</v>
      </c>
      <c r="BF782" t="str">
        <f>HYPERLINK("http://dx.doi.org/10.1017/S095410202300007X","http://dx.doi.org/10.1017/S095410202300007X")</f>
        <v>http://dx.doi.org/10.1017/S095410202300007X</v>
      </c>
      <c r="BG782" t="s">
        <v>74</v>
      </c>
      <c r="BH782" t="s">
        <v>74</v>
      </c>
      <c r="BI782">
        <v>3</v>
      </c>
      <c r="BJ782" t="s">
        <v>1550</v>
      </c>
      <c r="BK782" t="s">
        <v>103</v>
      </c>
      <c r="BL782" t="s">
        <v>1551</v>
      </c>
      <c r="BM782" t="s">
        <v>8213</v>
      </c>
      <c r="BN782" t="s">
        <v>74</v>
      </c>
      <c r="BO782" t="s">
        <v>334</v>
      </c>
      <c r="BP782" t="s">
        <v>74</v>
      </c>
      <c r="BQ782" t="s">
        <v>74</v>
      </c>
      <c r="BR782" t="s">
        <v>106</v>
      </c>
      <c r="BS782" t="s">
        <v>15215</v>
      </c>
      <c r="BT782" t="str">
        <f>HYPERLINK("https%3A%2F%2Fwww.webofscience.com%2Fwos%2Fwoscc%2Ffull-record%2FWOS:000974285300001","View Full Record in Web of Science")</f>
        <v>View Full Record in Web of Science</v>
      </c>
    </row>
    <row r="783" spans="1:72" x14ac:dyDescent="0.15">
      <c r="A783" t="s">
        <v>72</v>
      </c>
      <c r="B783" t="s">
        <v>15216</v>
      </c>
      <c r="C783" t="s">
        <v>74</v>
      </c>
      <c r="D783" t="s">
        <v>74</v>
      </c>
      <c r="E783" t="s">
        <v>74</v>
      </c>
      <c r="F783" t="s">
        <v>15217</v>
      </c>
      <c r="G783" t="s">
        <v>74</v>
      </c>
      <c r="H783" t="s">
        <v>74</v>
      </c>
      <c r="I783" t="s">
        <v>15218</v>
      </c>
      <c r="J783" t="s">
        <v>1534</v>
      </c>
      <c r="K783" t="s">
        <v>74</v>
      </c>
      <c r="L783" t="s">
        <v>74</v>
      </c>
      <c r="M783" t="s">
        <v>78</v>
      </c>
      <c r="N783" t="s">
        <v>112</v>
      </c>
      <c r="O783" t="s">
        <v>74</v>
      </c>
      <c r="P783" t="s">
        <v>74</v>
      </c>
      <c r="Q783" t="s">
        <v>74</v>
      </c>
      <c r="R783" t="s">
        <v>74</v>
      </c>
      <c r="S783" t="s">
        <v>74</v>
      </c>
      <c r="T783" t="s">
        <v>15219</v>
      </c>
      <c r="U783" t="s">
        <v>15220</v>
      </c>
      <c r="V783" t="s">
        <v>15221</v>
      </c>
      <c r="W783" t="s">
        <v>15222</v>
      </c>
      <c r="X783" t="s">
        <v>15223</v>
      </c>
      <c r="Y783" t="s">
        <v>15224</v>
      </c>
      <c r="Z783" t="s">
        <v>15225</v>
      </c>
      <c r="AA783" t="s">
        <v>74</v>
      </c>
      <c r="AB783" t="s">
        <v>15226</v>
      </c>
      <c r="AC783" t="s">
        <v>15227</v>
      </c>
      <c r="AD783" t="s">
        <v>15228</v>
      </c>
      <c r="AE783" t="s">
        <v>15229</v>
      </c>
      <c r="AF783" t="s">
        <v>74</v>
      </c>
      <c r="AG783">
        <v>158</v>
      </c>
      <c r="AH783">
        <v>0</v>
      </c>
      <c r="AI783">
        <v>0</v>
      </c>
      <c r="AJ783">
        <v>7</v>
      </c>
      <c r="AK783">
        <v>19</v>
      </c>
      <c r="AL783" t="s">
        <v>1101</v>
      </c>
      <c r="AM783" t="s">
        <v>179</v>
      </c>
      <c r="AN783" t="s">
        <v>1543</v>
      </c>
      <c r="AO783" t="s">
        <v>1544</v>
      </c>
      <c r="AP783" t="s">
        <v>1545</v>
      </c>
      <c r="AQ783" t="s">
        <v>74</v>
      </c>
      <c r="AR783" t="s">
        <v>1546</v>
      </c>
      <c r="AS783" t="s">
        <v>1547</v>
      </c>
      <c r="AT783" t="s">
        <v>8210</v>
      </c>
      <c r="AU783">
        <v>2023</v>
      </c>
      <c r="AV783">
        <v>35</v>
      </c>
      <c r="AW783">
        <v>1</v>
      </c>
      <c r="AX783" t="s">
        <v>74</v>
      </c>
      <c r="AY783" t="s">
        <v>74</v>
      </c>
      <c r="AZ783" t="s">
        <v>74</v>
      </c>
      <c r="BA783" t="s">
        <v>74</v>
      </c>
      <c r="BB783">
        <v>15</v>
      </c>
      <c r="BC783">
        <v>30</v>
      </c>
      <c r="BD783" t="s">
        <v>15230</v>
      </c>
      <c r="BE783" t="s">
        <v>15231</v>
      </c>
      <c r="BF783" t="str">
        <f>HYPERLINK("http://dx.doi.org/10.1017/S0954102022000384","http://dx.doi.org/10.1017/S0954102022000384")</f>
        <v>http://dx.doi.org/10.1017/S0954102022000384</v>
      </c>
      <c r="BG783" t="s">
        <v>74</v>
      </c>
      <c r="BH783" t="s">
        <v>74</v>
      </c>
      <c r="BI783">
        <v>16</v>
      </c>
      <c r="BJ783" t="s">
        <v>1550</v>
      </c>
      <c r="BK783" t="s">
        <v>103</v>
      </c>
      <c r="BL783" t="s">
        <v>1551</v>
      </c>
      <c r="BM783" t="s">
        <v>8213</v>
      </c>
      <c r="BN783" t="s">
        <v>74</v>
      </c>
      <c r="BO783" t="s">
        <v>387</v>
      </c>
      <c r="BP783" t="s">
        <v>74</v>
      </c>
      <c r="BQ783" t="s">
        <v>74</v>
      </c>
      <c r="BR783" t="s">
        <v>106</v>
      </c>
      <c r="BS783" t="s">
        <v>15232</v>
      </c>
      <c r="BT783" t="str">
        <f>HYPERLINK("https%3A%2F%2Fwww.webofscience.com%2Fwos%2Fwoscc%2Ffull-record%2FWOS:000974285300003","View Full Record in Web of Science")</f>
        <v>View Full Record in Web of Science</v>
      </c>
    </row>
    <row r="784" spans="1:72" x14ac:dyDescent="0.15">
      <c r="A784" t="s">
        <v>72</v>
      </c>
      <c r="B784" t="s">
        <v>15233</v>
      </c>
      <c r="C784" t="s">
        <v>74</v>
      </c>
      <c r="D784" t="s">
        <v>74</v>
      </c>
      <c r="E784" t="s">
        <v>74</v>
      </c>
      <c r="F784" t="s">
        <v>15234</v>
      </c>
      <c r="G784" t="s">
        <v>74</v>
      </c>
      <c r="H784" t="s">
        <v>74</v>
      </c>
      <c r="I784" t="s">
        <v>15235</v>
      </c>
      <c r="J784" t="s">
        <v>1534</v>
      </c>
      <c r="K784" t="s">
        <v>74</v>
      </c>
      <c r="L784" t="s">
        <v>74</v>
      </c>
      <c r="M784" t="s">
        <v>78</v>
      </c>
      <c r="N784" t="s">
        <v>112</v>
      </c>
      <c r="O784" t="s">
        <v>74</v>
      </c>
      <c r="P784" t="s">
        <v>74</v>
      </c>
      <c r="Q784" t="s">
        <v>74</v>
      </c>
      <c r="R784" t="s">
        <v>74</v>
      </c>
      <c r="S784" t="s">
        <v>74</v>
      </c>
      <c r="T784" t="s">
        <v>15236</v>
      </c>
      <c r="U784" t="s">
        <v>15237</v>
      </c>
      <c r="V784" t="s">
        <v>15238</v>
      </c>
      <c r="W784" t="s">
        <v>15239</v>
      </c>
      <c r="X784" t="s">
        <v>74</v>
      </c>
      <c r="Y784" t="s">
        <v>15240</v>
      </c>
      <c r="Z784" t="s">
        <v>15241</v>
      </c>
      <c r="AA784" t="s">
        <v>15242</v>
      </c>
      <c r="AB784" t="s">
        <v>15243</v>
      </c>
      <c r="AC784" t="s">
        <v>14026</v>
      </c>
      <c r="AD784" t="s">
        <v>14027</v>
      </c>
      <c r="AE784" t="s">
        <v>15244</v>
      </c>
      <c r="AF784" t="s">
        <v>74</v>
      </c>
      <c r="AG784">
        <v>40</v>
      </c>
      <c r="AH784">
        <v>2</v>
      </c>
      <c r="AI784">
        <v>2</v>
      </c>
      <c r="AJ784">
        <v>2</v>
      </c>
      <c r="AK784">
        <v>4</v>
      </c>
      <c r="AL784" t="s">
        <v>1101</v>
      </c>
      <c r="AM784" t="s">
        <v>179</v>
      </c>
      <c r="AN784" t="s">
        <v>1543</v>
      </c>
      <c r="AO784" t="s">
        <v>1544</v>
      </c>
      <c r="AP784" t="s">
        <v>1545</v>
      </c>
      <c r="AQ784" t="s">
        <v>74</v>
      </c>
      <c r="AR784" t="s">
        <v>1546</v>
      </c>
      <c r="AS784" t="s">
        <v>1547</v>
      </c>
      <c r="AT784" t="s">
        <v>8210</v>
      </c>
      <c r="AU784">
        <v>2023</v>
      </c>
      <c r="AV784">
        <v>35</v>
      </c>
      <c r="AW784">
        <v>1</v>
      </c>
      <c r="AX784" t="s">
        <v>74</v>
      </c>
      <c r="AY784" t="s">
        <v>74</v>
      </c>
      <c r="AZ784" t="s">
        <v>74</v>
      </c>
      <c r="BA784" t="s">
        <v>74</v>
      </c>
      <c r="BB784">
        <v>46</v>
      </c>
      <c r="BC784">
        <v>59</v>
      </c>
      <c r="BD784" t="s">
        <v>74</v>
      </c>
      <c r="BE784" t="s">
        <v>15245</v>
      </c>
      <c r="BF784" t="str">
        <f>HYPERLINK("http://dx.doi.org/10.1017/S0954102022000487","http://dx.doi.org/10.1017/S0954102022000487")</f>
        <v>http://dx.doi.org/10.1017/S0954102022000487</v>
      </c>
      <c r="BG784" t="s">
        <v>74</v>
      </c>
      <c r="BH784" t="s">
        <v>74</v>
      </c>
      <c r="BI784">
        <v>14</v>
      </c>
      <c r="BJ784" t="s">
        <v>1550</v>
      </c>
      <c r="BK784" t="s">
        <v>103</v>
      </c>
      <c r="BL784" t="s">
        <v>1551</v>
      </c>
      <c r="BM784" t="s">
        <v>8213</v>
      </c>
      <c r="BN784" t="s">
        <v>74</v>
      </c>
      <c r="BO784" t="s">
        <v>74</v>
      </c>
      <c r="BP784" t="s">
        <v>74</v>
      </c>
      <c r="BQ784" t="s">
        <v>74</v>
      </c>
      <c r="BR784" t="s">
        <v>106</v>
      </c>
      <c r="BS784" t="s">
        <v>15246</v>
      </c>
      <c r="BT784" t="str">
        <f>HYPERLINK("https%3A%2F%2Fwww.webofscience.com%2Fwos%2Fwoscc%2Ffull-record%2FWOS:000974285300006","View Full Record in Web of Science")</f>
        <v>View Full Record in Web of Science</v>
      </c>
    </row>
    <row r="785" spans="1:72" x14ac:dyDescent="0.15">
      <c r="A785" t="s">
        <v>72</v>
      </c>
      <c r="B785" t="s">
        <v>15247</v>
      </c>
      <c r="C785" t="s">
        <v>74</v>
      </c>
      <c r="D785" t="s">
        <v>74</v>
      </c>
      <c r="E785" t="s">
        <v>74</v>
      </c>
      <c r="F785" t="s">
        <v>15248</v>
      </c>
      <c r="G785" t="s">
        <v>74</v>
      </c>
      <c r="H785" t="s">
        <v>74</v>
      </c>
      <c r="I785" t="s">
        <v>15249</v>
      </c>
      <c r="J785" t="s">
        <v>6804</v>
      </c>
      <c r="K785" t="s">
        <v>74</v>
      </c>
      <c r="L785" t="s">
        <v>74</v>
      </c>
      <c r="M785" t="s">
        <v>78</v>
      </c>
      <c r="N785" t="s">
        <v>112</v>
      </c>
      <c r="O785" t="s">
        <v>74</v>
      </c>
      <c r="P785" t="s">
        <v>74</v>
      </c>
      <c r="Q785" t="s">
        <v>74</v>
      </c>
      <c r="R785" t="s">
        <v>74</v>
      </c>
      <c r="S785" t="s">
        <v>74</v>
      </c>
      <c r="T785" t="s">
        <v>15250</v>
      </c>
      <c r="U785" t="s">
        <v>15251</v>
      </c>
      <c r="V785" t="s">
        <v>15252</v>
      </c>
      <c r="W785" t="s">
        <v>15253</v>
      </c>
      <c r="X785" t="s">
        <v>15254</v>
      </c>
      <c r="Y785" t="s">
        <v>15255</v>
      </c>
      <c r="Z785" t="s">
        <v>15256</v>
      </c>
      <c r="AA785" t="s">
        <v>15257</v>
      </c>
      <c r="AB785" t="s">
        <v>15258</v>
      </c>
      <c r="AC785" t="s">
        <v>15259</v>
      </c>
      <c r="AD785" t="s">
        <v>15260</v>
      </c>
      <c r="AE785" t="s">
        <v>15261</v>
      </c>
      <c r="AF785" t="s">
        <v>74</v>
      </c>
      <c r="AG785">
        <v>54</v>
      </c>
      <c r="AH785">
        <v>1</v>
      </c>
      <c r="AI785">
        <v>1</v>
      </c>
      <c r="AJ785">
        <v>6</v>
      </c>
      <c r="AK785">
        <v>13</v>
      </c>
      <c r="AL785" t="s">
        <v>1405</v>
      </c>
      <c r="AM785" t="s">
        <v>226</v>
      </c>
      <c r="AN785" t="s">
        <v>1406</v>
      </c>
      <c r="AO785" t="s">
        <v>6816</v>
      </c>
      <c r="AP785" t="s">
        <v>6817</v>
      </c>
      <c r="AQ785" t="s">
        <v>74</v>
      </c>
      <c r="AR785" t="s">
        <v>6818</v>
      </c>
      <c r="AS785" t="s">
        <v>6819</v>
      </c>
      <c r="AT785" t="s">
        <v>10271</v>
      </c>
      <c r="AU785">
        <v>2023</v>
      </c>
      <c r="AV785">
        <v>234</v>
      </c>
      <c r="AW785" t="s">
        <v>74</v>
      </c>
      <c r="AX785" t="s">
        <v>74</v>
      </c>
      <c r="AY785" t="s">
        <v>74</v>
      </c>
      <c r="AZ785" t="s">
        <v>74</v>
      </c>
      <c r="BA785" t="s">
        <v>74</v>
      </c>
      <c r="BB785" t="s">
        <v>74</v>
      </c>
      <c r="BC785" t="s">
        <v>74</v>
      </c>
      <c r="BD785">
        <v>106465</v>
      </c>
      <c r="BE785" t="s">
        <v>15262</v>
      </c>
      <c r="BF785" t="str">
        <f>HYPERLINK("http://dx.doi.org/10.1016/j.ocecoaman.2022.106465","http://dx.doi.org/10.1016/j.ocecoaman.2022.106465")</f>
        <v>http://dx.doi.org/10.1016/j.ocecoaman.2022.106465</v>
      </c>
      <c r="BG785" t="s">
        <v>74</v>
      </c>
      <c r="BH785" t="s">
        <v>11628</v>
      </c>
      <c r="BI785">
        <v>21</v>
      </c>
      <c r="BJ785" t="s">
        <v>6821</v>
      </c>
      <c r="BK785" t="s">
        <v>103</v>
      </c>
      <c r="BL785" t="s">
        <v>6821</v>
      </c>
      <c r="BM785" t="s">
        <v>15263</v>
      </c>
      <c r="BN785" t="s">
        <v>74</v>
      </c>
      <c r="BO785" t="s">
        <v>387</v>
      </c>
      <c r="BP785" t="s">
        <v>74</v>
      </c>
      <c r="BQ785" t="s">
        <v>74</v>
      </c>
      <c r="BR785" t="s">
        <v>106</v>
      </c>
      <c r="BS785" t="s">
        <v>15264</v>
      </c>
      <c r="BT785" t="str">
        <f>HYPERLINK("https%3A%2F%2Fwww.webofscience.com%2Fwos%2Fwoscc%2Ffull-record%2FWOS:000963981200001","View Full Record in Web of Science")</f>
        <v>View Full Record in Web of Science</v>
      </c>
    </row>
    <row r="786" spans="1:72" x14ac:dyDescent="0.15">
      <c r="A786" t="s">
        <v>72</v>
      </c>
      <c r="B786" t="s">
        <v>15265</v>
      </c>
      <c r="C786" t="s">
        <v>74</v>
      </c>
      <c r="D786" t="s">
        <v>74</v>
      </c>
      <c r="E786" t="s">
        <v>74</v>
      </c>
      <c r="F786" t="s">
        <v>15266</v>
      </c>
      <c r="G786" t="s">
        <v>74</v>
      </c>
      <c r="H786" t="s">
        <v>74</v>
      </c>
      <c r="I786" t="s">
        <v>15267</v>
      </c>
      <c r="J786" t="s">
        <v>15268</v>
      </c>
      <c r="K786" t="s">
        <v>74</v>
      </c>
      <c r="L786" t="s">
        <v>74</v>
      </c>
      <c r="M786" t="s">
        <v>78</v>
      </c>
      <c r="N786" t="s">
        <v>112</v>
      </c>
      <c r="O786" t="s">
        <v>74</v>
      </c>
      <c r="P786" t="s">
        <v>74</v>
      </c>
      <c r="Q786" t="s">
        <v>74</v>
      </c>
      <c r="R786" t="s">
        <v>74</v>
      </c>
      <c r="S786" t="s">
        <v>74</v>
      </c>
      <c r="T786" t="s">
        <v>15269</v>
      </c>
      <c r="U786" t="s">
        <v>15270</v>
      </c>
      <c r="V786" t="s">
        <v>15271</v>
      </c>
      <c r="W786" t="s">
        <v>15272</v>
      </c>
      <c r="X786" t="s">
        <v>15273</v>
      </c>
      <c r="Y786" t="s">
        <v>15274</v>
      </c>
      <c r="Z786" t="s">
        <v>15275</v>
      </c>
      <c r="AA786" t="s">
        <v>74</v>
      </c>
      <c r="AB786" t="s">
        <v>15276</v>
      </c>
      <c r="AC786" t="s">
        <v>15277</v>
      </c>
      <c r="AD786" t="s">
        <v>15278</v>
      </c>
      <c r="AE786" t="s">
        <v>15279</v>
      </c>
      <c r="AF786" t="s">
        <v>74</v>
      </c>
      <c r="AG786">
        <v>30</v>
      </c>
      <c r="AH786">
        <v>1</v>
      </c>
      <c r="AI786">
        <v>1</v>
      </c>
      <c r="AJ786">
        <v>2</v>
      </c>
      <c r="AK786">
        <v>2</v>
      </c>
      <c r="AL786" t="s">
        <v>15280</v>
      </c>
      <c r="AM786" t="s">
        <v>15281</v>
      </c>
      <c r="AN786" t="s">
        <v>15282</v>
      </c>
      <c r="AO786" t="s">
        <v>15283</v>
      </c>
      <c r="AP786" t="s">
        <v>15284</v>
      </c>
      <c r="AQ786" t="s">
        <v>74</v>
      </c>
      <c r="AR786" t="s">
        <v>15285</v>
      </c>
      <c r="AS786" t="s">
        <v>15286</v>
      </c>
      <c r="AT786" t="s">
        <v>8210</v>
      </c>
      <c r="AU786">
        <v>2023</v>
      </c>
      <c r="AV786">
        <v>41</v>
      </c>
      <c r="AW786">
        <v>1</v>
      </c>
      <c r="AX786" t="s">
        <v>74</v>
      </c>
      <c r="AY786" t="s">
        <v>74</v>
      </c>
      <c r="AZ786" t="s">
        <v>74</v>
      </c>
      <c r="BA786" t="s">
        <v>74</v>
      </c>
      <c r="BB786">
        <v>286</v>
      </c>
      <c r="BC786">
        <v>296</v>
      </c>
      <c r="BD786" t="s">
        <v>74</v>
      </c>
      <c r="BE786" t="s">
        <v>74</v>
      </c>
      <c r="BF786" t="s">
        <v>74</v>
      </c>
      <c r="BG786" t="s">
        <v>74</v>
      </c>
      <c r="BH786" t="s">
        <v>74</v>
      </c>
      <c r="BI786">
        <v>11</v>
      </c>
      <c r="BJ786" t="s">
        <v>15287</v>
      </c>
      <c r="BK786" t="s">
        <v>103</v>
      </c>
      <c r="BL786" t="s">
        <v>15287</v>
      </c>
      <c r="BM786" t="s">
        <v>15288</v>
      </c>
      <c r="BN786" t="s">
        <v>74</v>
      </c>
      <c r="BO786" t="s">
        <v>74</v>
      </c>
      <c r="BP786" t="s">
        <v>74</v>
      </c>
      <c r="BQ786" t="s">
        <v>74</v>
      </c>
      <c r="BR786" t="s">
        <v>106</v>
      </c>
      <c r="BS786" t="s">
        <v>15289</v>
      </c>
      <c r="BT786" t="str">
        <f>HYPERLINK("https%3A%2F%2Fwww.webofscience.com%2Fwos%2Fwoscc%2Ffull-record%2FWOS:000961353900039","View Full Record in Web of Science")</f>
        <v>View Full Record in Web of Science</v>
      </c>
    </row>
    <row r="787" spans="1:72" x14ac:dyDescent="0.15">
      <c r="A787" t="s">
        <v>72</v>
      </c>
      <c r="B787" t="s">
        <v>15290</v>
      </c>
      <c r="C787" t="s">
        <v>74</v>
      </c>
      <c r="D787" t="s">
        <v>74</v>
      </c>
      <c r="E787" t="s">
        <v>74</v>
      </c>
      <c r="F787" t="s">
        <v>15291</v>
      </c>
      <c r="G787" t="s">
        <v>74</v>
      </c>
      <c r="H787" t="s">
        <v>74</v>
      </c>
      <c r="I787" t="s">
        <v>15292</v>
      </c>
      <c r="J787" t="s">
        <v>15293</v>
      </c>
      <c r="K787" t="s">
        <v>74</v>
      </c>
      <c r="L787" t="s">
        <v>74</v>
      </c>
      <c r="M787" t="s">
        <v>78</v>
      </c>
      <c r="N787" t="s">
        <v>112</v>
      </c>
      <c r="O787" t="s">
        <v>74</v>
      </c>
      <c r="P787" t="s">
        <v>74</v>
      </c>
      <c r="Q787" t="s">
        <v>74</v>
      </c>
      <c r="R787" t="s">
        <v>74</v>
      </c>
      <c r="S787" t="s">
        <v>74</v>
      </c>
      <c r="T787" t="s">
        <v>74</v>
      </c>
      <c r="U787" t="s">
        <v>15294</v>
      </c>
      <c r="V787" t="s">
        <v>15295</v>
      </c>
      <c r="W787" t="s">
        <v>15296</v>
      </c>
      <c r="X787" t="s">
        <v>15297</v>
      </c>
      <c r="Y787" t="s">
        <v>15298</v>
      </c>
      <c r="Z787" t="s">
        <v>15299</v>
      </c>
      <c r="AA787" t="s">
        <v>15300</v>
      </c>
      <c r="AB787" t="s">
        <v>15301</v>
      </c>
      <c r="AC787" t="s">
        <v>74</v>
      </c>
      <c r="AD787" t="s">
        <v>74</v>
      </c>
      <c r="AE787" t="s">
        <v>74</v>
      </c>
      <c r="AF787" t="s">
        <v>74</v>
      </c>
      <c r="AG787">
        <v>41</v>
      </c>
      <c r="AH787">
        <v>1</v>
      </c>
      <c r="AI787">
        <v>1</v>
      </c>
      <c r="AJ787">
        <v>2</v>
      </c>
      <c r="AK787">
        <v>4</v>
      </c>
      <c r="AL787" t="s">
        <v>15302</v>
      </c>
      <c r="AM787" t="s">
        <v>15303</v>
      </c>
      <c r="AN787" t="s">
        <v>15304</v>
      </c>
      <c r="AO787" t="s">
        <v>15305</v>
      </c>
      <c r="AP787" t="s">
        <v>15306</v>
      </c>
      <c r="AQ787" t="s">
        <v>74</v>
      </c>
      <c r="AR787" t="s">
        <v>15307</v>
      </c>
      <c r="AS787" t="s">
        <v>15308</v>
      </c>
      <c r="AT787" t="s">
        <v>8210</v>
      </c>
      <c r="AU787">
        <v>2023</v>
      </c>
      <c r="AV787">
        <v>64</v>
      </c>
      <c r="AW787">
        <v>1</v>
      </c>
      <c r="AX787" t="s">
        <v>74</v>
      </c>
      <c r="AY787" t="s">
        <v>74</v>
      </c>
      <c r="AZ787" t="s">
        <v>74</v>
      </c>
      <c r="BA787" t="s">
        <v>74</v>
      </c>
      <c r="BB787">
        <v>21</v>
      </c>
      <c r="BC787">
        <v>28</v>
      </c>
      <c r="BD787" t="s">
        <v>74</v>
      </c>
      <c r="BE787" t="s">
        <v>15309</v>
      </c>
      <c r="BF787" t="str">
        <f>HYPERLINK("http://dx.doi.org/10.3325/cmj.2023.64.21","http://dx.doi.org/10.3325/cmj.2023.64.21")</f>
        <v>http://dx.doi.org/10.3325/cmj.2023.64.21</v>
      </c>
      <c r="BG787" t="s">
        <v>74</v>
      </c>
      <c r="BH787" t="s">
        <v>74</v>
      </c>
      <c r="BI787">
        <v>8</v>
      </c>
      <c r="BJ787" t="s">
        <v>14795</v>
      </c>
      <c r="BK787" t="s">
        <v>103</v>
      </c>
      <c r="BL787" t="s">
        <v>14796</v>
      </c>
      <c r="BM787" t="s">
        <v>15310</v>
      </c>
      <c r="BN787">
        <v>36864815</v>
      </c>
      <c r="BO787" t="s">
        <v>614</v>
      </c>
      <c r="BP787" t="s">
        <v>74</v>
      </c>
      <c r="BQ787" t="s">
        <v>74</v>
      </c>
      <c r="BR787" t="s">
        <v>106</v>
      </c>
      <c r="BS787" t="s">
        <v>15311</v>
      </c>
      <c r="BT787" t="str">
        <f>HYPERLINK("https%3A%2F%2Fwww.webofscience.com%2Fwos%2Fwoscc%2Ffull-record%2FWOS:000953731600004","View Full Record in Web of Science")</f>
        <v>View Full Record in Web of Science</v>
      </c>
    </row>
    <row r="788" spans="1:72" x14ac:dyDescent="0.15">
      <c r="A788" t="s">
        <v>72</v>
      </c>
      <c r="B788" t="s">
        <v>15312</v>
      </c>
      <c r="C788" t="s">
        <v>74</v>
      </c>
      <c r="D788" t="s">
        <v>74</v>
      </c>
      <c r="E788" t="s">
        <v>74</v>
      </c>
      <c r="F788" t="s">
        <v>15313</v>
      </c>
      <c r="G788" t="s">
        <v>74</v>
      </c>
      <c r="H788" t="s">
        <v>74</v>
      </c>
      <c r="I788" t="s">
        <v>15314</v>
      </c>
      <c r="J788" t="s">
        <v>364</v>
      </c>
      <c r="K788" t="s">
        <v>74</v>
      </c>
      <c r="L788" t="s">
        <v>74</v>
      </c>
      <c r="M788" t="s">
        <v>78</v>
      </c>
      <c r="N788" t="s">
        <v>112</v>
      </c>
      <c r="O788" t="s">
        <v>74</v>
      </c>
      <c r="P788" t="s">
        <v>74</v>
      </c>
      <c r="Q788" t="s">
        <v>74</v>
      </c>
      <c r="R788" t="s">
        <v>74</v>
      </c>
      <c r="S788" t="s">
        <v>74</v>
      </c>
      <c r="T788" t="s">
        <v>15315</v>
      </c>
      <c r="U788" t="s">
        <v>15316</v>
      </c>
      <c r="V788" t="s">
        <v>15317</v>
      </c>
      <c r="W788" t="s">
        <v>15318</v>
      </c>
      <c r="X788" t="s">
        <v>15319</v>
      </c>
      <c r="Y788" t="s">
        <v>15320</v>
      </c>
      <c r="Z788" t="s">
        <v>15321</v>
      </c>
      <c r="AA788" t="s">
        <v>74</v>
      </c>
      <c r="AB788" t="s">
        <v>15322</v>
      </c>
      <c r="AC788" t="s">
        <v>15323</v>
      </c>
      <c r="AD788" t="s">
        <v>15323</v>
      </c>
      <c r="AE788" t="s">
        <v>15324</v>
      </c>
      <c r="AF788" t="s">
        <v>74</v>
      </c>
      <c r="AG788">
        <v>72</v>
      </c>
      <c r="AH788">
        <v>1</v>
      </c>
      <c r="AI788">
        <v>1</v>
      </c>
      <c r="AJ788">
        <v>2</v>
      </c>
      <c r="AK788">
        <v>4</v>
      </c>
      <c r="AL788" t="s">
        <v>377</v>
      </c>
      <c r="AM788" t="s">
        <v>378</v>
      </c>
      <c r="AN788" t="s">
        <v>379</v>
      </c>
      <c r="AO788" t="s">
        <v>380</v>
      </c>
      <c r="AP788" t="s">
        <v>381</v>
      </c>
      <c r="AQ788" t="s">
        <v>74</v>
      </c>
      <c r="AR788" t="s">
        <v>382</v>
      </c>
      <c r="AS788" t="s">
        <v>383</v>
      </c>
      <c r="AT788" t="s">
        <v>8210</v>
      </c>
      <c r="AU788">
        <v>2023</v>
      </c>
      <c r="AV788">
        <v>170</v>
      </c>
      <c r="AW788">
        <v>2</v>
      </c>
      <c r="AX788" t="s">
        <v>74</v>
      </c>
      <c r="AY788" t="s">
        <v>74</v>
      </c>
      <c r="AZ788" t="s">
        <v>74</v>
      </c>
      <c r="BA788" t="s">
        <v>74</v>
      </c>
      <c r="BB788" t="s">
        <v>74</v>
      </c>
      <c r="BC788" t="s">
        <v>74</v>
      </c>
      <c r="BD788">
        <v>17</v>
      </c>
      <c r="BE788" t="s">
        <v>15325</v>
      </c>
      <c r="BF788" t="str">
        <f>HYPERLINK("http://dx.doi.org/10.1007/s00227-022-04163-3","http://dx.doi.org/10.1007/s00227-022-04163-3")</f>
        <v>http://dx.doi.org/10.1007/s00227-022-04163-3</v>
      </c>
      <c r="BG788" t="s">
        <v>74</v>
      </c>
      <c r="BH788" t="s">
        <v>74</v>
      </c>
      <c r="BI788">
        <v>16</v>
      </c>
      <c r="BJ788" t="s">
        <v>385</v>
      </c>
      <c r="BK788" t="s">
        <v>103</v>
      </c>
      <c r="BL788" t="s">
        <v>385</v>
      </c>
      <c r="BM788" t="s">
        <v>15326</v>
      </c>
      <c r="BN788" t="s">
        <v>74</v>
      </c>
      <c r="BO788" t="s">
        <v>74</v>
      </c>
      <c r="BP788" t="s">
        <v>74</v>
      </c>
      <c r="BQ788" t="s">
        <v>74</v>
      </c>
      <c r="BR788" t="s">
        <v>106</v>
      </c>
      <c r="BS788" t="s">
        <v>15327</v>
      </c>
      <c r="BT788" t="str">
        <f>HYPERLINK("https%3A%2F%2Fwww.webofscience.com%2Fwos%2Fwoscc%2Ffull-record%2FWOS:000953185300001","View Full Record in Web of Science")</f>
        <v>View Full Record in Web of Science</v>
      </c>
    </row>
    <row r="789" spans="1:72" x14ac:dyDescent="0.15">
      <c r="A789" t="s">
        <v>72</v>
      </c>
      <c r="B789" t="s">
        <v>15328</v>
      </c>
      <c r="C789" t="s">
        <v>74</v>
      </c>
      <c r="D789" t="s">
        <v>74</v>
      </c>
      <c r="E789" t="s">
        <v>74</v>
      </c>
      <c r="F789" t="s">
        <v>15329</v>
      </c>
      <c r="G789" t="s">
        <v>74</v>
      </c>
      <c r="H789" t="s">
        <v>74</v>
      </c>
      <c r="I789" t="s">
        <v>15330</v>
      </c>
      <c r="J789" t="s">
        <v>4890</v>
      </c>
      <c r="K789" t="s">
        <v>74</v>
      </c>
      <c r="L789" t="s">
        <v>74</v>
      </c>
      <c r="M789" t="s">
        <v>78</v>
      </c>
      <c r="N789" t="s">
        <v>112</v>
      </c>
      <c r="O789" t="s">
        <v>74</v>
      </c>
      <c r="P789" t="s">
        <v>74</v>
      </c>
      <c r="Q789" t="s">
        <v>74</v>
      </c>
      <c r="R789" t="s">
        <v>74</v>
      </c>
      <c r="S789" t="s">
        <v>74</v>
      </c>
      <c r="T789" t="s">
        <v>15331</v>
      </c>
      <c r="U789" t="s">
        <v>15332</v>
      </c>
      <c r="V789" t="s">
        <v>15333</v>
      </c>
      <c r="W789" t="s">
        <v>15334</v>
      </c>
      <c r="X789" t="s">
        <v>15335</v>
      </c>
      <c r="Y789" t="s">
        <v>15336</v>
      </c>
      <c r="Z789" t="s">
        <v>15337</v>
      </c>
      <c r="AA789" t="s">
        <v>15338</v>
      </c>
      <c r="AB789" t="s">
        <v>15339</v>
      </c>
      <c r="AC789" t="s">
        <v>15340</v>
      </c>
      <c r="AD789" t="s">
        <v>15341</v>
      </c>
      <c r="AE789" t="s">
        <v>15342</v>
      </c>
      <c r="AF789" t="s">
        <v>74</v>
      </c>
      <c r="AG789">
        <v>55</v>
      </c>
      <c r="AH789">
        <v>0</v>
      </c>
      <c r="AI789">
        <v>0</v>
      </c>
      <c r="AJ789">
        <v>2</v>
      </c>
      <c r="AK789">
        <v>4</v>
      </c>
      <c r="AL789" t="s">
        <v>768</v>
      </c>
      <c r="AM789" t="s">
        <v>179</v>
      </c>
      <c r="AN789" t="s">
        <v>769</v>
      </c>
      <c r="AO789" t="s">
        <v>4903</v>
      </c>
      <c r="AP789" t="s">
        <v>4904</v>
      </c>
      <c r="AQ789" t="s">
        <v>74</v>
      </c>
      <c r="AR789" t="s">
        <v>4905</v>
      </c>
      <c r="AS789" t="s">
        <v>4906</v>
      </c>
      <c r="AT789" t="s">
        <v>8210</v>
      </c>
      <c r="AU789">
        <v>2023</v>
      </c>
      <c r="AV789">
        <v>42</v>
      </c>
      <c r="AW789">
        <v>2</v>
      </c>
      <c r="AX789" t="s">
        <v>74</v>
      </c>
      <c r="AY789" t="s">
        <v>74</v>
      </c>
      <c r="AZ789" t="s">
        <v>74</v>
      </c>
      <c r="BA789" t="s">
        <v>74</v>
      </c>
      <c r="BB789">
        <v>94</v>
      </c>
      <c r="BC789">
        <v>103</v>
      </c>
      <c r="BD789" t="s">
        <v>74</v>
      </c>
      <c r="BE789" t="s">
        <v>15343</v>
      </c>
      <c r="BF789" t="str">
        <f>HYPERLINK("http://dx.doi.org/10.1007/s13131-022-2029-x","http://dx.doi.org/10.1007/s13131-022-2029-x")</f>
        <v>http://dx.doi.org/10.1007/s13131-022-2029-x</v>
      </c>
      <c r="BG789" t="s">
        <v>74</v>
      </c>
      <c r="BH789" t="s">
        <v>74</v>
      </c>
      <c r="BI789">
        <v>10</v>
      </c>
      <c r="BJ789" t="s">
        <v>863</v>
      </c>
      <c r="BK789" t="s">
        <v>103</v>
      </c>
      <c r="BL789" t="s">
        <v>863</v>
      </c>
      <c r="BM789" t="s">
        <v>15344</v>
      </c>
      <c r="BN789" t="s">
        <v>74</v>
      </c>
      <c r="BO789" t="s">
        <v>74</v>
      </c>
      <c r="BP789" t="s">
        <v>74</v>
      </c>
      <c r="BQ789" t="s">
        <v>74</v>
      </c>
      <c r="BR789" t="s">
        <v>106</v>
      </c>
      <c r="BS789" t="s">
        <v>15345</v>
      </c>
      <c r="BT789" t="str">
        <f>HYPERLINK("https%3A%2F%2Fwww.webofscience.com%2Fwos%2Fwoscc%2Ffull-record%2FWOS:000952201500009","View Full Record in Web of Science")</f>
        <v>View Full Record in Web of Science</v>
      </c>
    </row>
    <row r="790" spans="1:72" x14ac:dyDescent="0.15">
      <c r="A790" t="s">
        <v>72</v>
      </c>
      <c r="B790" t="s">
        <v>15346</v>
      </c>
      <c r="C790" t="s">
        <v>74</v>
      </c>
      <c r="D790" t="s">
        <v>74</v>
      </c>
      <c r="E790" t="s">
        <v>74</v>
      </c>
      <c r="F790" t="s">
        <v>15347</v>
      </c>
      <c r="G790" t="s">
        <v>74</v>
      </c>
      <c r="H790" t="s">
        <v>74</v>
      </c>
      <c r="I790" t="s">
        <v>15348</v>
      </c>
      <c r="J790" t="s">
        <v>15349</v>
      </c>
      <c r="K790" t="s">
        <v>74</v>
      </c>
      <c r="L790" t="s">
        <v>74</v>
      </c>
      <c r="M790" t="s">
        <v>78</v>
      </c>
      <c r="N790" t="s">
        <v>112</v>
      </c>
      <c r="O790" t="s">
        <v>74</v>
      </c>
      <c r="P790" t="s">
        <v>74</v>
      </c>
      <c r="Q790" t="s">
        <v>74</v>
      </c>
      <c r="R790" t="s">
        <v>74</v>
      </c>
      <c r="S790" t="s">
        <v>74</v>
      </c>
      <c r="T790" t="s">
        <v>15350</v>
      </c>
      <c r="U790" t="s">
        <v>15351</v>
      </c>
      <c r="V790" t="s">
        <v>15352</v>
      </c>
      <c r="W790" t="s">
        <v>15353</v>
      </c>
      <c r="X790" t="s">
        <v>15354</v>
      </c>
      <c r="Y790" t="s">
        <v>15355</v>
      </c>
      <c r="Z790" t="s">
        <v>15356</v>
      </c>
      <c r="AA790" t="s">
        <v>74</v>
      </c>
      <c r="AB790" t="s">
        <v>15357</v>
      </c>
      <c r="AC790" t="s">
        <v>15358</v>
      </c>
      <c r="AD790" t="s">
        <v>15359</v>
      </c>
      <c r="AE790" t="s">
        <v>15360</v>
      </c>
      <c r="AF790" t="s">
        <v>74</v>
      </c>
      <c r="AG790">
        <v>50</v>
      </c>
      <c r="AH790">
        <v>0</v>
      </c>
      <c r="AI790">
        <v>0</v>
      </c>
      <c r="AJ790">
        <v>3</v>
      </c>
      <c r="AK790">
        <v>8</v>
      </c>
      <c r="AL790" t="s">
        <v>10539</v>
      </c>
      <c r="AM790" t="s">
        <v>1102</v>
      </c>
      <c r="AN790" t="s">
        <v>10540</v>
      </c>
      <c r="AO790" t="s">
        <v>15361</v>
      </c>
      <c r="AP790" t="s">
        <v>74</v>
      </c>
      <c r="AQ790" t="s">
        <v>74</v>
      </c>
      <c r="AR790" t="s">
        <v>15362</v>
      </c>
      <c r="AS790" t="s">
        <v>15363</v>
      </c>
      <c r="AT790" t="s">
        <v>8210</v>
      </c>
      <c r="AU790">
        <v>2023</v>
      </c>
      <c r="AV790">
        <v>12</v>
      </c>
      <c r="AW790">
        <v>2</v>
      </c>
      <c r="AX790" t="s">
        <v>74</v>
      </c>
      <c r="AY790" t="s">
        <v>74</v>
      </c>
      <c r="AZ790" t="s">
        <v>74</v>
      </c>
      <c r="BA790" t="s">
        <v>74</v>
      </c>
      <c r="BB790" t="s">
        <v>74</v>
      </c>
      <c r="BC790" t="s">
        <v>74</v>
      </c>
      <c r="BD790" t="s">
        <v>15364</v>
      </c>
      <c r="BE790" t="s">
        <v>15365</v>
      </c>
      <c r="BF790" t="str">
        <f>HYPERLINK("http://dx.doi.org/10.1242/bio.059512","http://dx.doi.org/10.1242/bio.059512")</f>
        <v>http://dx.doi.org/10.1242/bio.059512</v>
      </c>
      <c r="BG790" t="s">
        <v>74</v>
      </c>
      <c r="BH790" t="s">
        <v>74</v>
      </c>
      <c r="BI790">
        <v>6</v>
      </c>
      <c r="BJ790" t="s">
        <v>1018</v>
      </c>
      <c r="BK790" t="s">
        <v>103</v>
      </c>
      <c r="BL790" t="s">
        <v>1019</v>
      </c>
      <c r="BM790" t="s">
        <v>15366</v>
      </c>
      <c r="BN790">
        <v>36716101</v>
      </c>
      <c r="BO790" t="s">
        <v>136</v>
      </c>
      <c r="BP790" t="s">
        <v>74</v>
      </c>
      <c r="BQ790" t="s">
        <v>74</v>
      </c>
      <c r="BR790" t="s">
        <v>106</v>
      </c>
      <c r="BS790" t="s">
        <v>15367</v>
      </c>
      <c r="BT790" t="str">
        <f>HYPERLINK("https%3A%2F%2Fwww.webofscience.com%2Fwos%2Fwoscc%2Ffull-record%2FWOS:000948155000002","View Full Record in Web of Science")</f>
        <v>View Full Record in Web of Science</v>
      </c>
    </row>
    <row r="791" spans="1:72" x14ac:dyDescent="0.15">
      <c r="A791" t="s">
        <v>72</v>
      </c>
      <c r="B791" t="s">
        <v>15368</v>
      </c>
      <c r="C791" t="s">
        <v>74</v>
      </c>
      <c r="D791" t="s">
        <v>74</v>
      </c>
      <c r="E791" t="s">
        <v>74</v>
      </c>
      <c r="F791" t="s">
        <v>15369</v>
      </c>
      <c r="G791" t="s">
        <v>74</v>
      </c>
      <c r="H791" t="s">
        <v>74</v>
      </c>
      <c r="I791" t="s">
        <v>15370</v>
      </c>
      <c r="J791" t="s">
        <v>292</v>
      </c>
      <c r="K791" t="s">
        <v>74</v>
      </c>
      <c r="L791" t="s">
        <v>74</v>
      </c>
      <c r="M791" t="s">
        <v>78</v>
      </c>
      <c r="N791" t="s">
        <v>112</v>
      </c>
      <c r="O791" t="s">
        <v>74</v>
      </c>
      <c r="P791" t="s">
        <v>74</v>
      </c>
      <c r="Q791" t="s">
        <v>74</v>
      </c>
      <c r="R791" t="s">
        <v>74</v>
      </c>
      <c r="S791" t="s">
        <v>74</v>
      </c>
      <c r="T791" t="s">
        <v>15371</v>
      </c>
      <c r="U791" t="s">
        <v>15372</v>
      </c>
      <c r="V791" t="s">
        <v>15373</v>
      </c>
      <c r="W791" t="s">
        <v>15374</v>
      </c>
      <c r="X791" t="s">
        <v>15375</v>
      </c>
      <c r="Y791" t="s">
        <v>15376</v>
      </c>
      <c r="Z791" t="s">
        <v>15377</v>
      </c>
      <c r="AA791" t="s">
        <v>15378</v>
      </c>
      <c r="AB791" t="s">
        <v>15379</v>
      </c>
      <c r="AC791" t="s">
        <v>15380</v>
      </c>
      <c r="AD791" t="s">
        <v>15381</v>
      </c>
      <c r="AE791" t="s">
        <v>15382</v>
      </c>
      <c r="AF791" t="s">
        <v>74</v>
      </c>
      <c r="AG791">
        <v>105</v>
      </c>
      <c r="AH791">
        <v>2</v>
      </c>
      <c r="AI791">
        <v>2</v>
      </c>
      <c r="AJ791">
        <v>1</v>
      </c>
      <c r="AK791">
        <v>6</v>
      </c>
      <c r="AL791" t="s">
        <v>305</v>
      </c>
      <c r="AM791" t="s">
        <v>306</v>
      </c>
      <c r="AN791" t="s">
        <v>307</v>
      </c>
      <c r="AO791" t="s">
        <v>308</v>
      </c>
      <c r="AP791" t="s">
        <v>309</v>
      </c>
      <c r="AQ791" t="s">
        <v>74</v>
      </c>
      <c r="AR791" t="s">
        <v>292</v>
      </c>
      <c r="AS791" t="s">
        <v>310</v>
      </c>
      <c r="AT791" t="s">
        <v>8210</v>
      </c>
      <c r="AU791">
        <v>2023</v>
      </c>
      <c r="AV791">
        <v>42</v>
      </c>
      <c r="AW791">
        <v>2</v>
      </c>
      <c r="AX791" t="s">
        <v>74</v>
      </c>
      <c r="AY791" t="s">
        <v>74</v>
      </c>
      <c r="AZ791" t="s">
        <v>74</v>
      </c>
      <c r="BA791" t="s">
        <v>74</v>
      </c>
      <c r="BB791" t="s">
        <v>74</v>
      </c>
      <c r="BC791" t="s">
        <v>74</v>
      </c>
      <c r="BD791" t="s">
        <v>15383</v>
      </c>
      <c r="BE791" t="s">
        <v>15384</v>
      </c>
      <c r="BF791" t="str">
        <f>HYPERLINK("http://dx.doi.org/10.1029/2022TC007578","http://dx.doi.org/10.1029/2022TC007578")</f>
        <v>http://dx.doi.org/10.1029/2022TC007578</v>
      </c>
      <c r="BG791" t="s">
        <v>74</v>
      </c>
      <c r="BH791" t="s">
        <v>74</v>
      </c>
      <c r="BI791">
        <v>30</v>
      </c>
      <c r="BJ791" t="s">
        <v>313</v>
      </c>
      <c r="BK791" t="s">
        <v>103</v>
      </c>
      <c r="BL791" t="s">
        <v>313</v>
      </c>
      <c r="BM791" t="s">
        <v>15385</v>
      </c>
      <c r="BN791" t="s">
        <v>74</v>
      </c>
      <c r="BO791" t="s">
        <v>823</v>
      </c>
      <c r="BP791" t="s">
        <v>74</v>
      </c>
      <c r="BQ791" t="s">
        <v>74</v>
      </c>
      <c r="BR791" t="s">
        <v>106</v>
      </c>
      <c r="BS791" t="s">
        <v>15386</v>
      </c>
      <c r="BT791" t="str">
        <f>HYPERLINK("https%3A%2F%2Fwww.webofscience.com%2Fwos%2Fwoscc%2Ffull-record%2FWOS:000947336000001","View Full Record in Web of Science")</f>
        <v>View Full Record in Web of Science</v>
      </c>
    </row>
    <row r="792" spans="1:72" x14ac:dyDescent="0.15">
      <c r="A792" t="s">
        <v>72</v>
      </c>
      <c r="B792" t="s">
        <v>15387</v>
      </c>
      <c r="C792" t="s">
        <v>74</v>
      </c>
      <c r="D792" t="s">
        <v>74</v>
      </c>
      <c r="E792" t="s">
        <v>74</v>
      </c>
      <c r="F792" t="s">
        <v>15388</v>
      </c>
      <c r="G792" t="s">
        <v>74</v>
      </c>
      <c r="H792" t="s">
        <v>74</v>
      </c>
      <c r="I792" t="s">
        <v>15389</v>
      </c>
      <c r="J792" t="s">
        <v>5447</v>
      </c>
      <c r="K792" t="s">
        <v>74</v>
      </c>
      <c r="L792" t="s">
        <v>74</v>
      </c>
      <c r="M792" t="s">
        <v>78</v>
      </c>
      <c r="N792" t="s">
        <v>112</v>
      </c>
      <c r="O792" t="s">
        <v>74</v>
      </c>
      <c r="P792" t="s">
        <v>74</v>
      </c>
      <c r="Q792" t="s">
        <v>74</v>
      </c>
      <c r="R792" t="s">
        <v>74</v>
      </c>
      <c r="S792" t="s">
        <v>74</v>
      </c>
      <c r="T792" t="s">
        <v>15390</v>
      </c>
      <c r="U792" t="s">
        <v>74</v>
      </c>
      <c r="V792" t="s">
        <v>15391</v>
      </c>
      <c r="W792" t="s">
        <v>15392</v>
      </c>
      <c r="X792" t="s">
        <v>15393</v>
      </c>
      <c r="Y792" t="s">
        <v>15394</v>
      </c>
      <c r="Z792" t="s">
        <v>11640</v>
      </c>
      <c r="AA792" t="s">
        <v>15395</v>
      </c>
      <c r="AB792" t="s">
        <v>15396</v>
      </c>
      <c r="AC792" t="s">
        <v>15397</v>
      </c>
      <c r="AD792" t="s">
        <v>15398</v>
      </c>
      <c r="AE792" t="s">
        <v>15399</v>
      </c>
      <c r="AF792" t="s">
        <v>74</v>
      </c>
      <c r="AG792">
        <v>32</v>
      </c>
      <c r="AH792">
        <v>6</v>
      </c>
      <c r="AI792">
        <v>6</v>
      </c>
      <c r="AJ792">
        <v>9</v>
      </c>
      <c r="AK792">
        <v>15</v>
      </c>
      <c r="AL792" t="s">
        <v>125</v>
      </c>
      <c r="AM792" t="s">
        <v>126</v>
      </c>
      <c r="AN792" t="s">
        <v>127</v>
      </c>
      <c r="AO792" t="s">
        <v>74</v>
      </c>
      <c r="AP792" t="s">
        <v>5460</v>
      </c>
      <c r="AQ792" t="s">
        <v>74</v>
      </c>
      <c r="AR792" t="s">
        <v>5461</v>
      </c>
      <c r="AS792" t="s">
        <v>5462</v>
      </c>
      <c r="AT792" t="s">
        <v>8210</v>
      </c>
      <c r="AU792">
        <v>2023</v>
      </c>
      <c r="AV792">
        <v>7</v>
      </c>
      <c r="AW792">
        <v>2</v>
      </c>
      <c r="AX792" t="s">
        <v>74</v>
      </c>
      <c r="AY792" t="s">
        <v>74</v>
      </c>
      <c r="AZ792" t="s">
        <v>74</v>
      </c>
      <c r="BA792" t="s">
        <v>74</v>
      </c>
      <c r="BB792" t="s">
        <v>74</v>
      </c>
      <c r="BC792" t="s">
        <v>74</v>
      </c>
      <c r="BD792">
        <v>72</v>
      </c>
      <c r="BE792" t="s">
        <v>15400</v>
      </c>
      <c r="BF792" t="str">
        <f>HYPERLINK("http://dx.doi.org/10.3390/drones7020072","http://dx.doi.org/10.3390/drones7020072")</f>
        <v>http://dx.doi.org/10.3390/drones7020072</v>
      </c>
      <c r="BG792" t="s">
        <v>74</v>
      </c>
      <c r="BH792" t="s">
        <v>74</v>
      </c>
      <c r="BI792">
        <v>11</v>
      </c>
      <c r="BJ792" t="s">
        <v>5464</v>
      </c>
      <c r="BK792" t="s">
        <v>103</v>
      </c>
      <c r="BL792" t="s">
        <v>5464</v>
      </c>
      <c r="BM792" t="s">
        <v>15401</v>
      </c>
      <c r="BN792" t="s">
        <v>74</v>
      </c>
      <c r="BO792" t="s">
        <v>359</v>
      </c>
      <c r="BP792" t="s">
        <v>74</v>
      </c>
      <c r="BQ792" t="s">
        <v>74</v>
      </c>
      <c r="BR792" t="s">
        <v>106</v>
      </c>
      <c r="BS792" t="s">
        <v>15402</v>
      </c>
      <c r="BT792" t="str">
        <f>HYPERLINK("https%3A%2F%2Fwww.webofscience.com%2Fwos%2Fwoscc%2Ffull-record%2FWOS:000945107700001","View Full Record in Web of Science")</f>
        <v>View Full Record in Web of Science</v>
      </c>
    </row>
    <row r="793" spans="1:72" x14ac:dyDescent="0.15">
      <c r="A793" t="s">
        <v>72</v>
      </c>
      <c r="B793" t="s">
        <v>15403</v>
      </c>
      <c r="C793" t="s">
        <v>74</v>
      </c>
      <c r="D793" t="s">
        <v>74</v>
      </c>
      <c r="E793" t="s">
        <v>74</v>
      </c>
      <c r="F793" t="s">
        <v>15404</v>
      </c>
      <c r="G793" t="s">
        <v>74</v>
      </c>
      <c r="H793" t="s">
        <v>74</v>
      </c>
      <c r="I793" t="s">
        <v>15405</v>
      </c>
      <c r="J793" t="s">
        <v>15406</v>
      </c>
      <c r="K793" t="s">
        <v>74</v>
      </c>
      <c r="L793" t="s">
        <v>74</v>
      </c>
      <c r="M793" t="s">
        <v>78</v>
      </c>
      <c r="N793" t="s">
        <v>365</v>
      </c>
      <c r="O793" t="s">
        <v>74</v>
      </c>
      <c r="P793" t="s">
        <v>74</v>
      </c>
      <c r="Q793" t="s">
        <v>74</v>
      </c>
      <c r="R793" t="s">
        <v>74</v>
      </c>
      <c r="S793" t="s">
        <v>74</v>
      </c>
      <c r="T793" t="s">
        <v>15407</v>
      </c>
      <c r="U793" t="s">
        <v>15408</v>
      </c>
      <c r="V793" t="s">
        <v>15409</v>
      </c>
      <c r="W793" t="s">
        <v>15410</v>
      </c>
      <c r="X793" t="s">
        <v>15411</v>
      </c>
      <c r="Y793" t="s">
        <v>15412</v>
      </c>
      <c r="Z793" t="s">
        <v>15413</v>
      </c>
      <c r="AA793" t="s">
        <v>74</v>
      </c>
      <c r="AB793" t="s">
        <v>15414</v>
      </c>
      <c r="AC793" t="s">
        <v>15415</v>
      </c>
      <c r="AD793" t="s">
        <v>15416</v>
      </c>
      <c r="AE793" t="s">
        <v>15417</v>
      </c>
      <c r="AF793" t="s">
        <v>74</v>
      </c>
      <c r="AG793">
        <v>53</v>
      </c>
      <c r="AH793">
        <v>3</v>
      </c>
      <c r="AI793">
        <v>3</v>
      </c>
      <c r="AJ793">
        <v>33</v>
      </c>
      <c r="AK793">
        <v>65</v>
      </c>
      <c r="AL793" t="s">
        <v>125</v>
      </c>
      <c r="AM793" t="s">
        <v>126</v>
      </c>
      <c r="AN793" t="s">
        <v>127</v>
      </c>
      <c r="AO793" t="s">
        <v>74</v>
      </c>
      <c r="AP793" t="s">
        <v>15418</v>
      </c>
      <c r="AQ793" t="s">
        <v>74</v>
      </c>
      <c r="AR793" t="s">
        <v>15419</v>
      </c>
      <c r="AS793" t="s">
        <v>15420</v>
      </c>
      <c r="AT793" t="s">
        <v>8210</v>
      </c>
      <c r="AU793">
        <v>2023</v>
      </c>
      <c r="AV793">
        <v>21</v>
      </c>
      <c r="AW793">
        <v>2</v>
      </c>
      <c r="AX793" t="s">
        <v>74</v>
      </c>
      <c r="AY793" t="s">
        <v>74</v>
      </c>
      <c r="AZ793" t="s">
        <v>74</v>
      </c>
      <c r="BA793" t="s">
        <v>74</v>
      </c>
      <c r="BB793" t="s">
        <v>74</v>
      </c>
      <c r="BC793" t="s">
        <v>74</v>
      </c>
      <c r="BD793">
        <v>98</v>
      </c>
      <c r="BE793" t="s">
        <v>15421</v>
      </c>
      <c r="BF793" t="str">
        <f>HYPERLINK("http://dx.doi.org/10.3390/md21020098","http://dx.doi.org/10.3390/md21020098")</f>
        <v>http://dx.doi.org/10.3390/md21020098</v>
      </c>
      <c r="BG793" t="s">
        <v>74</v>
      </c>
      <c r="BH793" t="s">
        <v>74</v>
      </c>
      <c r="BI793">
        <v>19</v>
      </c>
      <c r="BJ793" t="s">
        <v>15422</v>
      </c>
      <c r="BK793" t="s">
        <v>103</v>
      </c>
      <c r="BL793" t="s">
        <v>15423</v>
      </c>
      <c r="BM793" t="s">
        <v>15424</v>
      </c>
      <c r="BN793">
        <v>36827139</v>
      </c>
      <c r="BO793" t="s">
        <v>614</v>
      </c>
      <c r="BP793" t="s">
        <v>74</v>
      </c>
      <c r="BQ793" t="s">
        <v>74</v>
      </c>
      <c r="BR793" t="s">
        <v>106</v>
      </c>
      <c r="BS793" t="s">
        <v>15425</v>
      </c>
      <c r="BT793" t="str">
        <f>HYPERLINK("https%3A%2F%2Fwww.webofscience.com%2Fwos%2Fwoscc%2Ffull-record%2FWOS:000941632200001","View Full Record in Web of Science")</f>
        <v>View Full Record in Web of Science</v>
      </c>
    </row>
    <row r="794" spans="1:72" x14ac:dyDescent="0.15">
      <c r="A794" t="s">
        <v>72</v>
      </c>
      <c r="B794" t="s">
        <v>15426</v>
      </c>
      <c r="C794" t="s">
        <v>74</v>
      </c>
      <c r="D794" t="s">
        <v>74</v>
      </c>
      <c r="E794" t="s">
        <v>74</v>
      </c>
      <c r="F794" t="s">
        <v>15427</v>
      </c>
      <c r="G794" t="s">
        <v>74</v>
      </c>
      <c r="H794" t="s">
        <v>74</v>
      </c>
      <c r="I794" t="s">
        <v>15428</v>
      </c>
      <c r="J794" t="s">
        <v>15429</v>
      </c>
      <c r="K794" t="s">
        <v>74</v>
      </c>
      <c r="L794" t="s">
        <v>74</v>
      </c>
      <c r="M794" t="s">
        <v>78</v>
      </c>
      <c r="N794" t="s">
        <v>112</v>
      </c>
      <c r="O794" t="s">
        <v>74</v>
      </c>
      <c r="P794" t="s">
        <v>74</v>
      </c>
      <c r="Q794" t="s">
        <v>74</v>
      </c>
      <c r="R794" t="s">
        <v>74</v>
      </c>
      <c r="S794" t="s">
        <v>74</v>
      </c>
      <c r="T794" t="s">
        <v>15430</v>
      </c>
      <c r="U794" t="s">
        <v>15431</v>
      </c>
      <c r="V794" t="s">
        <v>15432</v>
      </c>
      <c r="W794" t="s">
        <v>15433</v>
      </c>
      <c r="X794" t="s">
        <v>15434</v>
      </c>
      <c r="Y794" t="s">
        <v>15435</v>
      </c>
      <c r="Z794" t="s">
        <v>15436</v>
      </c>
      <c r="AA794" t="s">
        <v>15437</v>
      </c>
      <c r="AB794" t="s">
        <v>15438</v>
      </c>
      <c r="AC794" t="s">
        <v>15439</v>
      </c>
      <c r="AD794" t="s">
        <v>15440</v>
      </c>
      <c r="AE794" t="s">
        <v>15441</v>
      </c>
      <c r="AF794" t="s">
        <v>74</v>
      </c>
      <c r="AG794">
        <v>48</v>
      </c>
      <c r="AH794">
        <v>1</v>
      </c>
      <c r="AI794">
        <v>1</v>
      </c>
      <c r="AJ794">
        <v>3</v>
      </c>
      <c r="AK794">
        <v>5</v>
      </c>
      <c r="AL794" t="s">
        <v>125</v>
      </c>
      <c r="AM794" t="s">
        <v>126</v>
      </c>
      <c r="AN794" t="s">
        <v>127</v>
      </c>
      <c r="AO794" t="s">
        <v>74</v>
      </c>
      <c r="AP794" t="s">
        <v>15442</v>
      </c>
      <c r="AQ794" t="s">
        <v>74</v>
      </c>
      <c r="AR794" t="s">
        <v>15429</v>
      </c>
      <c r="AS794" t="s">
        <v>15443</v>
      </c>
      <c r="AT794" t="s">
        <v>8210</v>
      </c>
      <c r="AU794">
        <v>2023</v>
      </c>
      <c r="AV794">
        <v>9</v>
      </c>
      <c r="AW794">
        <v>2</v>
      </c>
      <c r="AX794" t="s">
        <v>74</v>
      </c>
      <c r="AY794" t="s">
        <v>74</v>
      </c>
      <c r="AZ794" t="s">
        <v>74</v>
      </c>
      <c r="BA794" t="s">
        <v>74</v>
      </c>
      <c r="BB794" t="s">
        <v>74</v>
      </c>
      <c r="BC794" t="s">
        <v>74</v>
      </c>
      <c r="BD794">
        <v>129</v>
      </c>
      <c r="BE794" t="s">
        <v>15444</v>
      </c>
      <c r="BF794" t="str">
        <f>HYPERLINK("http://dx.doi.org/10.3390/fermentation9020129","http://dx.doi.org/10.3390/fermentation9020129")</f>
        <v>http://dx.doi.org/10.3390/fermentation9020129</v>
      </c>
      <c r="BG794" t="s">
        <v>74</v>
      </c>
      <c r="BH794" t="s">
        <v>74</v>
      </c>
      <c r="BI794">
        <v>15</v>
      </c>
      <c r="BJ794" t="s">
        <v>15445</v>
      </c>
      <c r="BK794" t="s">
        <v>103</v>
      </c>
      <c r="BL794" t="s">
        <v>15445</v>
      </c>
      <c r="BM794" t="s">
        <v>15446</v>
      </c>
      <c r="BN794" t="s">
        <v>74</v>
      </c>
      <c r="BO794" t="s">
        <v>359</v>
      </c>
      <c r="BP794" t="s">
        <v>74</v>
      </c>
      <c r="BQ794" t="s">
        <v>74</v>
      </c>
      <c r="BR794" t="s">
        <v>106</v>
      </c>
      <c r="BS794" t="s">
        <v>15447</v>
      </c>
      <c r="BT794" t="str">
        <f>HYPERLINK("https%3A%2F%2Fwww.webofscience.com%2Fwos%2Fwoscc%2Ffull-record%2FWOS:000939140600001","View Full Record in Web of Science")</f>
        <v>View Full Record in Web of Science</v>
      </c>
    </row>
    <row r="795" spans="1:72" x14ac:dyDescent="0.15">
      <c r="A795" t="s">
        <v>72</v>
      </c>
      <c r="B795" t="s">
        <v>15448</v>
      </c>
      <c r="C795" t="s">
        <v>74</v>
      </c>
      <c r="D795" t="s">
        <v>74</v>
      </c>
      <c r="E795" t="s">
        <v>74</v>
      </c>
      <c r="F795" t="s">
        <v>15449</v>
      </c>
      <c r="G795" t="s">
        <v>74</v>
      </c>
      <c r="H795" t="s">
        <v>74</v>
      </c>
      <c r="I795" t="s">
        <v>15450</v>
      </c>
      <c r="J795" t="s">
        <v>111</v>
      </c>
      <c r="K795" t="s">
        <v>74</v>
      </c>
      <c r="L795" t="s">
        <v>74</v>
      </c>
      <c r="M795" t="s">
        <v>78</v>
      </c>
      <c r="N795" t="s">
        <v>112</v>
      </c>
      <c r="O795" t="s">
        <v>74</v>
      </c>
      <c r="P795" t="s">
        <v>74</v>
      </c>
      <c r="Q795" t="s">
        <v>74</v>
      </c>
      <c r="R795" t="s">
        <v>74</v>
      </c>
      <c r="S795" t="s">
        <v>74</v>
      </c>
      <c r="T795" t="s">
        <v>15451</v>
      </c>
      <c r="U795" t="s">
        <v>15452</v>
      </c>
      <c r="V795" t="s">
        <v>15453</v>
      </c>
      <c r="W795" t="s">
        <v>15454</v>
      </c>
      <c r="X795" t="s">
        <v>222</v>
      </c>
      <c r="Y795" t="s">
        <v>15455</v>
      </c>
      <c r="Z795" t="s">
        <v>15456</v>
      </c>
      <c r="AA795" t="s">
        <v>74</v>
      </c>
      <c r="AB795" t="s">
        <v>15457</v>
      </c>
      <c r="AC795" t="s">
        <v>15458</v>
      </c>
      <c r="AD795" t="s">
        <v>15459</v>
      </c>
      <c r="AE795" t="s">
        <v>15460</v>
      </c>
      <c r="AF795" t="s">
        <v>74</v>
      </c>
      <c r="AG795">
        <v>39</v>
      </c>
      <c r="AH795">
        <v>0</v>
      </c>
      <c r="AI795">
        <v>0</v>
      </c>
      <c r="AJ795">
        <v>2</v>
      </c>
      <c r="AK795">
        <v>3</v>
      </c>
      <c r="AL795" t="s">
        <v>125</v>
      </c>
      <c r="AM795" t="s">
        <v>126</v>
      </c>
      <c r="AN795" t="s">
        <v>127</v>
      </c>
      <c r="AO795" t="s">
        <v>74</v>
      </c>
      <c r="AP795" t="s">
        <v>128</v>
      </c>
      <c r="AQ795" t="s">
        <v>74</v>
      </c>
      <c r="AR795" t="s">
        <v>129</v>
      </c>
      <c r="AS795" t="s">
        <v>130</v>
      </c>
      <c r="AT795" t="s">
        <v>8210</v>
      </c>
      <c r="AU795">
        <v>2023</v>
      </c>
      <c r="AV795">
        <v>11</v>
      </c>
      <c r="AW795">
        <v>2</v>
      </c>
      <c r="AX795" t="s">
        <v>74</v>
      </c>
      <c r="AY795" t="s">
        <v>74</v>
      </c>
      <c r="AZ795" t="s">
        <v>74</v>
      </c>
      <c r="BA795" t="s">
        <v>74</v>
      </c>
      <c r="BB795" t="s">
        <v>74</v>
      </c>
      <c r="BC795" t="s">
        <v>74</v>
      </c>
      <c r="BD795">
        <v>254</v>
      </c>
      <c r="BE795" t="s">
        <v>15461</v>
      </c>
      <c r="BF795" t="str">
        <f>HYPERLINK("http://dx.doi.org/10.3390/jmse11020254","http://dx.doi.org/10.3390/jmse11020254")</f>
        <v>http://dx.doi.org/10.3390/jmse11020254</v>
      </c>
      <c r="BG795" t="s">
        <v>74</v>
      </c>
      <c r="BH795" t="s">
        <v>74</v>
      </c>
      <c r="BI795">
        <v>10</v>
      </c>
      <c r="BJ795" t="s">
        <v>133</v>
      </c>
      <c r="BK795" t="s">
        <v>103</v>
      </c>
      <c r="BL795" t="s">
        <v>134</v>
      </c>
      <c r="BM795" t="s">
        <v>15462</v>
      </c>
      <c r="BN795" t="s">
        <v>74</v>
      </c>
      <c r="BO795" t="s">
        <v>359</v>
      </c>
      <c r="BP795" t="s">
        <v>74</v>
      </c>
      <c r="BQ795" t="s">
        <v>74</v>
      </c>
      <c r="BR795" t="s">
        <v>106</v>
      </c>
      <c r="BS795" t="s">
        <v>15463</v>
      </c>
      <c r="BT795" t="str">
        <f>HYPERLINK("https%3A%2F%2Fwww.webofscience.com%2Fwos%2Fwoscc%2Ffull-record%2FWOS:000941217500001","View Full Record in Web of Science")</f>
        <v>View Full Record in Web of Science</v>
      </c>
    </row>
    <row r="796" spans="1:72" x14ac:dyDescent="0.15">
      <c r="A796" t="s">
        <v>72</v>
      </c>
      <c r="B796" t="s">
        <v>15464</v>
      </c>
      <c r="C796" t="s">
        <v>74</v>
      </c>
      <c r="D796" t="s">
        <v>74</v>
      </c>
      <c r="E796" t="s">
        <v>74</v>
      </c>
      <c r="F796" t="s">
        <v>15465</v>
      </c>
      <c r="G796" t="s">
        <v>74</v>
      </c>
      <c r="H796" t="s">
        <v>74</v>
      </c>
      <c r="I796" t="s">
        <v>15466</v>
      </c>
      <c r="J796" t="s">
        <v>15467</v>
      </c>
      <c r="K796" t="s">
        <v>74</v>
      </c>
      <c r="L796" t="s">
        <v>74</v>
      </c>
      <c r="M796" t="s">
        <v>78</v>
      </c>
      <c r="N796" t="s">
        <v>112</v>
      </c>
      <c r="O796" t="s">
        <v>74</v>
      </c>
      <c r="P796" t="s">
        <v>74</v>
      </c>
      <c r="Q796" t="s">
        <v>74</v>
      </c>
      <c r="R796" t="s">
        <v>74</v>
      </c>
      <c r="S796" t="s">
        <v>74</v>
      </c>
      <c r="T796" t="s">
        <v>15468</v>
      </c>
      <c r="U796" t="s">
        <v>15469</v>
      </c>
      <c r="V796" t="s">
        <v>15470</v>
      </c>
      <c r="W796" t="s">
        <v>15471</v>
      </c>
      <c r="X796" t="s">
        <v>15472</v>
      </c>
      <c r="Y796" t="s">
        <v>15473</v>
      </c>
      <c r="Z796" t="s">
        <v>15474</v>
      </c>
      <c r="AA796" t="s">
        <v>15475</v>
      </c>
      <c r="AB796" t="s">
        <v>15476</v>
      </c>
      <c r="AC796" t="s">
        <v>15477</v>
      </c>
      <c r="AD796" t="s">
        <v>15478</v>
      </c>
      <c r="AE796" t="s">
        <v>15479</v>
      </c>
      <c r="AF796" t="s">
        <v>74</v>
      </c>
      <c r="AG796">
        <v>72</v>
      </c>
      <c r="AH796">
        <v>1</v>
      </c>
      <c r="AI796">
        <v>1</v>
      </c>
      <c r="AJ796">
        <v>4</v>
      </c>
      <c r="AK796">
        <v>6</v>
      </c>
      <c r="AL796" t="s">
        <v>125</v>
      </c>
      <c r="AM796" t="s">
        <v>126</v>
      </c>
      <c r="AN796" t="s">
        <v>127</v>
      </c>
      <c r="AO796" t="s">
        <v>74</v>
      </c>
      <c r="AP796" t="s">
        <v>15480</v>
      </c>
      <c r="AQ796" t="s">
        <v>74</v>
      </c>
      <c r="AR796" t="s">
        <v>15481</v>
      </c>
      <c r="AS796" t="s">
        <v>15482</v>
      </c>
      <c r="AT796" t="s">
        <v>8210</v>
      </c>
      <c r="AU796">
        <v>2023</v>
      </c>
      <c r="AV796">
        <v>12</v>
      </c>
      <c r="AW796">
        <v>2</v>
      </c>
      <c r="AX796" t="s">
        <v>74</v>
      </c>
      <c r="AY796" t="s">
        <v>74</v>
      </c>
      <c r="AZ796" t="s">
        <v>74</v>
      </c>
      <c r="BA796" t="s">
        <v>74</v>
      </c>
      <c r="BB796" t="s">
        <v>74</v>
      </c>
      <c r="BC796" t="s">
        <v>74</v>
      </c>
      <c r="BD796">
        <v>324</v>
      </c>
      <c r="BE796" t="s">
        <v>15483</v>
      </c>
      <c r="BF796" t="str">
        <f>HYPERLINK("http://dx.doi.org/10.3390/land12020324","http://dx.doi.org/10.3390/land12020324")</f>
        <v>http://dx.doi.org/10.3390/land12020324</v>
      </c>
      <c r="BG796" t="s">
        <v>74</v>
      </c>
      <c r="BH796" t="s">
        <v>74</v>
      </c>
      <c r="BI796">
        <v>23</v>
      </c>
      <c r="BJ796" t="s">
        <v>15484</v>
      </c>
      <c r="BK796" t="s">
        <v>1440</v>
      </c>
      <c r="BL796" t="s">
        <v>1164</v>
      </c>
      <c r="BM796" t="s">
        <v>15485</v>
      </c>
      <c r="BN796" t="s">
        <v>74</v>
      </c>
      <c r="BO796" t="s">
        <v>359</v>
      </c>
      <c r="BP796" t="s">
        <v>74</v>
      </c>
      <c r="BQ796" t="s">
        <v>74</v>
      </c>
      <c r="BR796" t="s">
        <v>106</v>
      </c>
      <c r="BS796" t="s">
        <v>15486</v>
      </c>
      <c r="BT796" t="str">
        <f>HYPERLINK("https%3A%2F%2Fwww.webofscience.com%2Fwos%2Fwoscc%2Ffull-record%2FWOS:000941255100001","View Full Record in Web of Science")</f>
        <v>View Full Record in Web of Science</v>
      </c>
    </row>
    <row r="797" spans="1:72" x14ac:dyDescent="0.15">
      <c r="A797" t="s">
        <v>72</v>
      </c>
      <c r="B797" t="s">
        <v>15487</v>
      </c>
      <c r="C797" t="s">
        <v>74</v>
      </c>
      <c r="D797" t="s">
        <v>74</v>
      </c>
      <c r="E797" t="s">
        <v>74</v>
      </c>
      <c r="F797" t="s">
        <v>15488</v>
      </c>
      <c r="G797" t="s">
        <v>74</v>
      </c>
      <c r="H797" t="s">
        <v>74</v>
      </c>
      <c r="I797" t="s">
        <v>15489</v>
      </c>
      <c r="J797" t="s">
        <v>15406</v>
      </c>
      <c r="K797" t="s">
        <v>74</v>
      </c>
      <c r="L797" t="s">
        <v>74</v>
      </c>
      <c r="M797" t="s">
        <v>78</v>
      </c>
      <c r="N797" t="s">
        <v>112</v>
      </c>
      <c r="O797" t="s">
        <v>74</v>
      </c>
      <c r="P797" t="s">
        <v>74</v>
      </c>
      <c r="Q797" t="s">
        <v>74</v>
      </c>
      <c r="R797" t="s">
        <v>74</v>
      </c>
      <c r="S797" t="s">
        <v>74</v>
      </c>
      <c r="T797" t="s">
        <v>15490</v>
      </c>
      <c r="U797" t="s">
        <v>74</v>
      </c>
      <c r="V797" t="s">
        <v>15491</v>
      </c>
      <c r="W797" t="s">
        <v>15492</v>
      </c>
      <c r="X797" t="s">
        <v>15493</v>
      </c>
      <c r="Y797" t="s">
        <v>15494</v>
      </c>
      <c r="Z797" t="s">
        <v>15495</v>
      </c>
      <c r="AA797" t="s">
        <v>74</v>
      </c>
      <c r="AB797" t="s">
        <v>15496</v>
      </c>
      <c r="AC797" t="s">
        <v>15497</v>
      </c>
      <c r="AD797" t="s">
        <v>15498</v>
      </c>
      <c r="AE797" t="s">
        <v>15499</v>
      </c>
      <c r="AF797" t="s">
        <v>74</v>
      </c>
      <c r="AG797">
        <v>22</v>
      </c>
      <c r="AH797">
        <v>0</v>
      </c>
      <c r="AI797">
        <v>0</v>
      </c>
      <c r="AJ797">
        <v>2</v>
      </c>
      <c r="AK797">
        <v>3</v>
      </c>
      <c r="AL797" t="s">
        <v>125</v>
      </c>
      <c r="AM797" t="s">
        <v>126</v>
      </c>
      <c r="AN797" t="s">
        <v>127</v>
      </c>
      <c r="AO797" t="s">
        <v>74</v>
      </c>
      <c r="AP797" t="s">
        <v>15418</v>
      </c>
      <c r="AQ797" t="s">
        <v>74</v>
      </c>
      <c r="AR797" t="s">
        <v>15419</v>
      </c>
      <c r="AS797" t="s">
        <v>15420</v>
      </c>
      <c r="AT797" t="s">
        <v>8210</v>
      </c>
      <c r="AU797">
        <v>2023</v>
      </c>
      <c r="AV797">
        <v>21</v>
      </c>
      <c r="AW797">
        <v>2</v>
      </c>
      <c r="AX797" t="s">
        <v>74</v>
      </c>
      <c r="AY797" t="s">
        <v>74</v>
      </c>
      <c r="AZ797" t="s">
        <v>74</v>
      </c>
      <c r="BA797" t="s">
        <v>74</v>
      </c>
      <c r="BB797" t="s">
        <v>74</v>
      </c>
      <c r="BC797" t="s">
        <v>74</v>
      </c>
      <c r="BD797">
        <v>107</v>
      </c>
      <c r="BE797" t="s">
        <v>15500</v>
      </c>
      <c r="BF797" t="str">
        <f>HYPERLINK("http://dx.doi.org/10.3390/md21020107","http://dx.doi.org/10.3390/md21020107")</f>
        <v>http://dx.doi.org/10.3390/md21020107</v>
      </c>
      <c r="BG797" t="s">
        <v>74</v>
      </c>
      <c r="BH797" t="s">
        <v>74</v>
      </c>
      <c r="BI797">
        <v>14</v>
      </c>
      <c r="BJ797" t="s">
        <v>15422</v>
      </c>
      <c r="BK797" t="s">
        <v>103</v>
      </c>
      <c r="BL797" t="s">
        <v>15423</v>
      </c>
      <c r="BM797" t="s">
        <v>15501</v>
      </c>
      <c r="BN797">
        <v>36827148</v>
      </c>
      <c r="BO797" t="s">
        <v>136</v>
      </c>
      <c r="BP797" t="s">
        <v>74</v>
      </c>
      <c r="BQ797" t="s">
        <v>74</v>
      </c>
      <c r="BR797" t="s">
        <v>106</v>
      </c>
      <c r="BS797" t="s">
        <v>15502</v>
      </c>
      <c r="BT797" t="str">
        <f>HYPERLINK("https%3A%2F%2Fwww.webofscience.com%2Fwos%2Fwoscc%2Ffull-record%2FWOS:000941554300001","View Full Record in Web of Science")</f>
        <v>View Full Record in Web of Science</v>
      </c>
    </row>
    <row r="798" spans="1:72" x14ac:dyDescent="0.15">
      <c r="A798" t="s">
        <v>72</v>
      </c>
      <c r="B798" t="s">
        <v>15503</v>
      </c>
      <c r="C798" t="s">
        <v>74</v>
      </c>
      <c r="D798" t="s">
        <v>74</v>
      </c>
      <c r="E798" t="s">
        <v>74</v>
      </c>
      <c r="F798" t="s">
        <v>15504</v>
      </c>
      <c r="G798" t="s">
        <v>74</v>
      </c>
      <c r="H798" t="s">
        <v>74</v>
      </c>
      <c r="I798" t="s">
        <v>15505</v>
      </c>
      <c r="J798" t="s">
        <v>15506</v>
      </c>
      <c r="K798" t="s">
        <v>74</v>
      </c>
      <c r="L798" t="s">
        <v>74</v>
      </c>
      <c r="M798" t="s">
        <v>78</v>
      </c>
      <c r="N798" t="s">
        <v>112</v>
      </c>
      <c r="O798" t="s">
        <v>74</v>
      </c>
      <c r="P798" t="s">
        <v>74</v>
      </c>
      <c r="Q798" t="s">
        <v>74</v>
      </c>
      <c r="R798" t="s">
        <v>74</v>
      </c>
      <c r="S798" t="s">
        <v>74</v>
      </c>
      <c r="T798" t="s">
        <v>15507</v>
      </c>
      <c r="U798" t="s">
        <v>15508</v>
      </c>
      <c r="V798" t="s">
        <v>15509</v>
      </c>
      <c r="W798" t="s">
        <v>15510</v>
      </c>
      <c r="X798" t="s">
        <v>15511</v>
      </c>
      <c r="Y798" t="s">
        <v>15512</v>
      </c>
      <c r="Z798" t="s">
        <v>15513</v>
      </c>
      <c r="AA798" t="s">
        <v>15514</v>
      </c>
      <c r="AB798" t="s">
        <v>15515</v>
      </c>
      <c r="AC798" t="s">
        <v>74</v>
      </c>
      <c r="AD798" t="s">
        <v>74</v>
      </c>
      <c r="AE798" t="s">
        <v>74</v>
      </c>
      <c r="AF798" t="s">
        <v>74</v>
      </c>
      <c r="AG798">
        <v>137</v>
      </c>
      <c r="AH798">
        <v>1</v>
      </c>
      <c r="AI798">
        <v>1</v>
      </c>
      <c r="AJ798">
        <v>6</v>
      </c>
      <c r="AK798">
        <v>19</v>
      </c>
      <c r="AL798" t="s">
        <v>125</v>
      </c>
      <c r="AM798" t="s">
        <v>126</v>
      </c>
      <c r="AN798" t="s">
        <v>127</v>
      </c>
      <c r="AO798" t="s">
        <v>74</v>
      </c>
      <c r="AP798" t="s">
        <v>15516</v>
      </c>
      <c r="AQ798" t="s">
        <v>74</v>
      </c>
      <c r="AR798" t="s">
        <v>15517</v>
      </c>
      <c r="AS798" t="s">
        <v>15518</v>
      </c>
      <c r="AT798" t="s">
        <v>8210</v>
      </c>
      <c r="AU798">
        <v>2023</v>
      </c>
      <c r="AV798">
        <v>13</v>
      </c>
      <c r="AW798">
        <v>2</v>
      </c>
      <c r="AX798" t="s">
        <v>74</v>
      </c>
      <c r="AY798" t="s">
        <v>74</v>
      </c>
      <c r="AZ798" t="s">
        <v>74</v>
      </c>
      <c r="BA798" t="s">
        <v>74</v>
      </c>
      <c r="BB798" t="s">
        <v>74</v>
      </c>
      <c r="BC798" t="s">
        <v>74</v>
      </c>
      <c r="BD798">
        <v>290</v>
      </c>
      <c r="BE798" t="s">
        <v>15519</v>
      </c>
      <c r="BF798" t="str">
        <f>HYPERLINK("http://dx.doi.org/10.3390/min13020290","http://dx.doi.org/10.3390/min13020290")</f>
        <v>http://dx.doi.org/10.3390/min13020290</v>
      </c>
      <c r="BG798" t="s">
        <v>74</v>
      </c>
      <c r="BH798" t="s">
        <v>74</v>
      </c>
      <c r="BI798">
        <v>20</v>
      </c>
      <c r="BJ798" t="s">
        <v>15520</v>
      </c>
      <c r="BK798" t="s">
        <v>103</v>
      </c>
      <c r="BL798" t="s">
        <v>15520</v>
      </c>
      <c r="BM798" t="s">
        <v>15521</v>
      </c>
      <c r="BN798" t="s">
        <v>74</v>
      </c>
      <c r="BO798" t="s">
        <v>614</v>
      </c>
      <c r="BP798" t="s">
        <v>74</v>
      </c>
      <c r="BQ798" t="s">
        <v>74</v>
      </c>
      <c r="BR798" t="s">
        <v>106</v>
      </c>
      <c r="BS798" t="s">
        <v>15522</v>
      </c>
      <c r="BT798" t="str">
        <f>HYPERLINK("https%3A%2F%2Fwww.webofscience.com%2Fwos%2Fwoscc%2Ffull-record%2FWOS:000941011900001","View Full Record in Web of Science")</f>
        <v>View Full Record in Web of Science</v>
      </c>
    </row>
    <row r="799" spans="1:72" x14ac:dyDescent="0.15">
      <c r="A799" t="s">
        <v>72</v>
      </c>
      <c r="B799" t="s">
        <v>15523</v>
      </c>
      <c r="C799" t="s">
        <v>74</v>
      </c>
      <c r="D799" t="s">
        <v>74</v>
      </c>
      <c r="E799" t="s">
        <v>74</v>
      </c>
      <c r="F799" t="s">
        <v>15524</v>
      </c>
      <c r="G799" t="s">
        <v>74</v>
      </c>
      <c r="H799" t="s">
        <v>74</v>
      </c>
      <c r="I799" t="s">
        <v>15525</v>
      </c>
      <c r="J799" t="s">
        <v>15506</v>
      </c>
      <c r="K799" t="s">
        <v>74</v>
      </c>
      <c r="L799" t="s">
        <v>74</v>
      </c>
      <c r="M799" t="s">
        <v>78</v>
      </c>
      <c r="N799" t="s">
        <v>112</v>
      </c>
      <c r="O799" t="s">
        <v>74</v>
      </c>
      <c r="P799" t="s">
        <v>74</v>
      </c>
      <c r="Q799" t="s">
        <v>74</v>
      </c>
      <c r="R799" t="s">
        <v>74</v>
      </c>
      <c r="S799" t="s">
        <v>74</v>
      </c>
      <c r="T799" t="s">
        <v>15526</v>
      </c>
      <c r="U799" t="s">
        <v>15527</v>
      </c>
      <c r="V799" t="s">
        <v>15528</v>
      </c>
      <c r="W799" t="s">
        <v>15529</v>
      </c>
      <c r="X799" t="s">
        <v>15530</v>
      </c>
      <c r="Y799" t="s">
        <v>15531</v>
      </c>
      <c r="Z799" t="s">
        <v>15532</v>
      </c>
      <c r="AA799" t="s">
        <v>15533</v>
      </c>
      <c r="AB799" t="s">
        <v>15534</v>
      </c>
      <c r="AC799" t="s">
        <v>74</v>
      </c>
      <c r="AD799" t="s">
        <v>74</v>
      </c>
      <c r="AE799" t="s">
        <v>74</v>
      </c>
      <c r="AF799" t="s">
        <v>74</v>
      </c>
      <c r="AG799">
        <v>95</v>
      </c>
      <c r="AH799">
        <v>0</v>
      </c>
      <c r="AI799">
        <v>0</v>
      </c>
      <c r="AJ799">
        <v>2</v>
      </c>
      <c r="AK799">
        <v>7</v>
      </c>
      <c r="AL799" t="s">
        <v>125</v>
      </c>
      <c r="AM799" t="s">
        <v>126</v>
      </c>
      <c r="AN799" t="s">
        <v>127</v>
      </c>
      <c r="AO799" t="s">
        <v>74</v>
      </c>
      <c r="AP799" t="s">
        <v>15516</v>
      </c>
      <c r="AQ799" t="s">
        <v>74</v>
      </c>
      <c r="AR799" t="s">
        <v>15517</v>
      </c>
      <c r="AS799" t="s">
        <v>15518</v>
      </c>
      <c r="AT799" t="s">
        <v>8210</v>
      </c>
      <c r="AU799">
        <v>2023</v>
      </c>
      <c r="AV799">
        <v>13</v>
      </c>
      <c r="AW799">
        <v>2</v>
      </c>
      <c r="AX799" t="s">
        <v>74</v>
      </c>
      <c r="AY799" t="s">
        <v>74</v>
      </c>
      <c r="AZ799" t="s">
        <v>74</v>
      </c>
      <c r="BA799" t="s">
        <v>74</v>
      </c>
      <c r="BB799" t="s">
        <v>74</v>
      </c>
      <c r="BC799" t="s">
        <v>74</v>
      </c>
      <c r="BD799">
        <v>246</v>
      </c>
      <c r="BE799" t="s">
        <v>15535</v>
      </c>
      <c r="BF799" t="str">
        <f>HYPERLINK("http://dx.doi.org/10.3390/min13020246","http://dx.doi.org/10.3390/min13020246")</f>
        <v>http://dx.doi.org/10.3390/min13020246</v>
      </c>
      <c r="BG799" t="s">
        <v>74</v>
      </c>
      <c r="BH799" t="s">
        <v>74</v>
      </c>
      <c r="BI799">
        <v>26</v>
      </c>
      <c r="BJ799" t="s">
        <v>15520</v>
      </c>
      <c r="BK799" t="s">
        <v>103</v>
      </c>
      <c r="BL799" t="s">
        <v>15520</v>
      </c>
      <c r="BM799" t="s">
        <v>15536</v>
      </c>
      <c r="BN799" t="s">
        <v>74</v>
      </c>
      <c r="BO799" t="s">
        <v>8374</v>
      </c>
      <c r="BP799" t="s">
        <v>74</v>
      </c>
      <c r="BQ799" t="s">
        <v>74</v>
      </c>
      <c r="BR799" t="s">
        <v>106</v>
      </c>
      <c r="BS799" t="s">
        <v>15537</v>
      </c>
      <c r="BT799" t="str">
        <f>HYPERLINK("https%3A%2F%2Fwww.webofscience.com%2Fwos%2Fwoscc%2Ffull-record%2FWOS:000939957200001","View Full Record in Web of Science")</f>
        <v>View Full Record in Web of Science</v>
      </c>
    </row>
    <row r="800" spans="1:72" x14ac:dyDescent="0.15">
      <c r="A800" t="s">
        <v>72</v>
      </c>
      <c r="B800" t="s">
        <v>15538</v>
      </c>
      <c r="C800" t="s">
        <v>74</v>
      </c>
      <c r="D800" t="s">
        <v>74</v>
      </c>
      <c r="E800" t="s">
        <v>74</v>
      </c>
      <c r="F800" t="s">
        <v>15539</v>
      </c>
      <c r="G800" t="s">
        <v>74</v>
      </c>
      <c r="H800" t="s">
        <v>74</v>
      </c>
      <c r="I800" t="s">
        <v>15540</v>
      </c>
      <c r="J800" t="s">
        <v>15541</v>
      </c>
      <c r="K800" t="s">
        <v>74</v>
      </c>
      <c r="L800" t="s">
        <v>74</v>
      </c>
      <c r="M800" t="s">
        <v>78</v>
      </c>
      <c r="N800" t="s">
        <v>112</v>
      </c>
      <c r="O800" t="s">
        <v>74</v>
      </c>
      <c r="P800" t="s">
        <v>74</v>
      </c>
      <c r="Q800" t="s">
        <v>74</v>
      </c>
      <c r="R800" t="s">
        <v>74</v>
      </c>
      <c r="S800" t="s">
        <v>74</v>
      </c>
      <c r="T800" t="s">
        <v>15542</v>
      </c>
      <c r="U800" t="s">
        <v>15543</v>
      </c>
      <c r="V800" t="s">
        <v>15544</v>
      </c>
      <c r="W800" t="s">
        <v>15545</v>
      </c>
      <c r="X800" t="s">
        <v>15546</v>
      </c>
      <c r="Y800" t="s">
        <v>15547</v>
      </c>
      <c r="Z800" t="s">
        <v>15548</v>
      </c>
      <c r="AA800" t="s">
        <v>15549</v>
      </c>
      <c r="AB800" t="s">
        <v>15550</v>
      </c>
      <c r="AC800" t="s">
        <v>74</v>
      </c>
      <c r="AD800" t="s">
        <v>74</v>
      </c>
      <c r="AE800" t="s">
        <v>74</v>
      </c>
      <c r="AF800" t="s">
        <v>74</v>
      </c>
      <c r="AG800">
        <v>40</v>
      </c>
      <c r="AH800">
        <v>0</v>
      </c>
      <c r="AI800">
        <v>0</v>
      </c>
      <c r="AJ800">
        <v>3</v>
      </c>
      <c r="AK800">
        <v>11</v>
      </c>
      <c r="AL800" t="s">
        <v>125</v>
      </c>
      <c r="AM800" t="s">
        <v>126</v>
      </c>
      <c r="AN800" t="s">
        <v>127</v>
      </c>
      <c r="AO800" t="s">
        <v>74</v>
      </c>
      <c r="AP800" t="s">
        <v>15551</v>
      </c>
      <c r="AQ800" t="s">
        <v>74</v>
      </c>
      <c r="AR800" t="s">
        <v>15552</v>
      </c>
      <c r="AS800" t="s">
        <v>15553</v>
      </c>
      <c r="AT800" t="s">
        <v>8210</v>
      </c>
      <c r="AU800">
        <v>2023</v>
      </c>
      <c r="AV800">
        <v>10</v>
      </c>
      <c r="AW800">
        <v>2</v>
      </c>
      <c r="AX800" t="s">
        <v>74</v>
      </c>
      <c r="AY800" t="s">
        <v>74</v>
      </c>
      <c r="AZ800" t="s">
        <v>74</v>
      </c>
      <c r="BA800" t="s">
        <v>74</v>
      </c>
      <c r="BB800" t="s">
        <v>74</v>
      </c>
      <c r="BC800" t="s">
        <v>74</v>
      </c>
      <c r="BD800">
        <v>162</v>
      </c>
      <c r="BE800" t="s">
        <v>15554</v>
      </c>
      <c r="BF800" t="str">
        <f>HYPERLINK("http://dx.doi.org/10.3390/vetsci10020162","http://dx.doi.org/10.3390/vetsci10020162")</f>
        <v>http://dx.doi.org/10.3390/vetsci10020162</v>
      </c>
      <c r="BG800" t="s">
        <v>74</v>
      </c>
      <c r="BH800" t="s">
        <v>74</v>
      </c>
      <c r="BI800">
        <v>10</v>
      </c>
      <c r="BJ800" t="s">
        <v>15555</v>
      </c>
      <c r="BK800" t="s">
        <v>103</v>
      </c>
      <c r="BL800" t="s">
        <v>15555</v>
      </c>
      <c r="BM800" t="s">
        <v>15556</v>
      </c>
      <c r="BN800">
        <v>36851466</v>
      </c>
      <c r="BO800" t="s">
        <v>136</v>
      </c>
      <c r="BP800" t="s">
        <v>74</v>
      </c>
      <c r="BQ800" t="s">
        <v>74</v>
      </c>
      <c r="BR800" t="s">
        <v>106</v>
      </c>
      <c r="BS800" t="s">
        <v>15557</v>
      </c>
      <c r="BT800" t="str">
        <f>HYPERLINK("https%3A%2F%2Fwww.webofscience.com%2Fwos%2Fwoscc%2Ffull-record%2FWOS:000941987700001","View Full Record in Web of Science")</f>
        <v>View Full Record in Web of Science</v>
      </c>
    </row>
    <row r="801" spans="1:72" x14ac:dyDescent="0.15">
      <c r="A801" t="s">
        <v>72</v>
      </c>
      <c r="B801" t="s">
        <v>15558</v>
      </c>
      <c r="C801" t="s">
        <v>74</v>
      </c>
      <c r="D801" t="s">
        <v>74</v>
      </c>
      <c r="E801" t="s">
        <v>74</v>
      </c>
      <c r="F801" t="s">
        <v>15559</v>
      </c>
      <c r="G801" t="s">
        <v>74</v>
      </c>
      <c r="H801" t="s">
        <v>74</v>
      </c>
      <c r="I801" t="s">
        <v>15560</v>
      </c>
      <c r="J801" t="s">
        <v>933</v>
      </c>
      <c r="K801" t="s">
        <v>74</v>
      </c>
      <c r="L801" t="s">
        <v>74</v>
      </c>
      <c r="M801" t="s">
        <v>78</v>
      </c>
      <c r="N801" t="s">
        <v>112</v>
      </c>
      <c r="O801" t="s">
        <v>74</v>
      </c>
      <c r="P801" t="s">
        <v>74</v>
      </c>
      <c r="Q801" t="s">
        <v>74</v>
      </c>
      <c r="R801" t="s">
        <v>74</v>
      </c>
      <c r="S801" t="s">
        <v>74</v>
      </c>
      <c r="T801" t="s">
        <v>15561</v>
      </c>
      <c r="U801" t="s">
        <v>15562</v>
      </c>
      <c r="V801" t="s">
        <v>15563</v>
      </c>
      <c r="W801" t="s">
        <v>15564</v>
      </c>
      <c r="X801" t="s">
        <v>15565</v>
      </c>
      <c r="Y801" t="s">
        <v>15566</v>
      </c>
      <c r="Z801" t="s">
        <v>15567</v>
      </c>
      <c r="AA801" t="s">
        <v>15568</v>
      </c>
      <c r="AB801" t="s">
        <v>15569</v>
      </c>
      <c r="AC801" t="s">
        <v>15570</v>
      </c>
      <c r="AD801" t="s">
        <v>15571</v>
      </c>
      <c r="AE801" t="s">
        <v>15572</v>
      </c>
      <c r="AF801" t="s">
        <v>74</v>
      </c>
      <c r="AG801">
        <v>59</v>
      </c>
      <c r="AH801">
        <v>2</v>
      </c>
      <c r="AI801">
        <v>2</v>
      </c>
      <c r="AJ801">
        <v>0</v>
      </c>
      <c r="AK801">
        <v>0</v>
      </c>
      <c r="AL801" t="s">
        <v>125</v>
      </c>
      <c r="AM801" t="s">
        <v>126</v>
      </c>
      <c r="AN801" t="s">
        <v>127</v>
      </c>
      <c r="AO801" t="s">
        <v>74</v>
      </c>
      <c r="AP801" t="s">
        <v>946</v>
      </c>
      <c r="AQ801" t="s">
        <v>74</v>
      </c>
      <c r="AR801" t="s">
        <v>947</v>
      </c>
      <c r="AS801" t="s">
        <v>948</v>
      </c>
      <c r="AT801" t="s">
        <v>8210</v>
      </c>
      <c r="AU801">
        <v>2023</v>
      </c>
      <c r="AV801">
        <v>14</v>
      </c>
      <c r="AW801">
        <v>2</v>
      </c>
      <c r="AX801" t="s">
        <v>74</v>
      </c>
      <c r="AY801" t="s">
        <v>74</v>
      </c>
      <c r="AZ801" t="s">
        <v>74</v>
      </c>
      <c r="BA801" t="s">
        <v>74</v>
      </c>
      <c r="BB801" t="s">
        <v>74</v>
      </c>
      <c r="BC801" t="s">
        <v>74</v>
      </c>
      <c r="BD801">
        <v>226</v>
      </c>
      <c r="BE801" t="s">
        <v>15573</v>
      </c>
      <c r="BF801" t="str">
        <f>HYPERLINK("http://dx.doi.org/10.3390/atmos14020226","http://dx.doi.org/10.3390/atmos14020226")</f>
        <v>http://dx.doi.org/10.3390/atmos14020226</v>
      </c>
      <c r="BG801" t="s">
        <v>74</v>
      </c>
      <c r="BH801" t="s">
        <v>74</v>
      </c>
      <c r="BI801">
        <v>19</v>
      </c>
      <c r="BJ801" t="s">
        <v>356</v>
      </c>
      <c r="BK801" t="s">
        <v>103</v>
      </c>
      <c r="BL801" t="s">
        <v>357</v>
      </c>
      <c r="BM801" t="s">
        <v>15574</v>
      </c>
      <c r="BN801" t="s">
        <v>74</v>
      </c>
      <c r="BO801" t="s">
        <v>359</v>
      </c>
      <c r="BP801" t="s">
        <v>74</v>
      </c>
      <c r="BQ801" t="s">
        <v>74</v>
      </c>
      <c r="BR801" t="s">
        <v>106</v>
      </c>
      <c r="BS801" t="s">
        <v>15575</v>
      </c>
      <c r="BT801" t="str">
        <f>HYPERLINK("https%3A%2F%2Fwww.webofscience.com%2Fwos%2Fwoscc%2Ffull-record%2FWOS:000938785800001","View Full Record in Web of Science")</f>
        <v>View Full Record in Web of Science</v>
      </c>
    </row>
    <row r="802" spans="1:72" x14ac:dyDescent="0.15">
      <c r="A802" t="s">
        <v>72</v>
      </c>
      <c r="B802" t="s">
        <v>15576</v>
      </c>
      <c r="C802" t="s">
        <v>74</v>
      </c>
      <c r="D802" t="s">
        <v>74</v>
      </c>
      <c r="E802" t="s">
        <v>74</v>
      </c>
      <c r="F802" t="s">
        <v>15577</v>
      </c>
      <c r="G802" t="s">
        <v>74</v>
      </c>
      <c r="H802" t="s">
        <v>74</v>
      </c>
      <c r="I802" t="s">
        <v>15578</v>
      </c>
      <c r="J802" t="s">
        <v>15579</v>
      </c>
      <c r="K802" t="s">
        <v>74</v>
      </c>
      <c r="L802" t="s">
        <v>74</v>
      </c>
      <c r="M802" t="s">
        <v>78</v>
      </c>
      <c r="N802" t="s">
        <v>112</v>
      </c>
      <c r="O802" t="s">
        <v>74</v>
      </c>
      <c r="P802" t="s">
        <v>74</v>
      </c>
      <c r="Q802" t="s">
        <v>74</v>
      </c>
      <c r="R802" t="s">
        <v>74</v>
      </c>
      <c r="S802" t="s">
        <v>74</v>
      </c>
      <c r="T802" t="s">
        <v>15580</v>
      </c>
      <c r="U802" t="s">
        <v>15581</v>
      </c>
      <c r="V802" t="s">
        <v>15582</v>
      </c>
      <c r="W802" t="s">
        <v>15583</v>
      </c>
      <c r="X802" t="s">
        <v>15584</v>
      </c>
      <c r="Y802" t="s">
        <v>15585</v>
      </c>
      <c r="Z802" t="s">
        <v>15586</v>
      </c>
      <c r="AA802" t="s">
        <v>15587</v>
      </c>
      <c r="AB802" t="s">
        <v>15588</v>
      </c>
      <c r="AC802" t="s">
        <v>15589</v>
      </c>
      <c r="AD802" t="s">
        <v>15590</v>
      </c>
      <c r="AE802" t="s">
        <v>15591</v>
      </c>
      <c r="AF802" t="s">
        <v>74</v>
      </c>
      <c r="AG802">
        <v>79</v>
      </c>
      <c r="AH802">
        <v>1</v>
      </c>
      <c r="AI802">
        <v>1</v>
      </c>
      <c r="AJ802">
        <v>2</v>
      </c>
      <c r="AK802">
        <v>10</v>
      </c>
      <c r="AL802" t="s">
        <v>125</v>
      </c>
      <c r="AM802" t="s">
        <v>126</v>
      </c>
      <c r="AN802" t="s">
        <v>127</v>
      </c>
      <c r="AO802" t="s">
        <v>74</v>
      </c>
      <c r="AP802" t="s">
        <v>15592</v>
      </c>
      <c r="AQ802" t="s">
        <v>74</v>
      </c>
      <c r="AR802" t="s">
        <v>15579</v>
      </c>
      <c r="AS802" t="s">
        <v>15593</v>
      </c>
      <c r="AT802" t="s">
        <v>8210</v>
      </c>
      <c r="AU802">
        <v>2023</v>
      </c>
      <c r="AV802">
        <v>14</v>
      </c>
      <c r="AW802">
        <v>2</v>
      </c>
      <c r="AX802" t="s">
        <v>74</v>
      </c>
      <c r="AY802" t="s">
        <v>74</v>
      </c>
      <c r="AZ802" t="s">
        <v>74</v>
      </c>
      <c r="BA802" t="s">
        <v>74</v>
      </c>
      <c r="BB802" t="s">
        <v>74</v>
      </c>
      <c r="BC802" t="s">
        <v>74</v>
      </c>
      <c r="BD802">
        <v>123</v>
      </c>
      <c r="BE802" t="s">
        <v>15594</v>
      </c>
      <c r="BF802" t="str">
        <f>HYPERLINK("http://dx.doi.org/10.3390/insects14020123","http://dx.doi.org/10.3390/insects14020123")</f>
        <v>http://dx.doi.org/10.3390/insects14020123</v>
      </c>
      <c r="BG802" t="s">
        <v>74</v>
      </c>
      <c r="BH802" t="s">
        <v>74</v>
      </c>
      <c r="BI802">
        <v>22</v>
      </c>
      <c r="BJ802" t="s">
        <v>10416</v>
      </c>
      <c r="BK802" t="s">
        <v>103</v>
      </c>
      <c r="BL802" t="s">
        <v>10416</v>
      </c>
      <c r="BM802" t="s">
        <v>15595</v>
      </c>
      <c r="BN802">
        <v>36835692</v>
      </c>
      <c r="BO802" t="s">
        <v>136</v>
      </c>
      <c r="BP802" t="s">
        <v>74</v>
      </c>
      <c r="BQ802" t="s">
        <v>74</v>
      </c>
      <c r="BR802" t="s">
        <v>106</v>
      </c>
      <c r="BS802" t="s">
        <v>15596</v>
      </c>
      <c r="BT802" t="str">
        <f>HYPERLINK("https%3A%2F%2Fwww.webofscience.com%2Fwos%2Fwoscc%2Ffull-record%2FWOS:000939032400001","View Full Record in Web of Science")</f>
        <v>View Full Record in Web of Science</v>
      </c>
    </row>
    <row r="803" spans="1:72" x14ac:dyDescent="0.15">
      <c r="A803" t="s">
        <v>72</v>
      </c>
      <c r="B803" t="s">
        <v>15597</v>
      </c>
      <c r="C803" t="s">
        <v>74</v>
      </c>
      <c r="D803" t="s">
        <v>74</v>
      </c>
      <c r="E803" t="s">
        <v>74</v>
      </c>
      <c r="F803" t="s">
        <v>15598</v>
      </c>
      <c r="G803" t="s">
        <v>74</v>
      </c>
      <c r="H803" t="s">
        <v>74</v>
      </c>
      <c r="I803" t="s">
        <v>15599</v>
      </c>
      <c r="J803" t="s">
        <v>15406</v>
      </c>
      <c r="K803" t="s">
        <v>74</v>
      </c>
      <c r="L803" t="s">
        <v>74</v>
      </c>
      <c r="M803" t="s">
        <v>78</v>
      </c>
      <c r="N803" t="s">
        <v>112</v>
      </c>
      <c r="O803" t="s">
        <v>74</v>
      </c>
      <c r="P803" t="s">
        <v>74</v>
      </c>
      <c r="Q803" t="s">
        <v>74</v>
      </c>
      <c r="R803" t="s">
        <v>74</v>
      </c>
      <c r="S803" t="s">
        <v>74</v>
      </c>
      <c r="T803" t="s">
        <v>15600</v>
      </c>
      <c r="U803" t="s">
        <v>15601</v>
      </c>
      <c r="V803" t="s">
        <v>15602</v>
      </c>
      <c r="W803" t="s">
        <v>15603</v>
      </c>
      <c r="X803" t="s">
        <v>15604</v>
      </c>
      <c r="Y803" t="s">
        <v>15605</v>
      </c>
      <c r="Z803" t="s">
        <v>15606</v>
      </c>
      <c r="AA803" t="s">
        <v>15607</v>
      </c>
      <c r="AB803" t="s">
        <v>15608</v>
      </c>
      <c r="AC803" t="s">
        <v>74</v>
      </c>
      <c r="AD803" t="s">
        <v>74</v>
      </c>
      <c r="AE803" t="s">
        <v>74</v>
      </c>
      <c r="AF803" t="s">
        <v>74</v>
      </c>
      <c r="AG803">
        <v>46</v>
      </c>
      <c r="AH803">
        <v>1</v>
      </c>
      <c r="AI803">
        <v>1</v>
      </c>
      <c r="AJ803">
        <v>10</v>
      </c>
      <c r="AK803">
        <v>21</v>
      </c>
      <c r="AL803" t="s">
        <v>125</v>
      </c>
      <c r="AM803" t="s">
        <v>126</v>
      </c>
      <c r="AN803" t="s">
        <v>127</v>
      </c>
      <c r="AO803" t="s">
        <v>74</v>
      </c>
      <c r="AP803" t="s">
        <v>15418</v>
      </c>
      <c r="AQ803" t="s">
        <v>74</v>
      </c>
      <c r="AR803" t="s">
        <v>15419</v>
      </c>
      <c r="AS803" t="s">
        <v>15420</v>
      </c>
      <c r="AT803" t="s">
        <v>8210</v>
      </c>
      <c r="AU803">
        <v>2023</v>
      </c>
      <c r="AV803">
        <v>21</v>
      </c>
      <c r="AW803">
        <v>2</v>
      </c>
      <c r="AX803" t="s">
        <v>74</v>
      </c>
      <c r="AY803" t="s">
        <v>74</v>
      </c>
      <c r="AZ803" t="s">
        <v>74</v>
      </c>
      <c r="BA803" t="s">
        <v>74</v>
      </c>
      <c r="BB803" t="s">
        <v>74</v>
      </c>
      <c r="BC803" t="s">
        <v>74</v>
      </c>
      <c r="BD803">
        <v>127</v>
      </c>
      <c r="BE803" t="s">
        <v>15609</v>
      </c>
      <c r="BF803" t="str">
        <f>HYPERLINK("http://dx.doi.org/10.3390/md21020127","http://dx.doi.org/10.3390/md21020127")</f>
        <v>http://dx.doi.org/10.3390/md21020127</v>
      </c>
      <c r="BG803" t="s">
        <v>74</v>
      </c>
      <c r="BH803" t="s">
        <v>74</v>
      </c>
      <c r="BI803">
        <v>16</v>
      </c>
      <c r="BJ803" t="s">
        <v>15422</v>
      </c>
      <c r="BK803" t="s">
        <v>103</v>
      </c>
      <c r="BL803" t="s">
        <v>15423</v>
      </c>
      <c r="BM803" t="s">
        <v>15610</v>
      </c>
      <c r="BN803">
        <v>36827168</v>
      </c>
      <c r="BO803" t="s">
        <v>136</v>
      </c>
      <c r="BP803" t="s">
        <v>74</v>
      </c>
      <c r="BQ803" t="s">
        <v>74</v>
      </c>
      <c r="BR803" t="s">
        <v>106</v>
      </c>
      <c r="BS803" t="s">
        <v>15611</v>
      </c>
      <c r="BT803" t="str">
        <f>HYPERLINK("https%3A%2F%2Fwww.webofscience.com%2Fwos%2Fwoscc%2Ffull-record%2FWOS:000939948400001","View Full Record in Web of Science")</f>
        <v>View Full Record in Web of Science</v>
      </c>
    </row>
    <row r="804" spans="1:72" x14ac:dyDescent="0.15">
      <c r="A804" t="s">
        <v>72</v>
      </c>
      <c r="B804" t="s">
        <v>15612</v>
      </c>
      <c r="C804" t="s">
        <v>74</v>
      </c>
      <c r="D804" t="s">
        <v>74</v>
      </c>
      <c r="E804" t="s">
        <v>74</v>
      </c>
      <c r="F804" t="s">
        <v>15613</v>
      </c>
      <c r="G804" t="s">
        <v>74</v>
      </c>
      <c r="H804" t="s">
        <v>74</v>
      </c>
      <c r="I804" t="s">
        <v>15614</v>
      </c>
      <c r="J804" t="s">
        <v>15615</v>
      </c>
      <c r="K804" t="s">
        <v>74</v>
      </c>
      <c r="L804" t="s">
        <v>74</v>
      </c>
      <c r="M804" t="s">
        <v>78</v>
      </c>
      <c r="N804" t="s">
        <v>112</v>
      </c>
      <c r="O804" t="s">
        <v>74</v>
      </c>
      <c r="P804" t="s">
        <v>74</v>
      </c>
      <c r="Q804" t="s">
        <v>74</v>
      </c>
      <c r="R804" t="s">
        <v>74</v>
      </c>
      <c r="S804" t="s">
        <v>74</v>
      </c>
      <c r="T804" t="s">
        <v>15616</v>
      </c>
      <c r="U804" t="s">
        <v>15617</v>
      </c>
      <c r="V804" t="s">
        <v>15618</v>
      </c>
      <c r="W804" t="s">
        <v>15619</v>
      </c>
      <c r="X804" t="s">
        <v>15620</v>
      </c>
      <c r="Y804" t="s">
        <v>15621</v>
      </c>
      <c r="Z804" t="s">
        <v>15622</v>
      </c>
      <c r="AA804" t="s">
        <v>15623</v>
      </c>
      <c r="AB804" t="s">
        <v>15624</v>
      </c>
      <c r="AC804" t="s">
        <v>15625</v>
      </c>
      <c r="AD804" t="s">
        <v>74</v>
      </c>
      <c r="AE804" t="s">
        <v>15626</v>
      </c>
      <c r="AF804" t="s">
        <v>74</v>
      </c>
      <c r="AG804">
        <v>54</v>
      </c>
      <c r="AH804">
        <v>3</v>
      </c>
      <c r="AI804">
        <v>3</v>
      </c>
      <c r="AJ804">
        <v>0</v>
      </c>
      <c r="AK804">
        <v>2</v>
      </c>
      <c r="AL804" t="s">
        <v>125</v>
      </c>
      <c r="AM804" t="s">
        <v>126</v>
      </c>
      <c r="AN804" t="s">
        <v>127</v>
      </c>
      <c r="AO804" t="s">
        <v>74</v>
      </c>
      <c r="AP804" t="s">
        <v>15627</v>
      </c>
      <c r="AQ804" t="s">
        <v>74</v>
      </c>
      <c r="AR804" t="s">
        <v>15615</v>
      </c>
      <c r="AS804" t="s">
        <v>15628</v>
      </c>
      <c r="AT804" t="s">
        <v>8210</v>
      </c>
      <c r="AU804">
        <v>2023</v>
      </c>
      <c r="AV804">
        <v>15</v>
      </c>
      <c r="AW804">
        <v>2</v>
      </c>
      <c r="AX804" t="s">
        <v>74</v>
      </c>
      <c r="AY804" t="s">
        <v>74</v>
      </c>
      <c r="AZ804" t="s">
        <v>74</v>
      </c>
      <c r="BA804" t="s">
        <v>74</v>
      </c>
      <c r="BB804" t="s">
        <v>74</v>
      </c>
      <c r="BC804" t="s">
        <v>74</v>
      </c>
      <c r="BD804">
        <v>700</v>
      </c>
      <c r="BE804" t="s">
        <v>15629</v>
      </c>
      <c r="BF804" t="str">
        <f>HYPERLINK("http://dx.doi.org/10.3390/pharmaceutics15020700","http://dx.doi.org/10.3390/pharmaceutics15020700")</f>
        <v>http://dx.doi.org/10.3390/pharmaceutics15020700</v>
      </c>
      <c r="BG804" t="s">
        <v>74</v>
      </c>
      <c r="BH804" t="s">
        <v>74</v>
      </c>
      <c r="BI804">
        <v>19</v>
      </c>
      <c r="BJ804" t="s">
        <v>15423</v>
      </c>
      <c r="BK804" t="s">
        <v>103</v>
      </c>
      <c r="BL804" t="s">
        <v>15423</v>
      </c>
      <c r="BM804" t="s">
        <v>15630</v>
      </c>
      <c r="BN804">
        <v>36840022</v>
      </c>
      <c r="BO804" t="s">
        <v>136</v>
      </c>
      <c r="BP804" t="s">
        <v>74</v>
      </c>
      <c r="BQ804" t="s">
        <v>74</v>
      </c>
      <c r="BR804" t="s">
        <v>106</v>
      </c>
      <c r="BS804" t="s">
        <v>15631</v>
      </c>
      <c r="BT804" t="str">
        <f>HYPERLINK("https%3A%2F%2Fwww.webofscience.com%2Fwos%2Fwoscc%2Ffull-record%2FWOS:000940948100001","View Full Record in Web of Science")</f>
        <v>View Full Record in Web of Science</v>
      </c>
    </row>
    <row r="805" spans="1:72" x14ac:dyDescent="0.15">
      <c r="A805" t="s">
        <v>72</v>
      </c>
      <c r="B805" t="s">
        <v>15632</v>
      </c>
      <c r="C805" t="s">
        <v>74</v>
      </c>
      <c r="D805" t="s">
        <v>74</v>
      </c>
      <c r="E805" t="s">
        <v>74</v>
      </c>
      <c r="F805" t="s">
        <v>15633</v>
      </c>
      <c r="G805" t="s">
        <v>74</v>
      </c>
      <c r="H805" t="s">
        <v>74</v>
      </c>
      <c r="I805" t="s">
        <v>15634</v>
      </c>
      <c r="J805" t="s">
        <v>735</v>
      </c>
      <c r="K805" t="s">
        <v>74</v>
      </c>
      <c r="L805" t="s">
        <v>74</v>
      </c>
      <c r="M805" t="s">
        <v>78</v>
      </c>
      <c r="N805" t="s">
        <v>112</v>
      </c>
      <c r="O805" t="s">
        <v>74</v>
      </c>
      <c r="P805" t="s">
        <v>74</v>
      </c>
      <c r="Q805" t="s">
        <v>74</v>
      </c>
      <c r="R805" t="s">
        <v>74</v>
      </c>
      <c r="S805" t="s">
        <v>74</v>
      </c>
      <c r="T805" t="s">
        <v>15635</v>
      </c>
      <c r="U805" t="s">
        <v>15636</v>
      </c>
      <c r="V805" t="s">
        <v>15637</v>
      </c>
      <c r="W805" t="s">
        <v>15638</v>
      </c>
      <c r="X805" t="s">
        <v>15639</v>
      </c>
      <c r="Y805" t="s">
        <v>15640</v>
      </c>
      <c r="Z805" t="s">
        <v>15641</v>
      </c>
      <c r="AA805" t="s">
        <v>15642</v>
      </c>
      <c r="AB805" t="s">
        <v>15643</v>
      </c>
      <c r="AC805" t="s">
        <v>74</v>
      </c>
      <c r="AD805" t="s">
        <v>74</v>
      </c>
      <c r="AE805" t="s">
        <v>74</v>
      </c>
      <c r="AF805" t="s">
        <v>74</v>
      </c>
      <c r="AG805">
        <v>59</v>
      </c>
      <c r="AH805">
        <v>1</v>
      </c>
      <c r="AI805">
        <v>1</v>
      </c>
      <c r="AJ805">
        <v>1</v>
      </c>
      <c r="AK805">
        <v>3</v>
      </c>
      <c r="AL805" t="s">
        <v>125</v>
      </c>
      <c r="AM805" t="s">
        <v>126</v>
      </c>
      <c r="AN805" t="s">
        <v>127</v>
      </c>
      <c r="AO805" t="s">
        <v>74</v>
      </c>
      <c r="AP805" t="s">
        <v>748</v>
      </c>
      <c r="AQ805" t="s">
        <v>74</v>
      </c>
      <c r="AR805" t="s">
        <v>749</v>
      </c>
      <c r="AS805" t="s">
        <v>750</v>
      </c>
      <c r="AT805" t="s">
        <v>8210</v>
      </c>
      <c r="AU805">
        <v>2023</v>
      </c>
      <c r="AV805">
        <v>15</v>
      </c>
      <c r="AW805">
        <v>4</v>
      </c>
      <c r="AX805" t="s">
        <v>74</v>
      </c>
      <c r="AY805" t="s">
        <v>74</v>
      </c>
      <c r="AZ805" t="s">
        <v>74</v>
      </c>
      <c r="BA805" t="s">
        <v>74</v>
      </c>
      <c r="BB805" t="s">
        <v>74</v>
      </c>
      <c r="BC805" t="s">
        <v>74</v>
      </c>
      <c r="BD805">
        <v>809</v>
      </c>
      <c r="BE805" t="s">
        <v>15644</v>
      </c>
      <c r="BF805" t="str">
        <f>HYPERLINK("http://dx.doi.org/10.3390/w15040809","http://dx.doi.org/10.3390/w15040809")</f>
        <v>http://dx.doi.org/10.3390/w15040809</v>
      </c>
      <c r="BG805" t="s">
        <v>74</v>
      </c>
      <c r="BH805" t="s">
        <v>74</v>
      </c>
      <c r="BI805">
        <v>15</v>
      </c>
      <c r="BJ805" t="s">
        <v>752</v>
      </c>
      <c r="BK805" t="s">
        <v>103</v>
      </c>
      <c r="BL805" t="s">
        <v>753</v>
      </c>
      <c r="BM805" t="s">
        <v>15645</v>
      </c>
      <c r="BN805" t="s">
        <v>74</v>
      </c>
      <c r="BO805" t="s">
        <v>359</v>
      </c>
      <c r="BP805" t="s">
        <v>74</v>
      </c>
      <c r="BQ805" t="s">
        <v>74</v>
      </c>
      <c r="BR805" t="s">
        <v>106</v>
      </c>
      <c r="BS805" t="s">
        <v>15646</v>
      </c>
      <c r="BT805" t="str">
        <f>HYPERLINK("https%3A%2F%2Fwww.webofscience.com%2Fwos%2Fwoscc%2Ffull-record%2FWOS:000942005700001","View Full Record in Web of Science")</f>
        <v>View Full Record in Web of Science</v>
      </c>
    </row>
    <row r="806" spans="1:72" x14ac:dyDescent="0.15">
      <c r="A806" t="s">
        <v>72</v>
      </c>
      <c r="B806" t="s">
        <v>15647</v>
      </c>
      <c r="C806" t="s">
        <v>74</v>
      </c>
      <c r="D806" t="s">
        <v>74</v>
      </c>
      <c r="E806" t="s">
        <v>74</v>
      </c>
      <c r="F806" t="s">
        <v>15648</v>
      </c>
      <c r="G806" t="s">
        <v>74</v>
      </c>
      <c r="H806" t="s">
        <v>74</v>
      </c>
      <c r="I806" t="s">
        <v>15649</v>
      </c>
      <c r="J806" t="s">
        <v>735</v>
      </c>
      <c r="K806" t="s">
        <v>74</v>
      </c>
      <c r="L806" t="s">
        <v>74</v>
      </c>
      <c r="M806" t="s">
        <v>78</v>
      </c>
      <c r="N806" t="s">
        <v>112</v>
      </c>
      <c r="O806" t="s">
        <v>74</v>
      </c>
      <c r="P806" t="s">
        <v>74</v>
      </c>
      <c r="Q806" t="s">
        <v>74</v>
      </c>
      <c r="R806" t="s">
        <v>74</v>
      </c>
      <c r="S806" t="s">
        <v>74</v>
      </c>
      <c r="T806" t="s">
        <v>15650</v>
      </c>
      <c r="U806" t="s">
        <v>15651</v>
      </c>
      <c r="V806" t="s">
        <v>15652</v>
      </c>
      <c r="W806" t="s">
        <v>15653</v>
      </c>
      <c r="X806" t="s">
        <v>15654</v>
      </c>
      <c r="Y806" t="s">
        <v>15655</v>
      </c>
      <c r="Z806" t="s">
        <v>15656</v>
      </c>
      <c r="AA806" t="s">
        <v>74</v>
      </c>
      <c r="AB806" t="s">
        <v>15657</v>
      </c>
      <c r="AC806" t="s">
        <v>74</v>
      </c>
      <c r="AD806" t="s">
        <v>74</v>
      </c>
      <c r="AE806" t="s">
        <v>74</v>
      </c>
      <c r="AF806" t="s">
        <v>74</v>
      </c>
      <c r="AG806">
        <v>65</v>
      </c>
      <c r="AH806">
        <v>1</v>
      </c>
      <c r="AI806">
        <v>1</v>
      </c>
      <c r="AJ806">
        <v>4</v>
      </c>
      <c r="AK806">
        <v>11</v>
      </c>
      <c r="AL806" t="s">
        <v>125</v>
      </c>
      <c r="AM806" t="s">
        <v>126</v>
      </c>
      <c r="AN806" t="s">
        <v>127</v>
      </c>
      <c r="AO806" t="s">
        <v>74</v>
      </c>
      <c r="AP806" t="s">
        <v>748</v>
      </c>
      <c r="AQ806" t="s">
        <v>74</v>
      </c>
      <c r="AR806" t="s">
        <v>749</v>
      </c>
      <c r="AS806" t="s">
        <v>750</v>
      </c>
      <c r="AT806" t="s">
        <v>8210</v>
      </c>
      <c r="AU806">
        <v>2023</v>
      </c>
      <c r="AV806">
        <v>15</v>
      </c>
      <c r="AW806">
        <v>4</v>
      </c>
      <c r="AX806" t="s">
        <v>74</v>
      </c>
      <c r="AY806" t="s">
        <v>74</v>
      </c>
      <c r="AZ806" t="s">
        <v>74</v>
      </c>
      <c r="BA806" t="s">
        <v>74</v>
      </c>
      <c r="BB806" t="s">
        <v>74</v>
      </c>
      <c r="BC806" t="s">
        <v>74</v>
      </c>
      <c r="BD806">
        <v>728</v>
      </c>
      <c r="BE806" t="s">
        <v>15658</v>
      </c>
      <c r="BF806" t="str">
        <f>HYPERLINK("http://dx.doi.org/10.3390/w15040728","http://dx.doi.org/10.3390/w15040728")</f>
        <v>http://dx.doi.org/10.3390/w15040728</v>
      </c>
      <c r="BG806" t="s">
        <v>74</v>
      </c>
      <c r="BH806" t="s">
        <v>74</v>
      </c>
      <c r="BI806">
        <v>21</v>
      </c>
      <c r="BJ806" t="s">
        <v>752</v>
      </c>
      <c r="BK806" t="s">
        <v>103</v>
      </c>
      <c r="BL806" t="s">
        <v>753</v>
      </c>
      <c r="BM806" t="s">
        <v>15659</v>
      </c>
      <c r="BN806" t="s">
        <v>74</v>
      </c>
      <c r="BO806" t="s">
        <v>359</v>
      </c>
      <c r="BP806" t="s">
        <v>74</v>
      </c>
      <c r="BQ806" t="s">
        <v>74</v>
      </c>
      <c r="BR806" t="s">
        <v>106</v>
      </c>
      <c r="BS806" t="s">
        <v>15660</v>
      </c>
      <c r="BT806" t="str">
        <f>HYPERLINK("https%3A%2F%2Fwww.webofscience.com%2Fwos%2Fwoscc%2Ffull-record%2FWOS:000942004200001","View Full Record in Web of Science")</f>
        <v>View Full Record in Web of Science</v>
      </c>
    </row>
    <row r="807" spans="1:72" x14ac:dyDescent="0.15">
      <c r="A807" t="s">
        <v>72</v>
      </c>
      <c r="B807" t="s">
        <v>15661</v>
      </c>
      <c r="C807" t="s">
        <v>74</v>
      </c>
      <c r="D807" t="s">
        <v>74</v>
      </c>
      <c r="E807" t="s">
        <v>74</v>
      </c>
      <c r="F807" t="s">
        <v>15662</v>
      </c>
      <c r="G807" t="s">
        <v>74</v>
      </c>
      <c r="H807" t="s">
        <v>74</v>
      </c>
      <c r="I807" t="s">
        <v>15663</v>
      </c>
      <c r="J807" t="s">
        <v>10678</v>
      </c>
      <c r="K807" t="s">
        <v>74</v>
      </c>
      <c r="L807" t="s">
        <v>74</v>
      </c>
      <c r="M807" t="s">
        <v>78</v>
      </c>
      <c r="N807" t="s">
        <v>112</v>
      </c>
      <c r="O807" t="s">
        <v>74</v>
      </c>
      <c r="P807" t="s">
        <v>74</v>
      </c>
      <c r="Q807" t="s">
        <v>74</v>
      </c>
      <c r="R807" t="s">
        <v>74</v>
      </c>
      <c r="S807" t="s">
        <v>74</v>
      </c>
      <c r="T807" t="s">
        <v>15664</v>
      </c>
      <c r="U807" t="s">
        <v>15665</v>
      </c>
      <c r="V807" t="s">
        <v>15666</v>
      </c>
      <c r="W807" t="s">
        <v>15667</v>
      </c>
      <c r="X807" t="s">
        <v>15668</v>
      </c>
      <c r="Y807" t="s">
        <v>15669</v>
      </c>
      <c r="Z807" t="s">
        <v>15670</v>
      </c>
      <c r="AA807" t="s">
        <v>15671</v>
      </c>
      <c r="AB807" t="s">
        <v>15672</v>
      </c>
      <c r="AC807" t="s">
        <v>15673</v>
      </c>
      <c r="AD807" t="s">
        <v>15674</v>
      </c>
      <c r="AE807" t="s">
        <v>15675</v>
      </c>
      <c r="AF807" t="s">
        <v>74</v>
      </c>
      <c r="AG807">
        <v>95</v>
      </c>
      <c r="AH807">
        <v>0</v>
      </c>
      <c r="AI807">
        <v>0</v>
      </c>
      <c r="AJ807">
        <v>0</v>
      </c>
      <c r="AK807">
        <v>1</v>
      </c>
      <c r="AL807" t="s">
        <v>125</v>
      </c>
      <c r="AM807" t="s">
        <v>126</v>
      </c>
      <c r="AN807" t="s">
        <v>127</v>
      </c>
      <c r="AO807" t="s">
        <v>74</v>
      </c>
      <c r="AP807" t="s">
        <v>10688</v>
      </c>
      <c r="AQ807" t="s">
        <v>74</v>
      </c>
      <c r="AR807" t="s">
        <v>10678</v>
      </c>
      <c r="AS807" t="s">
        <v>10689</v>
      </c>
      <c r="AT807" t="s">
        <v>8210</v>
      </c>
      <c r="AU807">
        <v>2023</v>
      </c>
      <c r="AV807">
        <v>11</v>
      </c>
      <c r="AW807">
        <v>2</v>
      </c>
      <c r="AX807" t="s">
        <v>74</v>
      </c>
      <c r="AY807" t="s">
        <v>74</v>
      </c>
      <c r="AZ807" t="s">
        <v>74</v>
      </c>
      <c r="BA807" t="s">
        <v>74</v>
      </c>
      <c r="BB807" t="s">
        <v>74</v>
      </c>
      <c r="BC807" t="s">
        <v>74</v>
      </c>
      <c r="BD807">
        <v>339</v>
      </c>
      <c r="BE807" t="s">
        <v>15676</v>
      </c>
      <c r="BF807" t="str">
        <f>HYPERLINK("http://dx.doi.org/10.3390/microorganisms11020339","http://dx.doi.org/10.3390/microorganisms11020339")</f>
        <v>http://dx.doi.org/10.3390/microorganisms11020339</v>
      </c>
      <c r="BG807" t="s">
        <v>74</v>
      </c>
      <c r="BH807" t="s">
        <v>74</v>
      </c>
      <c r="BI807">
        <v>22</v>
      </c>
      <c r="BJ807" t="s">
        <v>1387</v>
      </c>
      <c r="BK807" t="s">
        <v>103</v>
      </c>
      <c r="BL807" t="s">
        <v>1387</v>
      </c>
      <c r="BM807" t="s">
        <v>15677</v>
      </c>
      <c r="BN807">
        <v>36838304</v>
      </c>
      <c r="BO807" t="s">
        <v>136</v>
      </c>
      <c r="BP807" t="s">
        <v>74</v>
      </c>
      <c r="BQ807" t="s">
        <v>74</v>
      </c>
      <c r="BR807" t="s">
        <v>106</v>
      </c>
      <c r="BS807" t="s">
        <v>15678</v>
      </c>
      <c r="BT807" t="str">
        <f>HYPERLINK("https%3A%2F%2Fwww.webofscience.com%2Fwos%2Fwoscc%2Ffull-record%2FWOS:000941550300001","View Full Record in Web of Science")</f>
        <v>View Full Record in Web of Science</v>
      </c>
    </row>
    <row r="808" spans="1:72" x14ac:dyDescent="0.15">
      <c r="A808" t="s">
        <v>72</v>
      </c>
      <c r="B808" t="s">
        <v>15679</v>
      </c>
      <c r="C808" t="s">
        <v>74</v>
      </c>
      <c r="D808" t="s">
        <v>74</v>
      </c>
      <c r="E808" t="s">
        <v>74</v>
      </c>
      <c r="F808" t="s">
        <v>15680</v>
      </c>
      <c r="G808" t="s">
        <v>74</v>
      </c>
      <c r="H808" t="s">
        <v>74</v>
      </c>
      <c r="I808" t="s">
        <v>15681</v>
      </c>
      <c r="J808" t="s">
        <v>15682</v>
      </c>
      <c r="K808" t="s">
        <v>74</v>
      </c>
      <c r="L808" t="s">
        <v>74</v>
      </c>
      <c r="M808" t="s">
        <v>78</v>
      </c>
      <c r="N808" t="s">
        <v>112</v>
      </c>
      <c r="O808" t="s">
        <v>74</v>
      </c>
      <c r="P808" t="s">
        <v>74</v>
      </c>
      <c r="Q808" t="s">
        <v>74</v>
      </c>
      <c r="R808" t="s">
        <v>74</v>
      </c>
      <c r="S808" t="s">
        <v>74</v>
      </c>
      <c r="T808" t="s">
        <v>15683</v>
      </c>
      <c r="U808" t="s">
        <v>15684</v>
      </c>
      <c r="V808" t="s">
        <v>15685</v>
      </c>
      <c r="W808" t="s">
        <v>15686</v>
      </c>
      <c r="X808" t="s">
        <v>15687</v>
      </c>
      <c r="Y808" t="s">
        <v>15688</v>
      </c>
      <c r="Z808" t="s">
        <v>15689</v>
      </c>
      <c r="AA808" t="s">
        <v>15690</v>
      </c>
      <c r="AB808" t="s">
        <v>15691</v>
      </c>
      <c r="AC808" t="s">
        <v>15692</v>
      </c>
      <c r="AD808" t="s">
        <v>15693</v>
      </c>
      <c r="AE808" t="s">
        <v>15694</v>
      </c>
      <c r="AF808" t="s">
        <v>74</v>
      </c>
      <c r="AG808">
        <v>67</v>
      </c>
      <c r="AH808">
        <v>1</v>
      </c>
      <c r="AI808">
        <v>1</v>
      </c>
      <c r="AJ808">
        <v>5</v>
      </c>
      <c r="AK808">
        <v>6</v>
      </c>
      <c r="AL808" t="s">
        <v>125</v>
      </c>
      <c r="AM808" t="s">
        <v>126</v>
      </c>
      <c r="AN808" t="s">
        <v>127</v>
      </c>
      <c r="AO808" t="s">
        <v>74</v>
      </c>
      <c r="AP808" t="s">
        <v>15695</v>
      </c>
      <c r="AQ808" t="s">
        <v>74</v>
      </c>
      <c r="AR808" t="s">
        <v>15682</v>
      </c>
      <c r="AS808" t="s">
        <v>15696</v>
      </c>
      <c r="AT808" t="s">
        <v>8210</v>
      </c>
      <c r="AU808">
        <v>2023</v>
      </c>
      <c r="AV808">
        <v>15</v>
      </c>
      <c r="AW808">
        <v>2</v>
      </c>
      <c r="AX808" t="s">
        <v>74</v>
      </c>
      <c r="AY808" t="s">
        <v>74</v>
      </c>
      <c r="AZ808" t="s">
        <v>74</v>
      </c>
      <c r="BA808" t="s">
        <v>74</v>
      </c>
      <c r="BB808" t="s">
        <v>74</v>
      </c>
      <c r="BC808" t="s">
        <v>74</v>
      </c>
      <c r="BD808">
        <v>270</v>
      </c>
      <c r="BE808" t="s">
        <v>15697</v>
      </c>
      <c r="BF808" t="str">
        <f>HYPERLINK("http://dx.doi.org/10.3390/sym15020270","http://dx.doi.org/10.3390/sym15020270")</f>
        <v>http://dx.doi.org/10.3390/sym15020270</v>
      </c>
      <c r="BG808" t="s">
        <v>74</v>
      </c>
      <c r="BH808" t="s">
        <v>74</v>
      </c>
      <c r="BI808">
        <v>18</v>
      </c>
      <c r="BJ808" t="s">
        <v>210</v>
      </c>
      <c r="BK808" t="s">
        <v>103</v>
      </c>
      <c r="BL808" t="s">
        <v>211</v>
      </c>
      <c r="BM808" t="s">
        <v>15698</v>
      </c>
      <c r="BN808" t="s">
        <v>74</v>
      </c>
      <c r="BO808" t="s">
        <v>359</v>
      </c>
      <c r="BP808" t="s">
        <v>74</v>
      </c>
      <c r="BQ808" t="s">
        <v>74</v>
      </c>
      <c r="BR808" t="s">
        <v>106</v>
      </c>
      <c r="BS808" t="s">
        <v>15699</v>
      </c>
      <c r="BT808" t="str">
        <f>HYPERLINK("https%3A%2F%2Fwww.webofscience.com%2Fwos%2Fwoscc%2Ffull-record%2FWOS:000942056900001","View Full Record in Web of Science")</f>
        <v>View Full Record in Web of Science</v>
      </c>
    </row>
    <row r="809" spans="1:72" x14ac:dyDescent="0.15">
      <c r="A809" t="s">
        <v>72</v>
      </c>
      <c r="B809" t="s">
        <v>15700</v>
      </c>
      <c r="C809" t="s">
        <v>74</v>
      </c>
      <c r="D809" t="s">
        <v>74</v>
      </c>
      <c r="E809" t="s">
        <v>74</v>
      </c>
      <c r="F809" t="s">
        <v>15701</v>
      </c>
      <c r="G809" t="s">
        <v>74</v>
      </c>
      <c r="H809" t="s">
        <v>74</v>
      </c>
      <c r="I809" t="s">
        <v>15702</v>
      </c>
      <c r="J809" t="s">
        <v>15703</v>
      </c>
      <c r="K809" t="s">
        <v>74</v>
      </c>
      <c r="L809" t="s">
        <v>74</v>
      </c>
      <c r="M809" t="s">
        <v>78</v>
      </c>
      <c r="N809" t="s">
        <v>112</v>
      </c>
      <c r="O809" t="s">
        <v>74</v>
      </c>
      <c r="P809" t="s">
        <v>74</v>
      </c>
      <c r="Q809" t="s">
        <v>74</v>
      </c>
      <c r="R809" t="s">
        <v>74</v>
      </c>
      <c r="S809" t="s">
        <v>74</v>
      </c>
      <c r="T809" t="s">
        <v>15704</v>
      </c>
      <c r="U809" t="s">
        <v>15705</v>
      </c>
      <c r="V809" t="s">
        <v>15706</v>
      </c>
      <c r="W809" t="s">
        <v>15707</v>
      </c>
      <c r="X809" t="s">
        <v>15708</v>
      </c>
      <c r="Y809" t="s">
        <v>15709</v>
      </c>
      <c r="Z809" t="s">
        <v>15710</v>
      </c>
      <c r="AA809" t="s">
        <v>15711</v>
      </c>
      <c r="AB809" t="s">
        <v>15712</v>
      </c>
      <c r="AC809" t="s">
        <v>15713</v>
      </c>
      <c r="AD809" t="s">
        <v>5435</v>
      </c>
      <c r="AE809" t="s">
        <v>15714</v>
      </c>
      <c r="AF809" t="s">
        <v>74</v>
      </c>
      <c r="AG809">
        <v>42</v>
      </c>
      <c r="AH809">
        <v>2</v>
      </c>
      <c r="AI809">
        <v>2</v>
      </c>
      <c r="AJ809">
        <v>1</v>
      </c>
      <c r="AK809">
        <v>2</v>
      </c>
      <c r="AL809" t="s">
        <v>125</v>
      </c>
      <c r="AM809" t="s">
        <v>126</v>
      </c>
      <c r="AN809" t="s">
        <v>127</v>
      </c>
      <c r="AO809" t="s">
        <v>74</v>
      </c>
      <c r="AP809" t="s">
        <v>15715</v>
      </c>
      <c r="AQ809" t="s">
        <v>74</v>
      </c>
      <c r="AR809" t="s">
        <v>15716</v>
      </c>
      <c r="AS809" t="s">
        <v>15717</v>
      </c>
      <c r="AT809" t="s">
        <v>8210</v>
      </c>
      <c r="AU809">
        <v>2023</v>
      </c>
      <c r="AV809">
        <v>12</v>
      </c>
      <c r="AW809">
        <v>2</v>
      </c>
      <c r="AX809" t="s">
        <v>74</v>
      </c>
      <c r="AY809" t="s">
        <v>74</v>
      </c>
      <c r="AZ809" t="s">
        <v>74</v>
      </c>
      <c r="BA809" t="s">
        <v>74</v>
      </c>
      <c r="BB809" t="s">
        <v>74</v>
      </c>
      <c r="BC809" t="s">
        <v>74</v>
      </c>
      <c r="BD809">
        <v>352</v>
      </c>
      <c r="BE809" t="s">
        <v>15718</v>
      </c>
      <c r="BF809" t="str">
        <f>HYPERLINK("http://dx.doi.org/10.3390/antiox12020352","http://dx.doi.org/10.3390/antiox12020352")</f>
        <v>http://dx.doi.org/10.3390/antiox12020352</v>
      </c>
      <c r="BG809" t="s">
        <v>74</v>
      </c>
      <c r="BH809" t="s">
        <v>74</v>
      </c>
      <c r="BI809">
        <v>10</v>
      </c>
      <c r="BJ809" t="s">
        <v>15719</v>
      </c>
      <c r="BK809" t="s">
        <v>103</v>
      </c>
      <c r="BL809" t="s">
        <v>15720</v>
      </c>
      <c r="BM809" t="s">
        <v>15721</v>
      </c>
      <c r="BN809">
        <v>36829911</v>
      </c>
      <c r="BO809" t="s">
        <v>13568</v>
      </c>
      <c r="BP809" t="s">
        <v>74</v>
      </c>
      <c r="BQ809" t="s">
        <v>74</v>
      </c>
      <c r="BR809" t="s">
        <v>106</v>
      </c>
      <c r="BS809" t="s">
        <v>15722</v>
      </c>
      <c r="BT809" t="str">
        <f>HYPERLINK("https%3A%2F%2Fwww.webofscience.com%2Fwos%2Fwoscc%2Ffull-record%2FWOS:000937797400001","View Full Record in Web of Science")</f>
        <v>View Full Record in Web of Science</v>
      </c>
    </row>
    <row r="810" spans="1:72" x14ac:dyDescent="0.15">
      <c r="A810" t="s">
        <v>72</v>
      </c>
      <c r="B810" t="s">
        <v>15723</v>
      </c>
      <c r="C810" t="s">
        <v>74</v>
      </c>
      <c r="D810" t="s">
        <v>74</v>
      </c>
      <c r="E810" t="s">
        <v>74</v>
      </c>
      <c r="F810" t="s">
        <v>15724</v>
      </c>
      <c r="G810" t="s">
        <v>74</v>
      </c>
      <c r="H810" t="s">
        <v>74</v>
      </c>
      <c r="I810" t="s">
        <v>15725</v>
      </c>
      <c r="J810" t="s">
        <v>15726</v>
      </c>
      <c r="K810" t="s">
        <v>74</v>
      </c>
      <c r="L810" t="s">
        <v>74</v>
      </c>
      <c r="M810" t="s">
        <v>78</v>
      </c>
      <c r="N810" t="s">
        <v>112</v>
      </c>
      <c r="O810" t="s">
        <v>74</v>
      </c>
      <c r="P810" t="s">
        <v>74</v>
      </c>
      <c r="Q810" t="s">
        <v>74</v>
      </c>
      <c r="R810" t="s">
        <v>74</v>
      </c>
      <c r="S810" t="s">
        <v>74</v>
      </c>
      <c r="T810" t="s">
        <v>15727</v>
      </c>
      <c r="U810" t="s">
        <v>15728</v>
      </c>
      <c r="V810" t="s">
        <v>15729</v>
      </c>
      <c r="W810" t="s">
        <v>15730</v>
      </c>
      <c r="X810" t="s">
        <v>15731</v>
      </c>
      <c r="Y810" t="s">
        <v>15732</v>
      </c>
      <c r="Z810" t="s">
        <v>15733</v>
      </c>
      <c r="AA810" t="s">
        <v>15734</v>
      </c>
      <c r="AB810" t="s">
        <v>15735</v>
      </c>
      <c r="AC810" t="s">
        <v>15736</v>
      </c>
      <c r="AD810" t="s">
        <v>15737</v>
      </c>
      <c r="AE810" t="s">
        <v>15738</v>
      </c>
      <c r="AF810" t="s">
        <v>74</v>
      </c>
      <c r="AG810">
        <v>77</v>
      </c>
      <c r="AH810">
        <v>2</v>
      </c>
      <c r="AI810">
        <v>2</v>
      </c>
      <c r="AJ810">
        <v>7</v>
      </c>
      <c r="AK810">
        <v>8</v>
      </c>
      <c r="AL810" t="s">
        <v>125</v>
      </c>
      <c r="AM810" t="s">
        <v>126</v>
      </c>
      <c r="AN810" t="s">
        <v>127</v>
      </c>
      <c r="AO810" t="s">
        <v>74</v>
      </c>
      <c r="AP810" t="s">
        <v>15739</v>
      </c>
      <c r="AQ810" t="s">
        <v>74</v>
      </c>
      <c r="AR810" t="s">
        <v>15726</v>
      </c>
      <c r="AS810" t="s">
        <v>15740</v>
      </c>
      <c r="AT810" t="s">
        <v>8210</v>
      </c>
      <c r="AU810">
        <v>2023</v>
      </c>
      <c r="AV810">
        <v>12</v>
      </c>
      <c r="AW810">
        <v>4</v>
      </c>
      <c r="AX810" t="s">
        <v>74</v>
      </c>
      <c r="AY810" t="s">
        <v>74</v>
      </c>
      <c r="AZ810" t="s">
        <v>74</v>
      </c>
      <c r="BA810" t="s">
        <v>74</v>
      </c>
      <c r="BB810" t="s">
        <v>74</v>
      </c>
      <c r="BC810" t="s">
        <v>74</v>
      </c>
      <c r="BD810">
        <v>806</v>
      </c>
      <c r="BE810" t="s">
        <v>15741</v>
      </c>
      <c r="BF810" t="str">
        <f>HYPERLINK("http://dx.doi.org/10.3390/plants12040806","http://dx.doi.org/10.3390/plants12040806")</f>
        <v>http://dx.doi.org/10.3390/plants12040806</v>
      </c>
      <c r="BG810" t="s">
        <v>74</v>
      </c>
      <c r="BH810" t="s">
        <v>74</v>
      </c>
      <c r="BI810">
        <v>13</v>
      </c>
      <c r="BJ810" t="s">
        <v>2123</v>
      </c>
      <c r="BK810" t="s">
        <v>103</v>
      </c>
      <c r="BL810" t="s">
        <v>2123</v>
      </c>
      <c r="BM810" t="s">
        <v>15742</v>
      </c>
      <c r="BN810">
        <v>36840154</v>
      </c>
      <c r="BO810" t="s">
        <v>614</v>
      </c>
      <c r="BP810" t="s">
        <v>74</v>
      </c>
      <c r="BQ810" t="s">
        <v>74</v>
      </c>
      <c r="BR810" t="s">
        <v>106</v>
      </c>
      <c r="BS810" t="s">
        <v>15743</v>
      </c>
      <c r="BT810" t="str">
        <f>HYPERLINK("https%3A%2F%2Fwww.webofscience.com%2Fwos%2Fwoscc%2Ffull-record%2FWOS:000940531500001","View Full Record in Web of Science")</f>
        <v>View Full Record in Web of Science</v>
      </c>
    </row>
    <row r="811" spans="1:72" x14ac:dyDescent="0.15">
      <c r="A811" t="s">
        <v>72</v>
      </c>
      <c r="B811" t="s">
        <v>15744</v>
      </c>
      <c r="C811" t="s">
        <v>74</v>
      </c>
      <c r="D811" t="s">
        <v>74</v>
      </c>
      <c r="E811" t="s">
        <v>74</v>
      </c>
      <c r="F811" t="s">
        <v>15745</v>
      </c>
      <c r="G811" t="s">
        <v>74</v>
      </c>
      <c r="H811" t="s">
        <v>74</v>
      </c>
      <c r="I811" t="s">
        <v>15746</v>
      </c>
      <c r="J811" t="s">
        <v>15747</v>
      </c>
      <c r="K811" t="s">
        <v>74</v>
      </c>
      <c r="L811" t="s">
        <v>74</v>
      </c>
      <c r="M811" t="s">
        <v>78</v>
      </c>
      <c r="N811" t="s">
        <v>112</v>
      </c>
      <c r="O811" t="s">
        <v>74</v>
      </c>
      <c r="P811" t="s">
        <v>74</v>
      </c>
      <c r="Q811" t="s">
        <v>74</v>
      </c>
      <c r="R811" t="s">
        <v>74</v>
      </c>
      <c r="S811" t="s">
        <v>74</v>
      </c>
      <c r="T811" t="s">
        <v>15748</v>
      </c>
      <c r="U811" t="s">
        <v>15749</v>
      </c>
      <c r="V811" t="s">
        <v>15750</v>
      </c>
      <c r="W811" t="s">
        <v>15751</v>
      </c>
      <c r="X811" t="s">
        <v>15752</v>
      </c>
      <c r="Y811" t="s">
        <v>15753</v>
      </c>
      <c r="Z811" t="s">
        <v>15754</v>
      </c>
      <c r="AA811" t="s">
        <v>15755</v>
      </c>
      <c r="AB811" t="s">
        <v>15756</v>
      </c>
      <c r="AC811" t="s">
        <v>15757</v>
      </c>
      <c r="AD811" t="s">
        <v>15758</v>
      </c>
      <c r="AE811" t="s">
        <v>15759</v>
      </c>
      <c r="AF811" t="s">
        <v>74</v>
      </c>
      <c r="AG811">
        <v>177</v>
      </c>
      <c r="AH811">
        <v>4</v>
      </c>
      <c r="AI811">
        <v>4</v>
      </c>
      <c r="AJ811">
        <v>0</v>
      </c>
      <c r="AK811">
        <v>7</v>
      </c>
      <c r="AL811" t="s">
        <v>305</v>
      </c>
      <c r="AM811" t="s">
        <v>306</v>
      </c>
      <c r="AN811" t="s">
        <v>307</v>
      </c>
      <c r="AO811" t="s">
        <v>15760</v>
      </c>
      <c r="AP811" t="s">
        <v>15761</v>
      </c>
      <c r="AQ811" t="s">
        <v>74</v>
      </c>
      <c r="AR811" t="s">
        <v>15762</v>
      </c>
      <c r="AS811" t="s">
        <v>15763</v>
      </c>
      <c r="AT811" t="s">
        <v>8210</v>
      </c>
      <c r="AU811">
        <v>2023</v>
      </c>
      <c r="AV811">
        <v>128</v>
      </c>
      <c r="AW811">
        <v>2</v>
      </c>
      <c r="AX811" t="s">
        <v>74</v>
      </c>
      <c r="AY811" t="s">
        <v>74</v>
      </c>
      <c r="AZ811" t="s">
        <v>74</v>
      </c>
      <c r="BA811" t="s">
        <v>74</v>
      </c>
      <c r="BB811" t="s">
        <v>74</v>
      </c>
      <c r="BC811" t="s">
        <v>74</v>
      </c>
      <c r="BD811" t="s">
        <v>15764</v>
      </c>
      <c r="BE811" t="s">
        <v>15765</v>
      </c>
      <c r="BF811" t="str">
        <f>HYPERLINK("http://dx.doi.org/10.1029/2022JB026110","http://dx.doi.org/10.1029/2022JB026110")</f>
        <v>http://dx.doi.org/10.1029/2022JB026110</v>
      </c>
      <c r="BG811" t="s">
        <v>74</v>
      </c>
      <c r="BH811" t="s">
        <v>74</v>
      </c>
      <c r="BI811">
        <v>21</v>
      </c>
      <c r="BJ811" t="s">
        <v>313</v>
      </c>
      <c r="BK811" t="s">
        <v>103</v>
      </c>
      <c r="BL811" t="s">
        <v>313</v>
      </c>
      <c r="BM811" t="s">
        <v>15766</v>
      </c>
      <c r="BN811" t="s">
        <v>74</v>
      </c>
      <c r="BO811" t="s">
        <v>74</v>
      </c>
      <c r="BP811" t="s">
        <v>74</v>
      </c>
      <c r="BQ811" t="s">
        <v>74</v>
      </c>
      <c r="BR811" t="s">
        <v>106</v>
      </c>
      <c r="BS811" t="s">
        <v>15767</v>
      </c>
      <c r="BT811" t="str">
        <f>HYPERLINK("https%3A%2F%2Fwww.webofscience.com%2Fwos%2Fwoscc%2Ffull-record%2FWOS:000936097700001","View Full Record in Web of Science")</f>
        <v>View Full Record in Web of Science</v>
      </c>
    </row>
    <row r="812" spans="1:72" x14ac:dyDescent="0.15">
      <c r="A812" t="s">
        <v>72</v>
      </c>
      <c r="B812" t="s">
        <v>15768</v>
      </c>
      <c r="C812" t="s">
        <v>74</v>
      </c>
      <c r="D812" t="s">
        <v>74</v>
      </c>
      <c r="E812" t="s">
        <v>74</v>
      </c>
      <c r="F812" t="s">
        <v>15769</v>
      </c>
      <c r="G812" t="s">
        <v>74</v>
      </c>
      <c r="H812" t="s">
        <v>74</v>
      </c>
      <c r="I812" t="s">
        <v>15770</v>
      </c>
      <c r="J812" t="s">
        <v>15771</v>
      </c>
      <c r="K812" t="s">
        <v>74</v>
      </c>
      <c r="L812" t="s">
        <v>74</v>
      </c>
      <c r="M812" t="s">
        <v>78</v>
      </c>
      <c r="N812" t="s">
        <v>112</v>
      </c>
      <c r="O812" t="s">
        <v>74</v>
      </c>
      <c r="P812" t="s">
        <v>74</v>
      </c>
      <c r="Q812" t="s">
        <v>74</v>
      </c>
      <c r="R812" t="s">
        <v>74</v>
      </c>
      <c r="S812" t="s">
        <v>74</v>
      </c>
      <c r="T812" t="s">
        <v>15772</v>
      </c>
      <c r="U812" t="s">
        <v>15773</v>
      </c>
      <c r="V812" t="s">
        <v>15774</v>
      </c>
      <c r="W812" t="s">
        <v>15775</v>
      </c>
      <c r="X812" t="s">
        <v>15776</v>
      </c>
      <c r="Y812" t="s">
        <v>15777</v>
      </c>
      <c r="Z812" t="s">
        <v>15778</v>
      </c>
      <c r="AA812" t="s">
        <v>74</v>
      </c>
      <c r="AB812" t="s">
        <v>15779</v>
      </c>
      <c r="AC812" t="s">
        <v>15780</v>
      </c>
      <c r="AD812" t="s">
        <v>15781</v>
      </c>
      <c r="AE812" t="s">
        <v>15782</v>
      </c>
      <c r="AF812" t="s">
        <v>74</v>
      </c>
      <c r="AG812">
        <v>40</v>
      </c>
      <c r="AH812">
        <v>6</v>
      </c>
      <c r="AI812">
        <v>6</v>
      </c>
      <c r="AJ812">
        <v>1</v>
      </c>
      <c r="AK812">
        <v>5</v>
      </c>
      <c r="AL812" t="s">
        <v>91</v>
      </c>
      <c r="AM812" t="s">
        <v>92</v>
      </c>
      <c r="AN812" t="s">
        <v>93</v>
      </c>
      <c r="AO812" t="s">
        <v>15783</v>
      </c>
      <c r="AP812" t="s">
        <v>15784</v>
      </c>
      <c r="AQ812" t="s">
        <v>74</v>
      </c>
      <c r="AR812" t="s">
        <v>15785</v>
      </c>
      <c r="AS812" t="s">
        <v>15786</v>
      </c>
      <c r="AT812" t="s">
        <v>8210</v>
      </c>
      <c r="AU812">
        <v>2023</v>
      </c>
      <c r="AV812">
        <v>80</v>
      </c>
      <c r="AW812">
        <v>2</v>
      </c>
      <c r="AX812" t="s">
        <v>74</v>
      </c>
      <c r="AY812" t="s">
        <v>74</v>
      </c>
      <c r="AZ812" t="s">
        <v>74</v>
      </c>
      <c r="BA812" t="s">
        <v>74</v>
      </c>
      <c r="BB812">
        <v>473</v>
      </c>
      <c r="BC812">
        <v>486</v>
      </c>
      <c r="BD812" t="s">
        <v>74</v>
      </c>
      <c r="BE812" t="s">
        <v>15787</v>
      </c>
      <c r="BF812" t="str">
        <f>HYPERLINK("http://dx.doi.org/10.1175/JAS-D-22-0138.1","http://dx.doi.org/10.1175/JAS-D-22-0138.1")</f>
        <v>http://dx.doi.org/10.1175/JAS-D-22-0138.1</v>
      </c>
      <c r="BG812" t="s">
        <v>74</v>
      </c>
      <c r="BH812" t="s">
        <v>74</v>
      </c>
      <c r="BI812">
        <v>14</v>
      </c>
      <c r="BJ812" t="s">
        <v>102</v>
      </c>
      <c r="BK812" t="s">
        <v>103</v>
      </c>
      <c r="BL812" t="s">
        <v>102</v>
      </c>
      <c r="BM812" t="s">
        <v>15788</v>
      </c>
      <c r="BN812" t="s">
        <v>74</v>
      </c>
      <c r="BO812" t="s">
        <v>74</v>
      </c>
      <c r="BP812" t="s">
        <v>74</v>
      </c>
      <c r="BQ812" t="s">
        <v>74</v>
      </c>
      <c r="BR812" t="s">
        <v>106</v>
      </c>
      <c r="BS812" t="s">
        <v>15789</v>
      </c>
      <c r="BT812" t="str">
        <f>HYPERLINK("https%3A%2F%2Fwww.webofscience.com%2Fwos%2Fwoscc%2Ffull-record%2FWOS:000933245300007","View Full Record in Web of Science")</f>
        <v>View Full Record in Web of Science</v>
      </c>
    </row>
    <row r="813" spans="1:72" x14ac:dyDescent="0.15">
      <c r="A813" t="s">
        <v>72</v>
      </c>
      <c r="B813" t="s">
        <v>15790</v>
      </c>
      <c r="C813" t="s">
        <v>74</v>
      </c>
      <c r="D813" t="s">
        <v>74</v>
      </c>
      <c r="E813" t="s">
        <v>74</v>
      </c>
      <c r="F813" t="s">
        <v>15791</v>
      </c>
      <c r="G813" t="s">
        <v>74</v>
      </c>
      <c r="H813" t="s">
        <v>74</v>
      </c>
      <c r="I813" t="s">
        <v>15792</v>
      </c>
      <c r="J813" t="s">
        <v>15793</v>
      </c>
      <c r="K813" t="s">
        <v>74</v>
      </c>
      <c r="L813" t="s">
        <v>74</v>
      </c>
      <c r="M813" t="s">
        <v>78</v>
      </c>
      <c r="N813" t="s">
        <v>365</v>
      </c>
      <c r="O813" t="s">
        <v>74</v>
      </c>
      <c r="P813" t="s">
        <v>74</v>
      </c>
      <c r="Q813" t="s">
        <v>74</v>
      </c>
      <c r="R813" t="s">
        <v>74</v>
      </c>
      <c r="S813" t="s">
        <v>74</v>
      </c>
      <c r="T813" t="s">
        <v>15794</v>
      </c>
      <c r="U813" t="s">
        <v>15795</v>
      </c>
      <c r="V813" t="s">
        <v>15796</v>
      </c>
      <c r="W813" t="s">
        <v>15797</v>
      </c>
      <c r="X813" t="s">
        <v>15798</v>
      </c>
      <c r="Y813" t="s">
        <v>15799</v>
      </c>
      <c r="Z813" t="s">
        <v>15800</v>
      </c>
      <c r="AA813" t="s">
        <v>15801</v>
      </c>
      <c r="AB813" t="s">
        <v>15802</v>
      </c>
      <c r="AC813" t="s">
        <v>15803</v>
      </c>
      <c r="AD813" t="s">
        <v>15804</v>
      </c>
      <c r="AE813" t="s">
        <v>15805</v>
      </c>
      <c r="AF813" t="s">
        <v>74</v>
      </c>
      <c r="AG813">
        <v>140</v>
      </c>
      <c r="AH813">
        <v>0</v>
      </c>
      <c r="AI813">
        <v>0</v>
      </c>
      <c r="AJ813">
        <v>5</v>
      </c>
      <c r="AK813">
        <v>15</v>
      </c>
      <c r="AL813" t="s">
        <v>125</v>
      </c>
      <c r="AM813" t="s">
        <v>126</v>
      </c>
      <c r="AN813" t="s">
        <v>127</v>
      </c>
      <c r="AO813" t="s">
        <v>74</v>
      </c>
      <c r="AP813" t="s">
        <v>15806</v>
      </c>
      <c r="AQ813" t="s">
        <v>74</v>
      </c>
      <c r="AR813" t="s">
        <v>15793</v>
      </c>
      <c r="AS813" t="s">
        <v>15807</v>
      </c>
      <c r="AT813" t="s">
        <v>8210</v>
      </c>
      <c r="AU813">
        <v>2023</v>
      </c>
      <c r="AV813">
        <v>28</v>
      </c>
      <c r="AW813">
        <v>3</v>
      </c>
      <c r="AX813" t="s">
        <v>74</v>
      </c>
      <c r="AY813" t="s">
        <v>74</v>
      </c>
      <c r="AZ813" t="s">
        <v>74</v>
      </c>
      <c r="BA813" t="s">
        <v>74</v>
      </c>
      <c r="BB813" t="s">
        <v>74</v>
      </c>
      <c r="BC813" t="s">
        <v>74</v>
      </c>
      <c r="BD813">
        <v>1452</v>
      </c>
      <c r="BE813" t="s">
        <v>15808</v>
      </c>
      <c r="BF813" t="str">
        <f>HYPERLINK("http://dx.doi.org/10.3390/molecules28031452","http://dx.doi.org/10.3390/molecules28031452")</f>
        <v>http://dx.doi.org/10.3390/molecules28031452</v>
      </c>
      <c r="BG813" t="s">
        <v>74</v>
      </c>
      <c r="BH813" t="s">
        <v>74</v>
      </c>
      <c r="BI813">
        <v>40</v>
      </c>
      <c r="BJ813" t="s">
        <v>5582</v>
      </c>
      <c r="BK813" t="s">
        <v>103</v>
      </c>
      <c r="BL813" t="s">
        <v>1875</v>
      </c>
      <c r="BM813" t="s">
        <v>15809</v>
      </c>
      <c r="BN813">
        <v>36771114</v>
      </c>
      <c r="BO813" t="s">
        <v>614</v>
      </c>
      <c r="BP813" t="s">
        <v>74</v>
      </c>
      <c r="BQ813" t="s">
        <v>74</v>
      </c>
      <c r="BR813" t="s">
        <v>106</v>
      </c>
      <c r="BS813" t="s">
        <v>15810</v>
      </c>
      <c r="BT813" t="str">
        <f>HYPERLINK("https%3A%2F%2Fwww.webofscience.com%2Fwos%2Fwoscc%2Ffull-record%2FWOS:000932881500001","View Full Record in Web of Science")</f>
        <v>View Full Record in Web of Science</v>
      </c>
    </row>
    <row r="814" spans="1:72" x14ac:dyDescent="0.15">
      <c r="A814" t="s">
        <v>72</v>
      </c>
      <c r="B814" t="s">
        <v>15811</v>
      </c>
      <c r="C814" t="s">
        <v>74</v>
      </c>
      <c r="D814" t="s">
        <v>74</v>
      </c>
      <c r="E814" t="s">
        <v>74</v>
      </c>
      <c r="F814" t="s">
        <v>15812</v>
      </c>
      <c r="G814" t="s">
        <v>74</v>
      </c>
      <c r="H814" t="s">
        <v>74</v>
      </c>
      <c r="I814" t="s">
        <v>15813</v>
      </c>
      <c r="J814" t="s">
        <v>1003</v>
      </c>
      <c r="K814" t="s">
        <v>74</v>
      </c>
      <c r="L814" t="s">
        <v>74</v>
      </c>
      <c r="M814" t="s">
        <v>78</v>
      </c>
      <c r="N814" t="s">
        <v>112</v>
      </c>
      <c r="O814" t="s">
        <v>74</v>
      </c>
      <c r="P814" t="s">
        <v>74</v>
      </c>
      <c r="Q814" t="s">
        <v>74</v>
      </c>
      <c r="R814" t="s">
        <v>74</v>
      </c>
      <c r="S814" t="s">
        <v>74</v>
      </c>
      <c r="T814" t="s">
        <v>15814</v>
      </c>
      <c r="U814" t="s">
        <v>15815</v>
      </c>
      <c r="V814" t="s">
        <v>15816</v>
      </c>
      <c r="W814" t="s">
        <v>15817</v>
      </c>
      <c r="X814" t="s">
        <v>15818</v>
      </c>
      <c r="Y814" t="s">
        <v>15819</v>
      </c>
      <c r="Z814" t="s">
        <v>15820</v>
      </c>
      <c r="AA814" t="s">
        <v>15821</v>
      </c>
      <c r="AB814" t="s">
        <v>15822</v>
      </c>
      <c r="AC814" t="s">
        <v>15823</v>
      </c>
      <c r="AD814" t="s">
        <v>15824</v>
      </c>
      <c r="AE814" t="s">
        <v>15825</v>
      </c>
      <c r="AF814" t="s">
        <v>74</v>
      </c>
      <c r="AG814">
        <v>66</v>
      </c>
      <c r="AH814">
        <v>2</v>
      </c>
      <c r="AI814">
        <v>2</v>
      </c>
      <c r="AJ814">
        <v>8</v>
      </c>
      <c r="AK814">
        <v>20</v>
      </c>
      <c r="AL814" t="s">
        <v>125</v>
      </c>
      <c r="AM814" t="s">
        <v>126</v>
      </c>
      <c r="AN814" t="s">
        <v>127</v>
      </c>
      <c r="AO814" t="s">
        <v>74</v>
      </c>
      <c r="AP814" t="s">
        <v>1015</v>
      </c>
      <c r="AQ814" t="s">
        <v>74</v>
      </c>
      <c r="AR814" t="s">
        <v>1003</v>
      </c>
      <c r="AS814" t="s">
        <v>1016</v>
      </c>
      <c r="AT814" t="s">
        <v>8210</v>
      </c>
      <c r="AU814">
        <v>2023</v>
      </c>
      <c r="AV814">
        <v>12</v>
      </c>
      <c r="AW814">
        <v>2</v>
      </c>
      <c r="AX814" t="s">
        <v>74</v>
      </c>
      <c r="AY814" t="s">
        <v>74</v>
      </c>
      <c r="AZ814" t="s">
        <v>74</v>
      </c>
      <c r="BA814" t="s">
        <v>74</v>
      </c>
      <c r="BB814" t="s">
        <v>74</v>
      </c>
      <c r="BC814" t="s">
        <v>74</v>
      </c>
      <c r="BD814">
        <v>275</v>
      </c>
      <c r="BE814" t="s">
        <v>15826</v>
      </c>
      <c r="BF814" t="str">
        <f>HYPERLINK("http://dx.doi.org/10.3390/biology12020275","http://dx.doi.org/10.3390/biology12020275")</f>
        <v>http://dx.doi.org/10.3390/biology12020275</v>
      </c>
      <c r="BG814" t="s">
        <v>74</v>
      </c>
      <c r="BH814" t="s">
        <v>74</v>
      </c>
      <c r="BI814">
        <v>13</v>
      </c>
      <c r="BJ814" t="s">
        <v>1018</v>
      </c>
      <c r="BK814" t="s">
        <v>103</v>
      </c>
      <c r="BL814" t="s">
        <v>1019</v>
      </c>
      <c r="BM814" t="s">
        <v>15827</v>
      </c>
      <c r="BN814">
        <v>36829552</v>
      </c>
      <c r="BO814" t="s">
        <v>5068</v>
      </c>
      <c r="BP814" t="s">
        <v>74</v>
      </c>
      <c r="BQ814" t="s">
        <v>74</v>
      </c>
      <c r="BR814" t="s">
        <v>106</v>
      </c>
      <c r="BS814" t="s">
        <v>15828</v>
      </c>
      <c r="BT814" t="str">
        <f>HYPERLINK("https%3A%2F%2Fwww.webofscience.com%2Fwos%2Fwoscc%2Ffull-record%2FWOS:000938872900001","View Full Record in Web of Science")</f>
        <v>View Full Record in Web of Science</v>
      </c>
    </row>
    <row r="815" spans="1:72" x14ac:dyDescent="0.15">
      <c r="A815" t="s">
        <v>72</v>
      </c>
      <c r="B815" t="s">
        <v>15829</v>
      </c>
      <c r="C815" t="s">
        <v>74</v>
      </c>
      <c r="D815" t="s">
        <v>74</v>
      </c>
      <c r="E815" t="s">
        <v>74</v>
      </c>
      <c r="F815" t="s">
        <v>15830</v>
      </c>
      <c r="G815" t="s">
        <v>74</v>
      </c>
      <c r="H815" t="s">
        <v>74</v>
      </c>
      <c r="I815" t="s">
        <v>15831</v>
      </c>
      <c r="J815" t="s">
        <v>15832</v>
      </c>
      <c r="K815" t="s">
        <v>74</v>
      </c>
      <c r="L815" t="s">
        <v>74</v>
      </c>
      <c r="M815" t="s">
        <v>78</v>
      </c>
      <c r="N815" t="s">
        <v>112</v>
      </c>
      <c r="O815" t="s">
        <v>74</v>
      </c>
      <c r="P815" t="s">
        <v>74</v>
      </c>
      <c r="Q815" t="s">
        <v>74</v>
      </c>
      <c r="R815" t="s">
        <v>74</v>
      </c>
      <c r="S815" t="s">
        <v>74</v>
      </c>
      <c r="T815" t="s">
        <v>15833</v>
      </c>
      <c r="U815" t="s">
        <v>15834</v>
      </c>
      <c r="V815" t="s">
        <v>15835</v>
      </c>
      <c r="W815" t="s">
        <v>15836</v>
      </c>
      <c r="X815" t="s">
        <v>15837</v>
      </c>
      <c r="Y815" t="s">
        <v>15838</v>
      </c>
      <c r="Z815" t="s">
        <v>15839</v>
      </c>
      <c r="AA815" t="s">
        <v>74</v>
      </c>
      <c r="AB815" t="s">
        <v>15840</v>
      </c>
      <c r="AC815" t="s">
        <v>15841</v>
      </c>
      <c r="AD815" t="s">
        <v>15842</v>
      </c>
      <c r="AE815" t="s">
        <v>15843</v>
      </c>
      <c r="AF815" t="s">
        <v>74</v>
      </c>
      <c r="AG815">
        <v>57</v>
      </c>
      <c r="AH815">
        <v>2</v>
      </c>
      <c r="AI815">
        <v>2</v>
      </c>
      <c r="AJ815">
        <v>2</v>
      </c>
      <c r="AK815">
        <v>12</v>
      </c>
      <c r="AL815" t="s">
        <v>125</v>
      </c>
      <c r="AM815" t="s">
        <v>126</v>
      </c>
      <c r="AN815" t="s">
        <v>127</v>
      </c>
      <c r="AO815" t="s">
        <v>74</v>
      </c>
      <c r="AP815" t="s">
        <v>15844</v>
      </c>
      <c r="AQ815" t="s">
        <v>74</v>
      </c>
      <c r="AR815" t="s">
        <v>15845</v>
      </c>
      <c r="AS815" t="s">
        <v>3746</v>
      </c>
      <c r="AT815" t="s">
        <v>8210</v>
      </c>
      <c r="AU815">
        <v>2023</v>
      </c>
      <c r="AV815">
        <v>11</v>
      </c>
      <c r="AW815">
        <v>3</v>
      </c>
      <c r="AX815" t="s">
        <v>74</v>
      </c>
      <c r="AY815" t="s">
        <v>74</v>
      </c>
      <c r="AZ815" t="s">
        <v>74</v>
      </c>
      <c r="BA815" t="s">
        <v>74</v>
      </c>
      <c r="BB815" t="s">
        <v>74</v>
      </c>
      <c r="BC815" t="s">
        <v>74</v>
      </c>
      <c r="BD815">
        <v>672</v>
      </c>
      <c r="BE815" t="s">
        <v>15846</v>
      </c>
      <c r="BF815" t="str">
        <f>HYPERLINK("http://dx.doi.org/10.3390/math11030672","http://dx.doi.org/10.3390/math11030672")</f>
        <v>http://dx.doi.org/10.3390/math11030672</v>
      </c>
      <c r="BG815" t="s">
        <v>74</v>
      </c>
      <c r="BH815" t="s">
        <v>74</v>
      </c>
      <c r="BI815">
        <v>27</v>
      </c>
      <c r="BJ815" t="s">
        <v>3746</v>
      </c>
      <c r="BK815" t="s">
        <v>103</v>
      </c>
      <c r="BL815" t="s">
        <v>3746</v>
      </c>
      <c r="BM815" t="s">
        <v>15847</v>
      </c>
      <c r="BN815" t="s">
        <v>74</v>
      </c>
      <c r="BO815" t="s">
        <v>359</v>
      </c>
      <c r="BP815" t="s">
        <v>74</v>
      </c>
      <c r="BQ815" t="s">
        <v>74</v>
      </c>
      <c r="BR815" t="s">
        <v>106</v>
      </c>
      <c r="BS815" t="s">
        <v>15848</v>
      </c>
      <c r="BT815" t="str">
        <f>HYPERLINK("https%3A%2F%2Fwww.webofscience.com%2Fwos%2Fwoscc%2Ffull-record%2FWOS:000932913600001","View Full Record in Web of Science")</f>
        <v>View Full Record in Web of Science</v>
      </c>
    </row>
    <row r="816" spans="1:72" x14ac:dyDescent="0.15">
      <c r="A816" t="s">
        <v>72</v>
      </c>
      <c r="B816" t="s">
        <v>15849</v>
      </c>
      <c r="C816" t="s">
        <v>74</v>
      </c>
      <c r="D816" t="s">
        <v>74</v>
      </c>
      <c r="E816" t="s">
        <v>74</v>
      </c>
      <c r="F816" t="s">
        <v>15850</v>
      </c>
      <c r="G816" t="s">
        <v>74</v>
      </c>
      <c r="H816" t="s">
        <v>74</v>
      </c>
      <c r="I816" t="s">
        <v>15851</v>
      </c>
      <c r="J816" t="s">
        <v>933</v>
      </c>
      <c r="K816" t="s">
        <v>74</v>
      </c>
      <c r="L816" t="s">
        <v>74</v>
      </c>
      <c r="M816" t="s">
        <v>78</v>
      </c>
      <c r="N816" t="s">
        <v>112</v>
      </c>
      <c r="O816" t="s">
        <v>74</v>
      </c>
      <c r="P816" t="s">
        <v>74</v>
      </c>
      <c r="Q816" t="s">
        <v>74</v>
      </c>
      <c r="R816" t="s">
        <v>74</v>
      </c>
      <c r="S816" t="s">
        <v>74</v>
      </c>
      <c r="T816" t="s">
        <v>15852</v>
      </c>
      <c r="U816" t="s">
        <v>15853</v>
      </c>
      <c r="V816" t="s">
        <v>15854</v>
      </c>
      <c r="W816" t="s">
        <v>15855</v>
      </c>
      <c r="X816" t="s">
        <v>15856</v>
      </c>
      <c r="Y816" t="s">
        <v>15857</v>
      </c>
      <c r="Z816" t="s">
        <v>15858</v>
      </c>
      <c r="AA816" t="s">
        <v>15859</v>
      </c>
      <c r="AB816" t="s">
        <v>15860</v>
      </c>
      <c r="AC816" t="s">
        <v>15861</v>
      </c>
      <c r="AD816" t="s">
        <v>15862</v>
      </c>
      <c r="AE816" t="s">
        <v>15863</v>
      </c>
      <c r="AF816" t="s">
        <v>74</v>
      </c>
      <c r="AG816">
        <v>20</v>
      </c>
      <c r="AH816">
        <v>4</v>
      </c>
      <c r="AI816">
        <v>4</v>
      </c>
      <c r="AJ816">
        <v>3</v>
      </c>
      <c r="AK816">
        <v>8</v>
      </c>
      <c r="AL816" t="s">
        <v>125</v>
      </c>
      <c r="AM816" t="s">
        <v>126</v>
      </c>
      <c r="AN816" t="s">
        <v>127</v>
      </c>
      <c r="AO816" t="s">
        <v>74</v>
      </c>
      <c r="AP816" t="s">
        <v>946</v>
      </c>
      <c r="AQ816" t="s">
        <v>74</v>
      </c>
      <c r="AR816" t="s">
        <v>947</v>
      </c>
      <c r="AS816" t="s">
        <v>948</v>
      </c>
      <c r="AT816" t="s">
        <v>8210</v>
      </c>
      <c r="AU816">
        <v>2023</v>
      </c>
      <c r="AV816">
        <v>14</v>
      </c>
      <c r="AW816">
        <v>2</v>
      </c>
      <c r="AX816" t="s">
        <v>74</v>
      </c>
      <c r="AY816" t="s">
        <v>74</v>
      </c>
      <c r="AZ816" t="s">
        <v>74</v>
      </c>
      <c r="BA816" t="s">
        <v>74</v>
      </c>
      <c r="BB816" t="s">
        <v>74</v>
      </c>
      <c r="BC816" t="s">
        <v>74</v>
      </c>
      <c r="BD816">
        <v>217</v>
      </c>
      <c r="BE816" t="s">
        <v>15864</v>
      </c>
      <c r="BF816" t="str">
        <f>HYPERLINK("http://dx.doi.org/10.3390/atmos14020217","http://dx.doi.org/10.3390/atmos14020217")</f>
        <v>http://dx.doi.org/10.3390/atmos14020217</v>
      </c>
      <c r="BG816" t="s">
        <v>74</v>
      </c>
      <c r="BH816" t="s">
        <v>74</v>
      </c>
      <c r="BI816">
        <v>9</v>
      </c>
      <c r="BJ816" t="s">
        <v>356</v>
      </c>
      <c r="BK816" t="s">
        <v>103</v>
      </c>
      <c r="BL816" t="s">
        <v>357</v>
      </c>
      <c r="BM816" t="s">
        <v>15865</v>
      </c>
      <c r="BN816" t="s">
        <v>74</v>
      </c>
      <c r="BO816" t="s">
        <v>359</v>
      </c>
      <c r="BP816" t="s">
        <v>74</v>
      </c>
      <c r="BQ816" t="s">
        <v>74</v>
      </c>
      <c r="BR816" t="s">
        <v>106</v>
      </c>
      <c r="BS816" t="s">
        <v>15866</v>
      </c>
      <c r="BT816" t="str">
        <f>HYPERLINK("https%3A%2F%2Fwww.webofscience.com%2Fwos%2Fwoscc%2Ffull-record%2FWOS:000938729000001","View Full Record in Web of Science")</f>
        <v>View Full Record in Web of Science</v>
      </c>
    </row>
    <row r="817" spans="1:72" x14ac:dyDescent="0.15">
      <c r="A817" t="s">
        <v>72</v>
      </c>
      <c r="B817" t="s">
        <v>15867</v>
      </c>
      <c r="C817" t="s">
        <v>74</v>
      </c>
      <c r="D817" t="s">
        <v>74</v>
      </c>
      <c r="E817" t="s">
        <v>74</v>
      </c>
      <c r="F817" t="s">
        <v>15868</v>
      </c>
      <c r="G817" t="s">
        <v>74</v>
      </c>
      <c r="H817" t="s">
        <v>74</v>
      </c>
      <c r="I817" t="s">
        <v>15869</v>
      </c>
      <c r="J817" t="s">
        <v>1170</v>
      </c>
      <c r="K817" t="s">
        <v>74</v>
      </c>
      <c r="L817" t="s">
        <v>74</v>
      </c>
      <c r="M817" t="s">
        <v>78</v>
      </c>
      <c r="N817" t="s">
        <v>112</v>
      </c>
      <c r="O817" t="s">
        <v>74</v>
      </c>
      <c r="P817" t="s">
        <v>74</v>
      </c>
      <c r="Q817" t="s">
        <v>74</v>
      </c>
      <c r="R817" t="s">
        <v>74</v>
      </c>
      <c r="S817" t="s">
        <v>74</v>
      </c>
      <c r="T817" t="s">
        <v>15870</v>
      </c>
      <c r="U817" t="s">
        <v>15871</v>
      </c>
      <c r="V817" t="s">
        <v>15872</v>
      </c>
      <c r="W817" t="s">
        <v>15873</v>
      </c>
      <c r="X817" t="s">
        <v>15874</v>
      </c>
      <c r="Y817" t="s">
        <v>15875</v>
      </c>
      <c r="Z817" t="s">
        <v>15876</v>
      </c>
      <c r="AA817" t="s">
        <v>15877</v>
      </c>
      <c r="AB817" t="s">
        <v>15878</v>
      </c>
      <c r="AC817" t="s">
        <v>74</v>
      </c>
      <c r="AD817" t="s">
        <v>74</v>
      </c>
      <c r="AE817" t="s">
        <v>74</v>
      </c>
      <c r="AF817" t="s">
        <v>74</v>
      </c>
      <c r="AG817">
        <v>63</v>
      </c>
      <c r="AH817">
        <v>3</v>
      </c>
      <c r="AI817">
        <v>3</v>
      </c>
      <c r="AJ817">
        <v>1</v>
      </c>
      <c r="AK817">
        <v>2</v>
      </c>
      <c r="AL817" t="s">
        <v>125</v>
      </c>
      <c r="AM817" t="s">
        <v>126</v>
      </c>
      <c r="AN817" t="s">
        <v>127</v>
      </c>
      <c r="AO817" t="s">
        <v>74</v>
      </c>
      <c r="AP817" t="s">
        <v>1182</v>
      </c>
      <c r="AQ817" t="s">
        <v>74</v>
      </c>
      <c r="AR817" t="s">
        <v>1183</v>
      </c>
      <c r="AS817" t="s">
        <v>1184</v>
      </c>
      <c r="AT817" t="s">
        <v>8210</v>
      </c>
      <c r="AU817">
        <v>2023</v>
      </c>
      <c r="AV817">
        <v>13</v>
      </c>
      <c r="AW817">
        <v>4</v>
      </c>
      <c r="AX817" t="s">
        <v>74</v>
      </c>
      <c r="AY817" t="s">
        <v>74</v>
      </c>
      <c r="AZ817" t="s">
        <v>74</v>
      </c>
      <c r="BA817" t="s">
        <v>74</v>
      </c>
      <c r="BB817" t="s">
        <v>74</v>
      </c>
      <c r="BC817" t="s">
        <v>74</v>
      </c>
      <c r="BD817">
        <v>2683</v>
      </c>
      <c r="BE817" t="s">
        <v>15879</v>
      </c>
      <c r="BF817" t="str">
        <f>HYPERLINK("http://dx.doi.org/10.3390/app13042683","http://dx.doi.org/10.3390/app13042683")</f>
        <v>http://dx.doi.org/10.3390/app13042683</v>
      </c>
      <c r="BG817" t="s">
        <v>74</v>
      </c>
      <c r="BH817" t="s">
        <v>74</v>
      </c>
      <c r="BI817">
        <v>12</v>
      </c>
      <c r="BJ817" t="s">
        <v>1186</v>
      </c>
      <c r="BK817" t="s">
        <v>103</v>
      </c>
      <c r="BL817" t="s">
        <v>1187</v>
      </c>
      <c r="BM817" t="s">
        <v>15880</v>
      </c>
      <c r="BN817" t="s">
        <v>74</v>
      </c>
      <c r="BO817" t="s">
        <v>359</v>
      </c>
      <c r="BP817" t="s">
        <v>74</v>
      </c>
      <c r="BQ817" t="s">
        <v>74</v>
      </c>
      <c r="BR817" t="s">
        <v>106</v>
      </c>
      <c r="BS817" t="s">
        <v>15881</v>
      </c>
      <c r="BT817" t="str">
        <f>HYPERLINK("https%3A%2F%2Fwww.webofscience.com%2Fwos%2Fwoscc%2Ffull-record%2FWOS:000938814100001","View Full Record in Web of Science")</f>
        <v>View Full Record in Web of Science</v>
      </c>
    </row>
    <row r="818" spans="1:72" x14ac:dyDescent="0.15">
      <c r="A818" t="s">
        <v>72</v>
      </c>
      <c r="B818" t="s">
        <v>15882</v>
      </c>
      <c r="C818" t="s">
        <v>74</v>
      </c>
      <c r="D818" t="s">
        <v>74</v>
      </c>
      <c r="E818" t="s">
        <v>74</v>
      </c>
      <c r="F818" t="s">
        <v>15883</v>
      </c>
      <c r="G818" t="s">
        <v>74</v>
      </c>
      <c r="H818" t="s">
        <v>74</v>
      </c>
      <c r="I818" t="s">
        <v>15884</v>
      </c>
      <c r="J818" t="s">
        <v>933</v>
      </c>
      <c r="K818" t="s">
        <v>74</v>
      </c>
      <c r="L818" t="s">
        <v>74</v>
      </c>
      <c r="M818" t="s">
        <v>78</v>
      </c>
      <c r="N818" t="s">
        <v>365</v>
      </c>
      <c r="O818" t="s">
        <v>74</v>
      </c>
      <c r="P818" t="s">
        <v>74</v>
      </c>
      <c r="Q818" t="s">
        <v>74</v>
      </c>
      <c r="R818" t="s">
        <v>74</v>
      </c>
      <c r="S818" t="s">
        <v>74</v>
      </c>
      <c r="T818" t="s">
        <v>15885</v>
      </c>
      <c r="U818" t="s">
        <v>15886</v>
      </c>
      <c r="V818" t="s">
        <v>15887</v>
      </c>
      <c r="W818" t="s">
        <v>15888</v>
      </c>
      <c r="X818" t="s">
        <v>15889</v>
      </c>
      <c r="Y818" t="s">
        <v>15890</v>
      </c>
      <c r="Z818" t="s">
        <v>15891</v>
      </c>
      <c r="AA818" t="s">
        <v>15892</v>
      </c>
      <c r="AB818" t="s">
        <v>15893</v>
      </c>
      <c r="AC818" t="s">
        <v>15894</v>
      </c>
      <c r="AD818" t="s">
        <v>15895</v>
      </c>
      <c r="AE818" t="s">
        <v>15896</v>
      </c>
      <c r="AF818" t="s">
        <v>74</v>
      </c>
      <c r="AG818">
        <v>84</v>
      </c>
      <c r="AH818">
        <v>0</v>
      </c>
      <c r="AI818">
        <v>0</v>
      </c>
      <c r="AJ818">
        <v>38</v>
      </c>
      <c r="AK818">
        <v>67</v>
      </c>
      <c r="AL818" t="s">
        <v>125</v>
      </c>
      <c r="AM818" t="s">
        <v>126</v>
      </c>
      <c r="AN818" t="s">
        <v>127</v>
      </c>
      <c r="AO818" t="s">
        <v>74</v>
      </c>
      <c r="AP818" t="s">
        <v>946</v>
      </c>
      <c r="AQ818" t="s">
        <v>74</v>
      </c>
      <c r="AR818" t="s">
        <v>947</v>
      </c>
      <c r="AS818" t="s">
        <v>948</v>
      </c>
      <c r="AT818" t="s">
        <v>8210</v>
      </c>
      <c r="AU818">
        <v>2023</v>
      </c>
      <c r="AV818">
        <v>14</v>
      </c>
      <c r="AW818">
        <v>2</v>
      </c>
      <c r="AX818" t="s">
        <v>74</v>
      </c>
      <c r="AY818" t="s">
        <v>74</v>
      </c>
      <c r="AZ818" t="s">
        <v>74</v>
      </c>
      <c r="BA818" t="s">
        <v>74</v>
      </c>
      <c r="BB818" t="s">
        <v>74</v>
      </c>
      <c r="BC818" t="s">
        <v>74</v>
      </c>
      <c r="BD818">
        <v>402</v>
      </c>
      <c r="BE818" t="s">
        <v>15897</v>
      </c>
      <c r="BF818" t="str">
        <f>HYPERLINK("http://dx.doi.org/10.3390/atmos14020402","http://dx.doi.org/10.3390/atmos14020402")</f>
        <v>http://dx.doi.org/10.3390/atmos14020402</v>
      </c>
      <c r="BG818" t="s">
        <v>74</v>
      </c>
      <c r="BH818" t="s">
        <v>74</v>
      </c>
      <c r="BI818">
        <v>15</v>
      </c>
      <c r="BJ818" t="s">
        <v>356</v>
      </c>
      <c r="BK818" t="s">
        <v>103</v>
      </c>
      <c r="BL818" t="s">
        <v>357</v>
      </c>
      <c r="BM818" t="s">
        <v>15898</v>
      </c>
      <c r="BN818" t="s">
        <v>74</v>
      </c>
      <c r="BO818" t="s">
        <v>136</v>
      </c>
      <c r="BP818" t="s">
        <v>74</v>
      </c>
      <c r="BQ818" t="s">
        <v>74</v>
      </c>
      <c r="BR818" t="s">
        <v>106</v>
      </c>
      <c r="BS818" t="s">
        <v>15899</v>
      </c>
      <c r="BT818" t="str">
        <f>HYPERLINK("https%3A%2F%2Fwww.webofscience.com%2Fwos%2Fwoscc%2Ffull-record%2FWOS:000938757800001","View Full Record in Web of Science")</f>
        <v>View Full Record in Web of Science</v>
      </c>
    </row>
    <row r="819" spans="1:72" x14ac:dyDescent="0.15">
      <c r="A819" t="s">
        <v>72</v>
      </c>
      <c r="B819" t="s">
        <v>15900</v>
      </c>
      <c r="C819" t="s">
        <v>74</v>
      </c>
      <c r="D819" t="s">
        <v>74</v>
      </c>
      <c r="E819" t="s">
        <v>74</v>
      </c>
      <c r="F819" t="s">
        <v>15901</v>
      </c>
      <c r="G819" t="s">
        <v>74</v>
      </c>
      <c r="H819" t="s">
        <v>74</v>
      </c>
      <c r="I819" t="s">
        <v>15902</v>
      </c>
      <c r="J819" t="s">
        <v>933</v>
      </c>
      <c r="K819" t="s">
        <v>74</v>
      </c>
      <c r="L819" t="s">
        <v>74</v>
      </c>
      <c r="M819" t="s">
        <v>78</v>
      </c>
      <c r="N819" t="s">
        <v>112</v>
      </c>
      <c r="O819" t="s">
        <v>74</v>
      </c>
      <c r="P819" t="s">
        <v>74</v>
      </c>
      <c r="Q819" t="s">
        <v>74</v>
      </c>
      <c r="R819" t="s">
        <v>74</v>
      </c>
      <c r="S819" t="s">
        <v>74</v>
      </c>
      <c r="T819" t="s">
        <v>15903</v>
      </c>
      <c r="U819" t="s">
        <v>15904</v>
      </c>
      <c r="V819" t="s">
        <v>15905</v>
      </c>
      <c r="W819" t="s">
        <v>15906</v>
      </c>
      <c r="X819" t="s">
        <v>15907</v>
      </c>
      <c r="Y819" t="s">
        <v>15908</v>
      </c>
      <c r="Z819" t="s">
        <v>15909</v>
      </c>
      <c r="AA819" t="s">
        <v>15910</v>
      </c>
      <c r="AB819" t="s">
        <v>15911</v>
      </c>
      <c r="AC819" t="s">
        <v>74</v>
      </c>
      <c r="AD819" t="s">
        <v>74</v>
      </c>
      <c r="AE819" t="s">
        <v>74</v>
      </c>
      <c r="AF819" t="s">
        <v>74</v>
      </c>
      <c r="AG819">
        <v>46</v>
      </c>
      <c r="AH819">
        <v>1</v>
      </c>
      <c r="AI819">
        <v>1</v>
      </c>
      <c r="AJ819">
        <v>6</v>
      </c>
      <c r="AK819">
        <v>13</v>
      </c>
      <c r="AL819" t="s">
        <v>125</v>
      </c>
      <c r="AM819" t="s">
        <v>126</v>
      </c>
      <c r="AN819" t="s">
        <v>127</v>
      </c>
      <c r="AO819" t="s">
        <v>74</v>
      </c>
      <c r="AP819" t="s">
        <v>946</v>
      </c>
      <c r="AQ819" t="s">
        <v>74</v>
      </c>
      <c r="AR819" t="s">
        <v>947</v>
      </c>
      <c r="AS819" t="s">
        <v>948</v>
      </c>
      <c r="AT819" t="s">
        <v>8210</v>
      </c>
      <c r="AU819">
        <v>2023</v>
      </c>
      <c r="AV819">
        <v>14</v>
      </c>
      <c r="AW819">
        <v>2</v>
      </c>
      <c r="AX819" t="s">
        <v>74</v>
      </c>
      <c r="AY819" t="s">
        <v>74</v>
      </c>
      <c r="AZ819" t="s">
        <v>74</v>
      </c>
      <c r="BA819" t="s">
        <v>74</v>
      </c>
      <c r="BB819" t="s">
        <v>74</v>
      </c>
      <c r="BC819" t="s">
        <v>74</v>
      </c>
      <c r="BD819">
        <v>193</v>
      </c>
      <c r="BE819" t="s">
        <v>15912</v>
      </c>
      <c r="BF819" t="str">
        <f>HYPERLINK("http://dx.doi.org/10.3390/atmos14020193","http://dx.doi.org/10.3390/atmos14020193")</f>
        <v>http://dx.doi.org/10.3390/atmos14020193</v>
      </c>
      <c r="BG819" t="s">
        <v>74</v>
      </c>
      <c r="BH819" t="s">
        <v>74</v>
      </c>
      <c r="BI819">
        <v>21</v>
      </c>
      <c r="BJ819" t="s">
        <v>356</v>
      </c>
      <c r="BK819" t="s">
        <v>103</v>
      </c>
      <c r="BL819" t="s">
        <v>357</v>
      </c>
      <c r="BM819" t="s">
        <v>15913</v>
      </c>
      <c r="BN819" t="s">
        <v>74</v>
      </c>
      <c r="BO819" t="s">
        <v>359</v>
      </c>
      <c r="BP819" t="s">
        <v>74</v>
      </c>
      <c r="BQ819" t="s">
        <v>74</v>
      </c>
      <c r="BR819" t="s">
        <v>106</v>
      </c>
      <c r="BS819" t="s">
        <v>15914</v>
      </c>
      <c r="BT819" t="str">
        <f>HYPERLINK("https%3A%2F%2Fwww.webofscience.com%2Fwos%2Fwoscc%2Ffull-record%2FWOS:000938216900001","View Full Record in Web of Science")</f>
        <v>View Full Record in Web of Science</v>
      </c>
    </row>
    <row r="820" spans="1:72" x14ac:dyDescent="0.15">
      <c r="A820" t="s">
        <v>72</v>
      </c>
      <c r="B820" t="s">
        <v>15915</v>
      </c>
      <c r="C820" t="s">
        <v>74</v>
      </c>
      <c r="D820" t="s">
        <v>74</v>
      </c>
      <c r="E820" t="s">
        <v>74</v>
      </c>
      <c r="F820" t="s">
        <v>15916</v>
      </c>
      <c r="G820" t="s">
        <v>74</v>
      </c>
      <c r="H820" t="s">
        <v>74</v>
      </c>
      <c r="I820" t="s">
        <v>15917</v>
      </c>
      <c r="J820" t="s">
        <v>15726</v>
      </c>
      <c r="K820" t="s">
        <v>74</v>
      </c>
      <c r="L820" t="s">
        <v>74</v>
      </c>
      <c r="M820" t="s">
        <v>78</v>
      </c>
      <c r="N820" t="s">
        <v>112</v>
      </c>
      <c r="O820" t="s">
        <v>74</v>
      </c>
      <c r="P820" t="s">
        <v>74</v>
      </c>
      <c r="Q820" t="s">
        <v>74</v>
      </c>
      <c r="R820" t="s">
        <v>74</v>
      </c>
      <c r="S820" t="s">
        <v>74</v>
      </c>
      <c r="T820" t="s">
        <v>15918</v>
      </c>
      <c r="U820" t="s">
        <v>15919</v>
      </c>
      <c r="V820" t="s">
        <v>15920</v>
      </c>
      <c r="W820" t="s">
        <v>15921</v>
      </c>
      <c r="X820" t="s">
        <v>15922</v>
      </c>
      <c r="Y820" t="s">
        <v>15923</v>
      </c>
      <c r="Z820" t="s">
        <v>15924</v>
      </c>
      <c r="AA820" t="s">
        <v>15925</v>
      </c>
      <c r="AB820" t="s">
        <v>15926</v>
      </c>
      <c r="AC820" t="s">
        <v>15927</v>
      </c>
      <c r="AD820" t="s">
        <v>15928</v>
      </c>
      <c r="AE820" t="s">
        <v>15929</v>
      </c>
      <c r="AF820" t="s">
        <v>74</v>
      </c>
      <c r="AG820">
        <v>91</v>
      </c>
      <c r="AH820">
        <v>1</v>
      </c>
      <c r="AI820">
        <v>1</v>
      </c>
      <c r="AJ820">
        <v>7</v>
      </c>
      <c r="AK820">
        <v>12</v>
      </c>
      <c r="AL820" t="s">
        <v>125</v>
      </c>
      <c r="AM820" t="s">
        <v>126</v>
      </c>
      <c r="AN820" t="s">
        <v>127</v>
      </c>
      <c r="AO820" t="s">
        <v>74</v>
      </c>
      <c r="AP820" t="s">
        <v>15739</v>
      </c>
      <c r="AQ820" t="s">
        <v>74</v>
      </c>
      <c r="AR820" t="s">
        <v>15726</v>
      </c>
      <c r="AS820" t="s">
        <v>15740</v>
      </c>
      <c r="AT820" t="s">
        <v>8210</v>
      </c>
      <c r="AU820">
        <v>2023</v>
      </c>
      <c r="AV820">
        <v>12</v>
      </c>
      <c r="AW820">
        <v>3</v>
      </c>
      <c r="AX820" t="s">
        <v>74</v>
      </c>
      <c r="AY820" t="s">
        <v>74</v>
      </c>
      <c r="AZ820" t="s">
        <v>74</v>
      </c>
      <c r="BA820" t="s">
        <v>74</v>
      </c>
      <c r="BB820" t="s">
        <v>74</v>
      </c>
      <c r="BC820" t="s">
        <v>74</v>
      </c>
      <c r="BD820">
        <v>499</v>
      </c>
      <c r="BE820" t="s">
        <v>15930</v>
      </c>
      <c r="BF820" t="str">
        <f>HYPERLINK("http://dx.doi.org/10.3390/plants12030499","http://dx.doi.org/10.3390/plants12030499")</f>
        <v>http://dx.doi.org/10.3390/plants12030499</v>
      </c>
      <c r="BG820" t="s">
        <v>74</v>
      </c>
      <c r="BH820" t="s">
        <v>74</v>
      </c>
      <c r="BI820">
        <v>16</v>
      </c>
      <c r="BJ820" t="s">
        <v>2123</v>
      </c>
      <c r="BK820" t="s">
        <v>103</v>
      </c>
      <c r="BL820" t="s">
        <v>2123</v>
      </c>
      <c r="BM820" t="s">
        <v>15931</v>
      </c>
      <c r="BN820">
        <v>36771584</v>
      </c>
      <c r="BO820" t="s">
        <v>614</v>
      </c>
      <c r="BP820" t="s">
        <v>74</v>
      </c>
      <c r="BQ820" t="s">
        <v>74</v>
      </c>
      <c r="BR820" t="s">
        <v>106</v>
      </c>
      <c r="BS820" t="s">
        <v>15932</v>
      </c>
      <c r="BT820" t="str">
        <f>HYPERLINK("https%3A%2F%2Fwww.webofscience.com%2Fwos%2Fwoscc%2Ffull-record%2FWOS:000929706800001","View Full Record in Web of Science")</f>
        <v>View Full Record in Web of Science</v>
      </c>
    </row>
    <row r="821" spans="1:72" x14ac:dyDescent="0.15">
      <c r="A821" t="s">
        <v>72</v>
      </c>
      <c r="B821" t="s">
        <v>15933</v>
      </c>
      <c r="C821" t="s">
        <v>74</v>
      </c>
      <c r="D821" t="s">
        <v>74</v>
      </c>
      <c r="E821" t="s">
        <v>74</v>
      </c>
      <c r="F821" t="s">
        <v>15934</v>
      </c>
      <c r="G821" t="s">
        <v>74</v>
      </c>
      <c r="H821" t="s">
        <v>74</v>
      </c>
      <c r="I821" t="s">
        <v>15935</v>
      </c>
      <c r="J821" t="s">
        <v>1170</v>
      </c>
      <c r="K821" t="s">
        <v>74</v>
      </c>
      <c r="L821" t="s">
        <v>74</v>
      </c>
      <c r="M821" t="s">
        <v>78</v>
      </c>
      <c r="N821" t="s">
        <v>112</v>
      </c>
      <c r="O821" t="s">
        <v>74</v>
      </c>
      <c r="P821" t="s">
        <v>74</v>
      </c>
      <c r="Q821" t="s">
        <v>74</v>
      </c>
      <c r="R821" t="s">
        <v>74</v>
      </c>
      <c r="S821" t="s">
        <v>74</v>
      </c>
      <c r="T821" t="s">
        <v>15936</v>
      </c>
      <c r="U821" t="s">
        <v>15937</v>
      </c>
      <c r="V821" t="s">
        <v>15938</v>
      </c>
      <c r="W821" t="s">
        <v>15939</v>
      </c>
      <c r="X821" t="s">
        <v>15940</v>
      </c>
      <c r="Y821" t="s">
        <v>15941</v>
      </c>
      <c r="Z821" t="s">
        <v>15942</v>
      </c>
      <c r="AA821" t="s">
        <v>15943</v>
      </c>
      <c r="AB821" t="s">
        <v>15944</v>
      </c>
      <c r="AC821" t="s">
        <v>15945</v>
      </c>
      <c r="AD821" t="s">
        <v>15946</v>
      </c>
      <c r="AE821" t="s">
        <v>15947</v>
      </c>
      <c r="AF821" t="s">
        <v>74</v>
      </c>
      <c r="AG821">
        <v>43</v>
      </c>
      <c r="AH821">
        <v>2</v>
      </c>
      <c r="AI821">
        <v>2</v>
      </c>
      <c r="AJ821">
        <v>1</v>
      </c>
      <c r="AK821">
        <v>8</v>
      </c>
      <c r="AL821" t="s">
        <v>125</v>
      </c>
      <c r="AM821" t="s">
        <v>126</v>
      </c>
      <c r="AN821" t="s">
        <v>127</v>
      </c>
      <c r="AO821" t="s">
        <v>74</v>
      </c>
      <c r="AP821" t="s">
        <v>1182</v>
      </c>
      <c r="AQ821" t="s">
        <v>74</v>
      </c>
      <c r="AR821" t="s">
        <v>1183</v>
      </c>
      <c r="AS821" t="s">
        <v>1184</v>
      </c>
      <c r="AT821" t="s">
        <v>8210</v>
      </c>
      <c r="AU821">
        <v>2023</v>
      </c>
      <c r="AV821">
        <v>13</v>
      </c>
      <c r="AW821">
        <v>4</v>
      </c>
      <c r="AX821" t="s">
        <v>74</v>
      </c>
      <c r="AY821" t="s">
        <v>74</v>
      </c>
      <c r="AZ821" t="s">
        <v>74</v>
      </c>
      <c r="BA821" t="s">
        <v>74</v>
      </c>
      <c r="BB821" t="s">
        <v>74</v>
      </c>
      <c r="BC821" t="s">
        <v>74</v>
      </c>
      <c r="BD821">
        <v>2505</v>
      </c>
      <c r="BE821" t="s">
        <v>15948</v>
      </c>
      <c r="BF821" t="str">
        <f>HYPERLINK("http://dx.doi.org/10.3390/app13042505","http://dx.doi.org/10.3390/app13042505")</f>
        <v>http://dx.doi.org/10.3390/app13042505</v>
      </c>
      <c r="BG821" t="s">
        <v>74</v>
      </c>
      <c r="BH821" t="s">
        <v>74</v>
      </c>
      <c r="BI821">
        <v>26</v>
      </c>
      <c r="BJ821" t="s">
        <v>1186</v>
      </c>
      <c r="BK821" t="s">
        <v>103</v>
      </c>
      <c r="BL821" t="s">
        <v>1187</v>
      </c>
      <c r="BM821" t="s">
        <v>15949</v>
      </c>
      <c r="BN821" t="s">
        <v>74</v>
      </c>
      <c r="BO821" t="s">
        <v>359</v>
      </c>
      <c r="BP821" t="s">
        <v>74</v>
      </c>
      <c r="BQ821" t="s">
        <v>74</v>
      </c>
      <c r="BR821" t="s">
        <v>106</v>
      </c>
      <c r="BS821" t="s">
        <v>15950</v>
      </c>
      <c r="BT821" t="str">
        <f>HYPERLINK("https%3A%2F%2Fwww.webofscience.com%2Fwos%2Fwoscc%2Ffull-record%2FWOS:000938146300001","View Full Record in Web of Science")</f>
        <v>View Full Record in Web of Science</v>
      </c>
    </row>
    <row r="822" spans="1:72" x14ac:dyDescent="0.15">
      <c r="A822" t="s">
        <v>72</v>
      </c>
      <c r="B822" t="s">
        <v>15951</v>
      </c>
      <c r="C822" t="s">
        <v>74</v>
      </c>
      <c r="D822" t="s">
        <v>74</v>
      </c>
      <c r="E822" t="s">
        <v>74</v>
      </c>
      <c r="F822" t="s">
        <v>15952</v>
      </c>
      <c r="G822" t="s">
        <v>74</v>
      </c>
      <c r="H822" t="s">
        <v>74</v>
      </c>
      <c r="I822" t="s">
        <v>15953</v>
      </c>
      <c r="J822" t="s">
        <v>933</v>
      </c>
      <c r="K822" t="s">
        <v>74</v>
      </c>
      <c r="L822" t="s">
        <v>74</v>
      </c>
      <c r="M822" t="s">
        <v>78</v>
      </c>
      <c r="N822" t="s">
        <v>112</v>
      </c>
      <c r="O822" t="s">
        <v>74</v>
      </c>
      <c r="P822" t="s">
        <v>74</v>
      </c>
      <c r="Q822" t="s">
        <v>74</v>
      </c>
      <c r="R822" t="s">
        <v>74</v>
      </c>
      <c r="S822" t="s">
        <v>74</v>
      </c>
      <c r="T822" t="s">
        <v>15954</v>
      </c>
      <c r="U822" t="s">
        <v>15955</v>
      </c>
      <c r="V822" t="s">
        <v>15956</v>
      </c>
      <c r="W822" t="s">
        <v>15957</v>
      </c>
      <c r="X822" t="s">
        <v>2647</v>
      </c>
      <c r="Y822" t="s">
        <v>2648</v>
      </c>
      <c r="Z822" t="s">
        <v>15958</v>
      </c>
      <c r="AA822" t="s">
        <v>74</v>
      </c>
      <c r="AB822" t="s">
        <v>15959</v>
      </c>
      <c r="AC822" t="s">
        <v>2652</v>
      </c>
      <c r="AD822" t="s">
        <v>2653</v>
      </c>
      <c r="AE822" t="s">
        <v>15960</v>
      </c>
      <c r="AF822" t="s">
        <v>74</v>
      </c>
      <c r="AG822">
        <v>43</v>
      </c>
      <c r="AH822">
        <v>2</v>
      </c>
      <c r="AI822">
        <v>2</v>
      </c>
      <c r="AJ822">
        <v>6</v>
      </c>
      <c r="AK822">
        <v>20</v>
      </c>
      <c r="AL822" t="s">
        <v>125</v>
      </c>
      <c r="AM822" t="s">
        <v>126</v>
      </c>
      <c r="AN822" t="s">
        <v>127</v>
      </c>
      <c r="AO822" t="s">
        <v>74</v>
      </c>
      <c r="AP822" t="s">
        <v>946</v>
      </c>
      <c r="AQ822" t="s">
        <v>74</v>
      </c>
      <c r="AR822" t="s">
        <v>947</v>
      </c>
      <c r="AS822" t="s">
        <v>948</v>
      </c>
      <c r="AT822" t="s">
        <v>8210</v>
      </c>
      <c r="AU822">
        <v>2023</v>
      </c>
      <c r="AV822">
        <v>14</v>
      </c>
      <c r="AW822">
        <v>2</v>
      </c>
      <c r="AX822" t="s">
        <v>74</v>
      </c>
      <c r="AY822" t="s">
        <v>74</v>
      </c>
      <c r="AZ822" t="s">
        <v>74</v>
      </c>
      <c r="BA822" t="s">
        <v>74</v>
      </c>
      <c r="BB822" t="s">
        <v>74</v>
      </c>
      <c r="BC822" t="s">
        <v>74</v>
      </c>
      <c r="BD822">
        <v>218</v>
      </c>
      <c r="BE822" t="s">
        <v>15961</v>
      </c>
      <c r="BF822" t="str">
        <f>HYPERLINK("http://dx.doi.org/10.3390/atmos14020218","http://dx.doi.org/10.3390/atmos14020218")</f>
        <v>http://dx.doi.org/10.3390/atmos14020218</v>
      </c>
      <c r="BG822" t="s">
        <v>74</v>
      </c>
      <c r="BH822" t="s">
        <v>74</v>
      </c>
      <c r="BI822">
        <v>13</v>
      </c>
      <c r="BJ822" t="s">
        <v>356</v>
      </c>
      <c r="BK822" t="s">
        <v>103</v>
      </c>
      <c r="BL822" t="s">
        <v>357</v>
      </c>
      <c r="BM822" t="s">
        <v>15962</v>
      </c>
      <c r="BN822" t="s">
        <v>74</v>
      </c>
      <c r="BO822" t="s">
        <v>359</v>
      </c>
      <c r="BP822" t="s">
        <v>74</v>
      </c>
      <c r="BQ822" t="s">
        <v>74</v>
      </c>
      <c r="BR822" t="s">
        <v>106</v>
      </c>
      <c r="BS822" t="s">
        <v>15963</v>
      </c>
      <c r="BT822" t="str">
        <f>HYPERLINK("https%3A%2F%2Fwww.webofscience.com%2Fwos%2Fwoscc%2Ffull-record%2FWOS:000938817400001","View Full Record in Web of Science")</f>
        <v>View Full Record in Web of Science</v>
      </c>
    </row>
    <row r="823" spans="1:72" x14ac:dyDescent="0.15">
      <c r="A823" t="s">
        <v>72</v>
      </c>
      <c r="B823" t="s">
        <v>15964</v>
      </c>
      <c r="C823" t="s">
        <v>74</v>
      </c>
      <c r="D823" t="s">
        <v>74</v>
      </c>
      <c r="E823" t="s">
        <v>74</v>
      </c>
      <c r="F823" t="s">
        <v>15965</v>
      </c>
      <c r="G823" t="s">
        <v>74</v>
      </c>
      <c r="H823" t="s">
        <v>74</v>
      </c>
      <c r="I823" t="s">
        <v>15966</v>
      </c>
      <c r="J823" t="s">
        <v>15967</v>
      </c>
      <c r="K823" t="s">
        <v>74</v>
      </c>
      <c r="L823" t="s">
        <v>74</v>
      </c>
      <c r="M823" t="s">
        <v>78</v>
      </c>
      <c r="N823" t="s">
        <v>112</v>
      </c>
      <c r="O823" t="s">
        <v>74</v>
      </c>
      <c r="P823" t="s">
        <v>74</v>
      </c>
      <c r="Q823" t="s">
        <v>74</v>
      </c>
      <c r="R823" t="s">
        <v>74</v>
      </c>
      <c r="S823" t="s">
        <v>74</v>
      </c>
      <c r="T823" t="s">
        <v>15968</v>
      </c>
      <c r="U823" t="s">
        <v>15969</v>
      </c>
      <c r="V823" t="s">
        <v>15970</v>
      </c>
      <c r="W823" t="s">
        <v>15971</v>
      </c>
      <c r="X823" t="s">
        <v>15972</v>
      </c>
      <c r="Y823" t="s">
        <v>15973</v>
      </c>
      <c r="Z823" t="s">
        <v>15974</v>
      </c>
      <c r="AA823" t="s">
        <v>74</v>
      </c>
      <c r="AB823" t="s">
        <v>15975</v>
      </c>
      <c r="AC823" t="s">
        <v>15976</v>
      </c>
      <c r="AD823" t="s">
        <v>15977</v>
      </c>
      <c r="AE823" t="s">
        <v>15978</v>
      </c>
      <c r="AF823" t="s">
        <v>74</v>
      </c>
      <c r="AG823">
        <v>113</v>
      </c>
      <c r="AH823">
        <v>5</v>
      </c>
      <c r="AI823">
        <v>5</v>
      </c>
      <c r="AJ823">
        <v>23</v>
      </c>
      <c r="AK823">
        <v>42</v>
      </c>
      <c r="AL823" t="s">
        <v>447</v>
      </c>
      <c r="AM823" t="s">
        <v>448</v>
      </c>
      <c r="AN823" t="s">
        <v>449</v>
      </c>
      <c r="AO823" t="s">
        <v>15979</v>
      </c>
      <c r="AP823" t="s">
        <v>15980</v>
      </c>
      <c r="AQ823" t="s">
        <v>74</v>
      </c>
      <c r="AR823" t="s">
        <v>15981</v>
      </c>
      <c r="AS823" t="s">
        <v>15982</v>
      </c>
      <c r="AT823" t="s">
        <v>570</v>
      </c>
      <c r="AU823">
        <v>2023</v>
      </c>
      <c r="AV823">
        <v>75</v>
      </c>
      <c r="AW823" t="s">
        <v>74</v>
      </c>
      <c r="AX823" t="s">
        <v>74</v>
      </c>
      <c r="AY823" t="s">
        <v>74</v>
      </c>
      <c r="AZ823" t="s">
        <v>74</v>
      </c>
      <c r="BA823" t="s">
        <v>74</v>
      </c>
      <c r="BB823" t="s">
        <v>74</v>
      </c>
      <c r="BC823" t="s">
        <v>74</v>
      </c>
      <c r="BD823">
        <v>102004</v>
      </c>
      <c r="BE823" t="s">
        <v>15983</v>
      </c>
      <c r="BF823" t="str">
        <f>HYPERLINK("http://dx.doi.org/10.1016/j.ecoinf.2023.102004","http://dx.doi.org/10.1016/j.ecoinf.2023.102004")</f>
        <v>http://dx.doi.org/10.1016/j.ecoinf.2023.102004</v>
      </c>
      <c r="BG823" t="s">
        <v>74</v>
      </c>
      <c r="BH823" t="s">
        <v>11628</v>
      </c>
      <c r="BI823">
        <v>14</v>
      </c>
      <c r="BJ823" t="s">
        <v>2101</v>
      </c>
      <c r="BK823" t="s">
        <v>103</v>
      </c>
      <c r="BL823" t="s">
        <v>1164</v>
      </c>
      <c r="BM823" t="s">
        <v>15984</v>
      </c>
      <c r="BN823" t="s">
        <v>74</v>
      </c>
      <c r="BO823" t="s">
        <v>74</v>
      </c>
      <c r="BP823" t="s">
        <v>74</v>
      </c>
      <c r="BQ823" t="s">
        <v>74</v>
      </c>
      <c r="BR823" t="s">
        <v>106</v>
      </c>
      <c r="BS823" t="s">
        <v>15985</v>
      </c>
      <c r="BT823" t="str">
        <f>HYPERLINK("https%3A%2F%2Fwww.webofscience.com%2Fwos%2Fwoscc%2Ffull-record%2FWOS:000931008700001","View Full Record in Web of Science")</f>
        <v>View Full Record in Web of Science</v>
      </c>
    </row>
    <row r="824" spans="1:72" x14ac:dyDescent="0.15">
      <c r="A824" t="s">
        <v>72</v>
      </c>
      <c r="B824" t="s">
        <v>15986</v>
      </c>
      <c r="C824" t="s">
        <v>74</v>
      </c>
      <c r="D824" t="s">
        <v>74</v>
      </c>
      <c r="E824" t="s">
        <v>74</v>
      </c>
      <c r="F824" t="s">
        <v>15987</v>
      </c>
      <c r="G824" t="s">
        <v>74</v>
      </c>
      <c r="H824" t="s">
        <v>74</v>
      </c>
      <c r="I824" t="s">
        <v>15988</v>
      </c>
      <c r="J824" t="s">
        <v>2642</v>
      </c>
      <c r="K824" t="s">
        <v>74</v>
      </c>
      <c r="L824" t="s">
        <v>74</v>
      </c>
      <c r="M824" t="s">
        <v>78</v>
      </c>
      <c r="N824" t="s">
        <v>112</v>
      </c>
      <c r="O824" t="s">
        <v>74</v>
      </c>
      <c r="P824" t="s">
        <v>74</v>
      </c>
      <c r="Q824" t="s">
        <v>74</v>
      </c>
      <c r="R824" t="s">
        <v>74</v>
      </c>
      <c r="S824" t="s">
        <v>74</v>
      </c>
      <c r="T824" t="s">
        <v>15989</v>
      </c>
      <c r="U824" t="s">
        <v>15990</v>
      </c>
      <c r="V824" t="s">
        <v>15991</v>
      </c>
      <c r="W824" t="s">
        <v>15992</v>
      </c>
      <c r="X824" t="s">
        <v>15993</v>
      </c>
      <c r="Y824" t="s">
        <v>15994</v>
      </c>
      <c r="Z824" t="s">
        <v>15995</v>
      </c>
      <c r="AA824" t="s">
        <v>74</v>
      </c>
      <c r="AB824" t="s">
        <v>74</v>
      </c>
      <c r="AC824" t="s">
        <v>15996</v>
      </c>
      <c r="AD824" t="s">
        <v>15997</v>
      </c>
      <c r="AE824" t="s">
        <v>15998</v>
      </c>
      <c r="AF824" t="s">
        <v>74</v>
      </c>
      <c r="AG824">
        <v>73</v>
      </c>
      <c r="AH824">
        <v>0</v>
      </c>
      <c r="AI824">
        <v>0</v>
      </c>
      <c r="AJ824">
        <v>6</v>
      </c>
      <c r="AK824">
        <v>10</v>
      </c>
      <c r="AL824" t="s">
        <v>500</v>
      </c>
      <c r="AM824" t="s">
        <v>501</v>
      </c>
      <c r="AN824" t="s">
        <v>502</v>
      </c>
      <c r="AO824" t="s">
        <v>2655</v>
      </c>
      <c r="AP824" t="s">
        <v>2656</v>
      </c>
      <c r="AQ824" t="s">
        <v>74</v>
      </c>
      <c r="AR824" t="s">
        <v>2657</v>
      </c>
      <c r="AS824" t="s">
        <v>2658</v>
      </c>
      <c r="AT824" t="s">
        <v>8210</v>
      </c>
      <c r="AU824">
        <v>2023</v>
      </c>
      <c r="AV824">
        <v>20</v>
      </c>
      <c r="AW824">
        <v>2</v>
      </c>
      <c r="AX824" t="s">
        <v>74</v>
      </c>
      <c r="AY824" t="s">
        <v>74</v>
      </c>
      <c r="AZ824" t="s">
        <v>74</v>
      </c>
      <c r="BA824" t="s">
        <v>74</v>
      </c>
      <c r="BB824">
        <v>325</v>
      </c>
      <c r="BC824">
        <v>337</v>
      </c>
      <c r="BD824" t="s">
        <v>74</v>
      </c>
      <c r="BE824" t="s">
        <v>15999</v>
      </c>
      <c r="BF824" t="str">
        <f>HYPERLINK("http://dx.doi.org/10.1007/s11629-022-7705-y","http://dx.doi.org/10.1007/s11629-022-7705-y")</f>
        <v>http://dx.doi.org/10.1007/s11629-022-7705-y</v>
      </c>
      <c r="BG824" t="s">
        <v>74</v>
      </c>
      <c r="BH824" t="s">
        <v>74</v>
      </c>
      <c r="BI824">
        <v>13</v>
      </c>
      <c r="BJ824" t="s">
        <v>1163</v>
      </c>
      <c r="BK824" t="s">
        <v>103</v>
      </c>
      <c r="BL824" t="s">
        <v>1164</v>
      </c>
      <c r="BM824" t="s">
        <v>16000</v>
      </c>
      <c r="BN824" t="s">
        <v>74</v>
      </c>
      <c r="BO824" t="s">
        <v>74</v>
      </c>
      <c r="BP824" t="s">
        <v>74</v>
      </c>
      <c r="BQ824" t="s">
        <v>74</v>
      </c>
      <c r="BR824" t="s">
        <v>106</v>
      </c>
      <c r="BS824" t="s">
        <v>16001</v>
      </c>
      <c r="BT824" t="str">
        <f>HYPERLINK("https%3A%2F%2Fwww.webofscience.com%2Fwos%2Fwoscc%2Ffull-record%2FWOS:000924142300003","View Full Record in Web of Science")</f>
        <v>View Full Record in Web of Science</v>
      </c>
    </row>
    <row r="825" spans="1:72" x14ac:dyDescent="0.15">
      <c r="A825" t="s">
        <v>72</v>
      </c>
      <c r="B825" t="s">
        <v>16002</v>
      </c>
      <c r="C825" t="s">
        <v>74</v>
      </c>
      <c r="D825" t="s">
        <v>74</v>
      </c>
      <c r="E825" t="s">
        <v>74</v>
      </c>
      <c r="F825" t="s">
        <v>16003</v>
      </c>
      <c r="G825" t="s">
        <v>74</v>
      </c>
      <c r="H825" t="s">
        <v>74</v>
      </c>
      <c r="I825" t="s">
        <v>16004</v>
      </c>
      <c r="J825" t="s">
        <v>5470</v>
      </c>
      <c r="K825" t="s">
        <v>74</v>
      </c>
      <c r="L825" t="s">
        <v>74</v>
      </c>
      <c r="M825" t="s">
        <v>78</v>
      </c>
      <c r="N825" t="s">
        <v>112</v>
      </c>
      <c r="O825" t="s">
        <v>74</v>
      </c>
      <c r="P825" t="s">
        <v>74</v>
      </c>
      <c r="Q825" t="s">
        <v>74</v>
      </c>
      <c r="R825" t="s">
        <v>74</v>
      </c>
      <c r="S825" t="s">
        <v>74</v>
      </c>
      <c r="T825" t="s">
        <v>16005</v>
      </c>
      <c r="U825" t="s">
        <v>16006</v>
      </c>
      <c r="V825" t="s">
        <v>16007</v>
      </c>
      <c r="W825" t="s">
        <v>16008</v>
      </c>
      <c r="X825" t="s">
        <v>16009</v>
      </c>
      <c r="Y825" t="s">
        <v>16010</v>
      </c>
      <c r="Z825" t="s">
        <v>16011</v>
      </c>
      <c r="AA825" t="s">
        <v>4764</v>
      </c>
      <c r="AB825" t="s">
        <v>16012</v>
      </c>
      <c r="AC825" t="s">
        <v>16013</v>
      </c>
      <c r="AD825" t="s">
        <v>16014</v>
      </c>
      <c r="AE825" t="s">
        <v>16015</v>
      </c>
      <c r="AF825" t="s">
        <v>74</v>
      </c>
      <c r="AG825">
        <v>43</v>
      </c>
      <c r="AH825">
        <v>0</v>
      </c>
      <c r="AI825">
        <v>0</v>
      </c>
      <c r="AJ825">
        <v>0</v>
      </c>
      <c r="AK825">
        <v>0</v>
      </c>
      <c r="AL825" t="s">
        <v>91</v>
      </c>
      <c r="AM825" t="s">
        <v>92</v>
      </c>
      <c r="AN825" t="s">
        <v>93</v>
      </c>
      <c r="AO825" t="s">
        <v>5482</v>
      </c>
      <c r="AP825" t="s">
        <v>5483</v>
      </c>
      <c r="AQ825" t="s">
        <v>74</v>
      </c>
      <c r="AR825" t="s">
        <v>5484</v>
      </c>
      <c r="AS825" t="s">
        <v>5485</v>
      </c>
      <c r="AT825" t="s">
        <v>8210</v>
      </c>
      <c r="AU825">
        <v>2023</v>
      </c>
      <c r="AV825">
        <v>53</v>
      </c>
      <c r="AW825">
        <v>2</v>
      </c>
      <c r="AX825" t="s">
        <v>74</v>
      </c>
      <c r="AY825" t="s">
        <v>74</v>
      </c>
      <c r="AZ825" t="s">
        <v>74</v>
      </c>
      <c r="BA825" t="s">
        <v>74</v>
      </c>
      <c r="BB825">
        <v>613</v>
      </c>
      <c r="BC825">
        <v>633</v>
      </c>
      <c r="BD825" t="s">
        <v>74</v>
      </c>
      <c r="BE825" t="s">
        <v>16016</v>
      </c>
      <c r="BF825" t="str">
        <f>HYPERLINK("http://dx.doi.org/10.1175/JPO-D-22-0034.1","http://dx.doi.org/10.1175/JPO-D-22-0034.1")</f>
        <v>http://dx.doi.org/10.1175/JPO-D-22-0034.1</v>
      </c>
      <c r="BG825" t="s">
        <v>74</v>
      </c>
      <c r="BH825" t="s">
        <v>74</v>
      </c>
      <c r="BI825">
        <v>21</v>
      </c>
      <c r="BJ825" t="s">
        <v>863</v>
      </c>
      <c r="BK825" t="s">
        <v>103</v>
      </c>
      <c r="BL825" t="s">
        <v>863</v>
      </c>
      <c r="BM825" t="s">
        <v>16017</v>
      </c>
      <c r="BN825" t="s">
        <v>74</v>
      </c>
      <c r="BO825" t="s">
        <v>315</v>
      </c>
      <c r="BP825" t="s">
        <v>74</v>
      </c>
      <c r="BQ825" t="s">
        <v>74</v>
      </c>
      <c r="BR825" t="s">
        <v>106</v>
      </c>
      <c r="BS825" t="s">
        <v>16018</v>
      </c>
      <c r="BT825" t="str">
        <f>HYPERLINK("https%3A%2F%2Fwww.webofscience.com%2Fwos%2Fwoscc%2Ffull-record%2FWOS:000930514600009","View Full Record in Web of Science")</f>
        <v>View Full Record in Web of Science</v>
      </c>
    </row>
    <row r="826" spans="1:72" x14ac:dyDescent="0.15">
      <c r="A826" t="s">
        <v>72</v>
      </c>
      <c r="B826" t="s">
        <v>16019</v>
      </c>
      <c r="C826" t="s">
        <v>74</v>
      </c>
      <c r="D826" t="s">
        <v>74</v>
      </c>
      <c r="E826" t="s">
        <v>74</v>
      </c>
      <c r="F826" t="s">
        <v>16020</v>
      </c>
      <c r="G826" t="s">
        <v>74</v>
      </c>
      <c r="H826" t="s">
        <v>74</v>
      </c>
      <c r="I826" t="s">
        <v>16021</v>
      </c>
      <c r="J826" t="s">
        <v>5470</v>
      </c>
      <c r="K826" t="s">
        <v>74</v>
      </c>
      <c r="L826" t="s">
        <v>74</v>
      </c>
      <c r="M826" t="s">
        <v>78</v>
      </c>
      <c r="N826" t="s">
        <v>112</v>
      </c>
      <c r="O826" t="s">
        <v>74</v>
      </c>
      <c r="P826" t="s">
        <v>74</v>
      </c>
      <c r="Q826" t="s">
        <v>74</v>
      </c>
      <c r="R826" t="s">
        <v>74</v>
      </c>
      <c r="S826" t="s">
        <v>74</v>
      </c>
      <c r="T826" t="s">
        <v>16022</v>
      </c>
      <c r="U826" t="s">
        <v>16023</v>
      </c>
      <c r="V826" t="s">
        <v>16024</v>
      </c>
      <c r="W826" t="s">
        <v>16025</v>
      </c>
      <c r="X826" t="s">
        <v>16026</v>
      </c>
      <c r="Y826" t="s">
        <v>16027</v>
      </c>
      <c r="Z826" t="s">
        <v>16028</v>
      </c>
      <c r="AA826" t="s">
        <v>74</v>
      </c>
      <c r="AB826" t="s">
        <v>16029</v>
      </c>
      <c r="AC826" t="s">
        <v>16030</v>
      </c>
      <c r="AD826" t="s">
        <v>16031</v>
      </c>
      <c r="AE826" t="s">
        <v>16032</v>
      </c>
      <c r="AF826" t="s">
        <v>74</v>
      </c>
      <c r="AG826">
        <v>40</v>
      </c>
      <c r="AH826">
        <v>0</v>
      </c>
      <c r="AI826">
        <v>0</v>
      </c>
      <c r="AJ826">
        <v>1</v>
      </c>
      <c r="AK826">
        <v>6</v>
      </c>
      <c r="AL826" t="s">
        <v>91</v>
      </c>
      <c r="AM826" t="s">
        <v>92</v>
      </c>
      <c r="AN826" t="s">
        <v>93</v>
      </c>
      <c r="AO826" t="s">
        <v>5482</v>
      </c>
      <c r="AP826" t="s">
        <v>5483</v>
      </c>
      <c r="AQ826" t="s">
        <v>74</v>
      </c>
      <c r="AR826" t="s">
        <v>5484</v>
      </c>
      <c r="AS826" t="s">
        <v>5485</v>
      </c>
      <c r="AT826" t="s">
        <v>8210</v>
      </c>
      <c r="AU826">
        <v>2023</v>
      </c>
      <c r="AV826">
        <v>53</v>
      </c>
      <c r="AW826">
        <v>2</v>
      </c>
      <c r="AX826" t="s">
        <v>74</v>
      </c>
      <c r="AY826" t="s">
        <v>74</v>
      </c>
      <c r="AZ826" t="s">
        <v>74</v>
      </c>
      <c r="BA826" t="s">
        <v>74</v>
      </c>
      <c r="BB826">
        <v>647</v>
      </c>
      <c r="BC826">
        <v>659</v>
      </c>
      <c r="BD826" t="s">
        <v>74</v>
      </c>
      <c r="BE826" t="s">
        <v>16033</v>
      </c>
      <c r="BF826" t="str">
        <f>HYPERLINK("http://dx.doi.org/10.1175/JPO-D-22-0145.1","http://dx.doi.org/10.1175/JPO-D-22-0145.1")</f>
        <v>http://dx.doi.org/10.1175/JPO-D-22-0145.1</v>
      </c>
      <c r="BG826" t="s">
        <v>74</v>
      </c>
      <c r="BH826" t="s">
        <v>74</v>
      </c>
      <c r="BI826">
        <v>13</v>
      </c>
      <c r="BJ826" t="s">
        <v>863</v>
      </c>
      <c r="BK826" t="s">
        <v>103</v>
      </c>
      <c r="BL826" t="s">
        <v>863</v>
      </c>
      <c r="BM826" t="s">
        <v>16017</v>
      </c>
      <c r="BN826" t="s">
        <v>74</v>
      </c>
      <c r="BO826" t="s">
        <v>74</v>
      </c>
      <c r="BP826" t="s">
        <v>74</v>
      </c>
      <c r="BQ826" t="s">
        <v>74</v>
      </c>
      <c r="BR826" t="s">
        <v>106</v>
      </c>
      <c r="BS826" t="s">
        <v>16034</v>
      </c>
      <c r="BT826" t="str">
        <f>HYPERLINK("https%3A%2F%2Fwww.webofscience.com%2Fwos%2Fwoscc%2Ffull-record%2FWOS:000930514600010","View Full Record in Web of Science")</f>
        <v>View Full Record in Web of Science</v>
      </c>
    </row>
    <row r="827" spans="1:72" x14ac:dyDescent="0.15">
      <c r="A827" t="s">
        <v>72</v>
      </c>
      <c r="B827" t="s">
        <v>16035</v>
      </c>
      <c r="C827" t="s">
        <v>74</v>
      </c>
      <c r="D827" t="s">
        <v>74</v>
      </c>
      <c r="E827" t="s">
        <v>74</v>
      </c>
      <c r="F827" t="s">
        <v>16036</v>
      </c>
      <c r="G827" t="s">
        <v>74</v>
      </c>
      <c r="H827" t="s">
        <v>74</v>
      </c>
      <c r="I827" t="s">
        <v>16037</v>
      </c>
      <c r="J827" t="s">
        <v>16038</v>
      </c>
      <c r="K827" t="s">
        <v>74</v>
      </c>
      <c r="L827" t="s">
        <v>74</v>
      </c>
      <c r="M827" t="s">
        <v>78</v>
      </c>
      <c r="N827" t="s">
        <v>112</v>
      </c>
      <c r="O827" t="s">
        <v>74</v>
      </c>
      <c r="P827" t="s">
        <v>74</v>
      </c>
      <c r="Q827" t="s">
        <v>74</v>
      </c>
      <c r="R827" t="s">
        <v>74</v>
      </c>
      <c r="S827" t="s">
        <v>74</v>
      </c>
      <c r="T827" t="s">
        <v>74</v>
      </c>
      <c r="U827" t="s">
        <v>74</v>
      </c>
      <c r="V827" t="s">
        <v>74</v>
      </c>
      <c r="W827" t="s">
        <v>16039</v>
      </c>
      <c r="X827" t="s">
        <v>16040</v>
      </c>
      <c r="Y827" t="s">
        <v>16041</v>
      </c>
      <c r="Z827" t="s">
        <v>16042</v>
      </c>
      <c r="AA827" t="s">
        <v>16043</v>
      </c>
      <c r="AB827" t="s">
        <v>16044</v>
      </c>
      <c r="AC827" t="s">
        <v>74</v>
      </c>
      <c r="AD827" t="s">
        <v>74</v>
      </c>
      <c r="AE827" t="s">
        <v>74</v>
      </c>
      <c r="AF827" t="s">
        <v>74</v>
      </c>
      <c r="AG827">
        <v>9</v>
      </c>
      <c r="AH827">
        <v>3</v>
      </c>
      <c r="AI827">
        <v>3</v>
      </c>
      <c r="AJ827">
        <v>4</v>
      </c>
      <c r="AK827">
        <v>6</v>
      </c>
      <c r="AL827" t="s">
        <v>16045</v>
      </c>
      <c r="AM827" t="s">
        <v>16046</v>
      </c>
      <c r="AN827" t="s">
        <v>16047</v>
      </c>
      <c r="AO827" t="s">
        <v>16048</v>
      </c>
      <c r="AP827" t="s">
        <v>74</v>
      </c>
      <c r="AQ827" t="s">
        <v>74</v>
      </c>
      <c r="AR827" t="s">
        <v>16038</v>
      </c>
      <c r="AS827" t="s">
        <v>863</v>
      </c>
      <c r="AT827" t="s">
        <v>8210</v>
      </c>
      <c r="AU827">
        <v>2023</v>
      </c>
      <c r="AV827">
        <v>36</v>
      </c>
      <c r="AW827">
        <v>1</v>
      </c>
      <c r="AX827" t="s">
        <v>74</v>
      </c>
      <c r="AY827" t="s">
        <v>16049</v>
      </c>
      <c r="AZ827" t="s">
        <v>74</v>
      </c>
      <c r="BA827" t="s">
        <v>74</v>
      </c>
      <c r="BB827">
        <v>4</v>
      </c>
      <c r="BC827">
        <v>4</v>
      </c>
      <c r="BD827" t="s">
        <v>74</v>
      </c>
      <c r="BE827" t="s">
        <v>16050</v>
      </c>
      <c r="BF827" t="str">
        <f>HYPERLINK("http://dx.doi.org/10.5670/oceanog.2023.s1.5","http://dx.doi.org/10.5670/oceanog.2023.s1.5")</f>
        <v>http://dx.doi.org/10.5670/oceanog.2023.s1.5</v>
      </c>
      <c r="BG827" t="s">
        <v>74</v>
      </c>
      <c r="BH827" t="s">
        <v>74</v>
      </c>
      <c r="BI827">
        <v>1</v>
      </c>
      <c r="BJ827" t="s">
        <v>863</v>
      </c>
      <c r="BK827" t="s">
        <v>103</v>
      </c>
      <c r="BL827" t="s">
        <v>863</v>
      </c>
      <c r="BM827" t="s">
        <v>16051</v>
      </c>
      <c r="BN827" t="s">
        <v>74</v>
      </c>
      <c r="BO827" t="s">
        <v>804</v>
      </c>
      <c r="BP827" t="s">
        <v>74</v>
      </c>
      <c r="BQ827" t="s">
        <v>74</v>
      </c>
      <c r="BR827" t="s">
        <v>106</v>
      </c>
      <c r="BS827" t="s">
        <v>16052</v>
      </c>
      <c r="BT827" t="str">
        <f>HYPERLINK("https%3A%2F%2Fwww.webofscience.com%2Fwos%2Fwoscc%2Ffull-record%2FWOS:000925555200004","View Full Record in Web of Science")</f>
        <v>View Full Record in Web of Science</v>
      </c>
    </row>
    <row r="828" spans="1:72" x14ac:dyDescent="0.15">
      <c r="A828" t="s">
        <v>72</v>
      </c>
      <c r="B828" t="s">
        <v>16053</v>
      </c>
      <c r="C828" t="s">
        <v>74</v>
      </c>
      <c r="D828" t="s">
        <v>74</v>
      </c>
      <c r="E828" t="s">
        <v>74</v>
      </c>
      <c r="F828" t="s">
        <v>16054</v>
      </c>
      <c r="G828" t="s">
        <v>74</v>
      </c>
      <c r="H828" t="s">
        <v>74</v>
      </c>
      <c r="I828" t="s">
        <v>16055</v>
      </c>
      <c r="J828" t="s">
        <v>981</v>
      </c>
      <c r="K828" t="s">
        <v>74</v>
      </c>
      <c r="L828" t="s">
        <v>74</v>
      </c>
      <c r="M828" t="s">
        <v>78</v>
      </c>
      <c r="N828" t="s">
        <v>112</v>
      </c>
      <c r="O828" t="s">
        <v>74</v>
      </c>
      <c r="P828" t="s">
        <v>74</v>
      </c>
      <c r="Q828" t="s">
        <v>74</v>
      </c>
      <c r="R828" t="s">
        <v>74</v>
      </c>
      <c r="S828" t="s">
        <v>74</v>
      </c>
      <c r="T828" t="s">
        <v>16056</v>
      </c>
      <c r="U828" t="s">
        <v>16057</v>
      </c>
      <c r="V828" t="s">
        <v>16058</v>
      </c>
      <c r="W828" t="s">
        <v>16059</v>
      </c>
      <c r="X828" t="s">
        <v>16060</v>
      </c>
      <c r="Y828" t="s">
        <v>16061</v>
      </c>
      <c r="Z828" t="s">
        <v>16062</v>
      </c>
      <c r="AA828" t="s">
        <v>16063</v>
      </c>
      <c r="AB828" t="s">
        <v>16064</v>
      </c>
      <c r="AC828" t="s">
        <v>74</v>
      </c>
      <c r="AD828" t="s">
        <v>74</v>
      </c>
      <c r="AE828" t="s">
        <v>74</v>
      </c>
      <c r="AF828" t="s">
        <v>74</v>
      </c>
      <c r="AG828">
        <v>83</v>
      </c>
      <c r="AH828">
        <v>1</v>
      </c>
      <c r="AI828">
        <v>1</v>
      </c>
      <c r="AJ828">
        <v>2</v>
      </c>
      <c r="AK828">
        <v>13</v>
      </c>
      <c r="AL828" t="s">
        <v>125</v>
      </c>
      <c r="AM828" t="s">
        <v>126</v>
      </c>
      <c r="AN828" t="s">
        <v>127</v>
      </c>
      <c r="AO828" t="s">
        <v>74</v>
      </c>
      <c r="AP828" t="s">
        <v>992</v>
      </c>
      <c r="AQ828" t="s">
        <v>74</v>
      </c>
      <c r="AR828" t="s">
        <v>993</v>
      </c>
      <c r="AS828" t="s">
        <v>994</v>
      </c>
      <c r="AT828" t="s">
        <v>8210</v>
      </c>
      <c r="AU828">
        <v>2023</v>
      </c>
      <c r="AV828">
        <v>15</v>
      </c>
      <c r="AW828">
        <v>3</v>
      </c>
      <c r="AX828" t="s">
        <v>74</v>
      </c>
      <c r="AY828" t="s">
        <v>74</v>
      </c>
      <c r="AZ828" t="s">
        <v>74</v>
      </c>
      <c r="BA828" t="s">
        <v>74</v>
      </c>
      <c r="BB828" t="s">
        <v>74</v>
      </c>
      <c r="BC828" t="s">
        <v>74</v>
      </c>
      <c r="BD828">
        <v>634</v>
      </c>
      <c r="BE828" t="s">
        <v>16065</v>
      </c>
      <c r="BF828" t="str">
        <f>HYPERLINK("http://dx.doi.org/10.3390/rs15030634","http://dx.doi.org/10.3390/rs15030634")</f>
        <v>http://dx.doi.org/10.3390/rs15030634</v>
      </c>
      <c r="BG828" t="s">
        <v>74</v>
      </c>
      <c r="BH828" t="s">
        <v>74</v>
      </c>
      <c r="BI828">
        <v>24</v>
      </c>
      <c r="BJ828" t="s">
        <v>996</v>
      </c>
      <c r="BK828" t="s">
        <v>103</v>
      </c>
      <c r="BL828" t="s">
        <v>997</v>
      </c>
      <c r="BM828" t="s">
        <v>16066</v>
      </c>
      <c r="BN828" t="s">
        <v>74</v>
      </c>
      <c r="BO828" t="s">
        <v>136</v>
      </c>
      <c r="BP828" t="s">
        <v>74</v>
      </c>
      <c r="BQ828" t="s">
        <v>74</v>
      </c>
      <c r="BR828" t="s">
        <v>106</v>
      </c>
      <c r="BS828" t="s">
        <v>16067</v>
      </c>
      <c r="BT828" t="str">
        <f>HYPERLINK("https%3A%2F%2Fwww.webofscience.com%2Fwos%2Fwoscc%2Ffull-record%2FWOS:000930370100001","View Full Record in Web of Science")</f>
        <v>View Full Record in Web of Science</v>
      </c>
    </row>
    <row r="829" spans="1:72" x14ac:dyDescent="0.15">
      <c r="A829" t="s">
        <v>72</v>
      </c>
      <c r="B829" t="s">
        <v>16068</v>
      </c>
      <c r="C829" t="s">
        <v>74</v>
      </c>
      <c r="D829" t="s">
        <v>74</v>
      </c>
      <c r="E829" t="s">
        <v>74</v>
      </c>
      <c r="F829" t="s">
        <v>16069</v>
      </c>
      <c r="G829" t="s">
        <v>74</v>
      </c>
      <c r="H829" t="s">
        <v>74</v>
      </c>
      <c r="I829" t="s">
        <v>16070</v>
      </c>
      <c r="J829" t="s">
        <v>1946</v>
      </c>
      <c r="K829" t="s">
        <v>74</v>
      </c>
      <c r="L829" t="s">
        <v>74</v>
      </c>
      <c r="M829" t="s">
        <v>78</v>
      </c>
      <c r="N829" t="s">
        <v>112</v>
      </c>
      <c r="O829" t="s">
        <v>74</v>
      </c>
      <c r="P829" t="s">
        <v>74</v>
      </c>
      <c r="Q829" t="s">
        <v>74</v>
      </c>
      <c r="R829" t="s">
        <v>74</v>
      </c>
      <c r="S829" t="s">
        <v>74</v>
      </c>
      <c r="T829" t="s">
        <v>16071</v>
      </c>
      <c r="U829" t="s">
        <v>16072</v>
      </c>
      <c r="V829" t="s">
        <v>16073</v>
      </c>
      <c r="W829" t="s">
        <v>16074</v>
      </c>
      <c r="X829" t="s">
        <v>16075</v>
      </c>
      <c r="Y829" t="s">
        <v>16076</v>
      </c>
      <c r="Z829" t="s">
        <v>16077</v>
      </c>
      <c r="AA829" t="s">
        <v>16078</v>
      </c>
      <c r="AB829" t="s">
        <v>16079</v>
      </c>
      <c r="AC829" t="s">
        <v>16080</v>
      </c>
      <c r="AD829" t="s">
        <v>16081</v>
      </c>
      <c r="AE829" t="s">
        <v>16082</v>
      </c>
      <c r="AF829" t="s">
        <v>74</v>
      </c>
      <c r="AG829">
        <v>81</v>
      </c>
      <c r="AH829">
        <v>2</v>
      </c>
      <c r="AI829">
        <v>2</v>
      </c>
      <c r="AJ829">
        <v>1</v>
      </c>
      <c r="AK829">
        <v>6</v>
      </c>
      <c r="AL829" t="s">
        <v>447</v>
      </c>
      <c r="AM829" t="s">
        <v>448</v>
      </c>
      <c r="AN829" t="s">
        <v>449</v>
      </c>
      <c r="AO829" t="s">
        <v>1956</v>
      </c>
      <c r="AP829" t="s">
        <v>1957</v>
      </c>
      <c r="AQ829" t="s">
        <v>74</v>
      </c>
      <c r="AR829" t="s">
        <v>1958</v>
      </c>
      <c r="AS829" t="s">
        <v>1959</v>
      </c>
      <c r="AT829" t="s">
        <v>8210</v>
      </c>
      <c r="AU829">
        <v>2023</v>
      </c>
      <c r="AV829">
        <v>221</v>
      </c>
      <c r="AW829" t="s">
        <v>74</v>
      </c>
      <c r="AX829" t="s">
        <v>74</v>
      </c>
      <c r="AY829" t="s">
        <v>74</v>
      </c>
      <c r="AZ829" t="s">
        <v>74</v>
      </c>
      <c r="BA829" t="s">
        <v>74</v>
      </c>
      <c r="BB829" t="s">
        <v>74</v>
      </c>
      <c r="BC829" t="s">
        <v>74</v>
      </c>
      <c r="BD829">
        <v>104042</v>
      </c>
      <c r="BE829" t="s">
        <v>16083</v>
      </c>
      <c r="BF829" t="str">
        <f>HYPERLINK("http://dx.doi.org/10.1016/j.gloplacha.2023.104042","http://dx.doi.org/10.1016/j.gloplacha.2023.104042")</f>
        <v>http://dx.doi.org/10.1016/j.gloplacha.2023.104042</v>
      </c>
      <c r="BG829" t="s">
        <v>74</v>
      </c>
      <c r="BH829" t="s">
        <v>11628</v>
      </c>
      <c r="BI829">
        <v>15</v>
      </c>
      <c r="BJ829" t="s">
        <v>801</v>
      </c>
      <c r="BK829" t="s">
        <v>103</v>
      </c>
      <c r="BL829" t="s">
        <v>802</v>
      </c>
      <c r="BM829" t="s">
        <v>16084</v>
      </c>
      <c r="BN829" t="s">
        <v>74</v>
      </c>
      <c r="BO829" t="s">
        <v>387</v>
      </c>
      <c r="BP829" t="s">
        <v>74</v>
      </c>
      <c r="BQ829" t="s">
        <v>74</v>
      </c>
      <c r="BR829" t="s">
        <v>106</v>
      </c>
      <c r="BS829" t="s">
        <v>16085</v>
      </c>
      <c r="BT829" t="str">
        <f>HYPERLINK("https%3A%2F%2Fwww.webofscience.com%2Fwos%2Fwoscc%2Ffull-record%2FWOS:000927870500001","View Full Record in Web of Science")</f>
        <v>View Full Record in Web of Science</v>
      </c>
    </row>
    <row r="830" spans="1:72" x14ac:dyDescent="0.15">
      <c r="A830" t="s">
        <v>72</v>
      </c>
      <c r="B830" t="s">
        <v>16086</v>
      </c>
      <c r="C830" t="s">
        <v>74</v>
      </c>
      <c r="D830" t="s">
        <v>74</v>
      </c>
      <c r="E830" t="s">
        <v>74</v>
      </c>
      <c r="F830" t="s">
        <v>16087</v>
      </c>
      <c r="G830" t="s">
        <v>74</v>
      </c>
      <c r="H830" t="s">
        <v>74</v>
      </c>
      <c r="I830" t="s">
        <v>16088</v>
      </c>
      <c r="J830" t="s">
        <v>1215</v>
      </c>
      <c r="K830" t="s">
        <v>74</v>
      </c>
      <c r="L830" t="s">
        <v>74</v>
      </c>
      <c r="M830" t="s">
        <v>78</v>
      </c>
      <c r="N830" t="s">
        <v>112</v>
      </c>
      <c r="O830" t="s">
        <v>74</v>
      </c>
      <c r="P830" t="s">
        <v>74</v>
      </c>
      <c r="Q830" t="s">
        <v>74</v>
      </c>
      <c r="R830" t="s">
        <v>74</v>
      </c>
      <c r="S830" t="s">
        <v>74</v>
      </c>
      <c r="T830" t="s">
        <v>16089</v>
      </c>
      <c r="U830" t="s">
        <v>16090</v>
      </c>
      <c r="V830" t="s">
        <v>16091</v>
      </c>
      <c r="W830" t="s">
        <v>16092</v>
      </c>
      <c r="X830" t="s">
        <v>16093</v>
      </c>
      <c r="Y830" t="s">
        <v>16094</v>
      </c>
      <c r="Z830" t="s">
        <v>16095</v>
      </c>
      <c r="AA830" t="s">
        <v>16096</v>
      </c>
      <c r="AB830" t="s">
        <v>16097</v>
      </c>
      <c r="AC830" t="s">
        <v>74</v>
      </c>
      <c r="AD830" t="s">
        <v>74</v>
      </c>
      <c r="AE830" t="s">
        <v>74</v>
      </c>
      <c r="AF830" t="s">
        <v>74</v>
      </c>
      <c r="AG830">
        <v>151</v>
      </c>
      <c r="AH830">
        <v>4</v>
      </c>
      <c r="AI830">
        <v>4</v>
      </c>
      <c r="AJ830">
        <v>14</v>
      </c>
      <c r="AK830">
        <v>33</v>
      </c>
      <c r="AL830" t="s">
        <v>700</v>
      </c>
      <c r="AM830" t="s">
        <v>701</v>
      </c>
      <c r="AN830" t="s">
        <v>702</v>
      </c>
      <c r="AO830" t="s">
        <v>74</v>
      </c>
      <c r="AP830" t="s">
        <v>1228</v>
      </c>
      <c r="AQ830" t="s">
        <v>74</v>
      </c>
      <c r="AR830" t="s">
        <v>1229</v>
      </c>
      <c r="AS830" t="s">
        <v>1230</v>
      </c>
      <c r="AT830" t="s">
        <v>16098</v>
      </c>
      <c r="AU830">
        <v>2023</v>
      </c>
      <c r="AV830">
        <v>10</v>
      </c>
      <c r="AW830" t="s">
        <v>74</v>
      </c>
      <c r="AX830" t="s">
        <v>74</v>
      </c>
      <c r="AY830" t="s">
        <v>74</v>
      </c>
      <c r="AZ830" t="s">
        <v>74</v>
      </c>
      <c r="BA830" t="s">
        <v>74</v>
      </c>
      <c r="BB830" t="s">
        <v>74</v>
      </c>
      <c r="BC830" t="s">
        <v>74</v>
      </c>
      <c r="BD830">
        <v>1099579</v>
      </c>
      <c r="BE830" t="s">
        <v>16099</v>
      </c>
      <c r="BF830" t="str">
        <f>HYPERLINK("http://dx.doi.org/10.3389/fmars.2023.1099579","http://dx.doi.org/10.3389/fmars.2023.1099579")</f>
        <v>http://dx.doi.org/10.3389/fmars.2023.1099579</v>
      </c>
      <c r="BG830" t="s">
        <v>74</v>
      </c>
      <c r="BH830" t="s">
        <v>74</v>
      </c>
      <c r="BI830">
        <v>19</v>
      </c>
      <c r="BJ830" t="s">
        <v>636</v>
      </c>
      <c r="BK830" t="s">
        <v>103</v>
      </c>
      <c r="BL830" t="s">
        <v>637</v>
      </c>
      <c r="BM830" t="s">
        <v>16100</v>
      </c>
      <c r="BN830" t="s">
        <v>74</v>
      </c>
      <c r="BO830" t="s">
        <v>614</v>
      </c>
      <c r="BP830" t="s">
        <v>74</v>
      </c>
      <c r="BQ830" t="s">
        <v>74</v>
      </c>
      <c r="BR830" t="s">
        <v>106</v>
      </c>
      <c r="BS830" t="s">
        <v>16101</v>
      </c>
      <c r="BT830" t="str">
        <f>HYPERLINK("https%3A%2F%2Fwww.webofscience.com%2Fwos%2Fwoscc%2Ffull-record%2FWOS:000932221400001","View Full Record in Web of Science")</f>
        <v>View Full Record in Web of Science</v>
      </c>
    </row>
    <row r="831" spans="1:72" x14ac:dyDescent="0.15">
      <c r="A831" t="s">
        <v>72</v>
      </c>
      <c r="B831" t="s">
        <v>16102</v>
      </c>
      <c r="C831" t="s">
        <v>74</v>
      </c>
      <c r="D831" t="s">
        <v>74</v>
      </c>
      <c r="E831" t="s">
        <v>74</v>
      </c>
      <c r="F831" t="s">
        <v>16103</v>
      </c>
      <c r="G831" t="s">
        <v>74</v>
      </c>
      <c r="H831" t="s">
        <v>74</v>
      </c>
      <c r="I831" t="s">
        <v>16104</v>
      </c>
      <c r="J831" t="s">
        <v>5470</v>
      </c>
      <c r="K831" t="s">
        <v>74</v>
      </c>
      <c r="L831" t="s">
        <v>74</v>
      </c>
      <c r="M831" t="s">
        <v>78</v>
      </c>
      <c r="N831" t="s">
        <v>112</v>
      </c>
      <c r="O831" t="s">
        <v>74</v>
      </c>
      <c r="P831" t="s">
        <v>74</v>
      </c>
      <c r="Q831" t="s">
        <v>74</v>
      </c>
      <c r="R831" t="s">
        <v>74</v>
      </c>
      <c r="S831" t="s">
        <v>74</v>
      </c>
      <c r="T831" t="s">
        <v>16105</v>
      </c>
      <c r="U831" t="s">
        <v>16106</v>
      </c>
      <c r="V831" t="s">
        <v>16107</v>
      </c>
      <c r="W831" t="s">
        <v>16108</v>
      </c>
      <c r="X831" t="s">
        <v>16109</v>
      </c>
      <c r="Y831" t="s">
        <v>16110</v>
      </c>
      <c r="Z831" t="s">
        <v>16111</v>
      </c>
      <c r="AA831" t="s">
        <v>74</v>
      </c>
      <c r="AB831" t="s">
        <v>16112</v>
      </c>
      <c r="AC831" t="s">
        <v>16113</v>
      </c>
      <c r="AD831" t="s">
        <v>5122</v>
      </c>
      <c r="AE831" t="s">
        <v>16114</v>
      </c>
      <c r="AF831" t="s">
        <v>74</v>
      </c>
      <c r="AG831">
        <v>74</v>
      </c>
      <c r="AH831">
        <v>5</v>
      </c>
      <c r="AI831">
        <v>5</v>
      </c>
      <c r="AJ831">
        <v>2</v>
      </c>
      <c r="AK831">
        <v>5</v>
      </c>
      <c r="AL831" t="s">
        <v>91</v>
      </c>
      <c r="AM831" t="s">
        <v>92</v>
      </c>
      <c r="AN831" t="s">
        <v>93</v>
      </c>
      <c r="AO831" t="s">
        <v>5482</v>
      </c>
      <c r="AP831" t="s">
        <v>5483</v>
      </c>
      <c r="AQ831" t="s">
        <v>74</v>
      </c>
      <c r="AR831" t="s">
        <v>5484</v>
      </c>
      <c r="AS831" t="s">
        <v>5485</v>
      </c>
      <c r="AT831" t="s">
        <v>8210</v>
      </c>
      <c r="AU831">
        <v>2023</v>
      </c>
      <c r="AV831">
        <v>53</v>
      </c>
      <c r="AW831">
        <v>2</v>
      </c>
      <c r="AX831" t="s">
        <v>74</v>
      </c>
      <c r="AY831" t="s">
        <v>74</v>
      </c>
      <c r="AZ831" t="s">
        <v>74</v>
      </c>
      <c r="BA831" t="s">
        <v>74</v>
      </c>
      <c r="BB831">
        <v>477</v>
      </c>
      <c r="BC831">
        <v>491</v>
      </c>
      <c r="BD831" t="s">
        <v>74</v>
      </c>
      <c r="BE831" t="s">
        <v>16115</v>
      </c>
      <c r="BF831" t="str">
        <f>HYPERLINK("http://dx.doi.org/10.1175/JPO-D-22-0058.1","http://dx.doi.org/10.1175/JPO-D-22-0058.1")</f>
        <v>http://dx.doi.org/10.1175/JPO-D-22-0058.1</v>
      </c>
      <c r="BG831" t="s">
        <v>74</v>
      </c>
      <c r="BH831" t="s">
        <v>74</v>
      </c>
      <c r="BI831">
        <v>15</v>
      </c>
      <c r="BJ831" t="s">
        <v>863</v>
      </c>
      <c r="BK831" t="s">
        <v>103</v>
      </c>
      <c r="BL831" t="s">
        <v>863</v>
      </c>
      <c r="BM831" t="s">
        <v>16116</v>
      </c>
      <c r="BN831" t="s">
        <v>74</v>
      </c>
      <c r="BO831" t="s">
        <v>334</v>
      </c>
      <c r="BP831" t="s">
        <v>74</v>
      </c>
      <c r="BQ831" t="s">
        <v>74</v>
      </c>
      <c r="BR831" t="s">
        <v>106</v>
      </c>
      <c r="BS831" t="s">
        <v>16117</v>
      </c>
      <c r="BT831" t="str">
        <f>HYPERLINK("https%3A%2F%2Fwww.webofscience.com%2Fwos%2Fwoscc%2Ffull-record%2FWOS:000934088800002","View Full Record in Web of Science")</f>
        <v>View Full Record in Web of Science</v>
      </c>
    </row>
    <row r="832" spans="1:72" x14ac:dyDescent="0.15">
      <c r="A832" t="s">
        <v>72</v>
      </c>
      <c r="B832" t="s">
        <v>16118</v>
      </c>
      <c r="C832" t="s">
        <v>74</v>
      </c>
      <c r="D832" t="s">
        <v>74</v>
      </c>
      <c r="E832" t="s">
        <v>74</v>
      </c>
      <c r="F832" t="s">
        <v>16119</v>
      </c>
      <c r="G832" t="s">
        <v>74</v>
      </c>
      <c r="H832" t="s">
        <v>74</v>
      </c>
      <c r="I832" t="s">
        <v>16120</v>
      </c>
      <c r="J832" t="s">
        <v>759</v>
      </c>
      <c r="K832" t="s">
        <v>74</v>
      </c>
      <c r="L832" t="s">
        <v>74</v>
      </c>
      <c r="M832" t="s">
        <v>78</v>
      </c>
      <c r="N832" t="s">
        <v>112</v>
      </c>
      <c r="O832" t="s">
        <v>74</v>
      </c>
      <c r="P832" t="s">
        <v>74</v>
      </c>
      <c r="Q832" t="s">
        <v>74</v>
      </c>
      <c r="R832" t="s">
        <v>74</v>
      </c>
      <c r="S832" t="s">
        <v>74</v>
      </c>
      <c r="T832" t="s">
        <v>16121</v>
      </c>
      <c r="U832" t="s">
        <v>16122</v>
      </c>
      <c r="V832" t="s">
        <v>16123</v>
      </c>
      <c r="W832" t="s">
        <v>16124</v>
      </c>
      <c r="X832" t="s">
        <v>16125</v>
      </c>
      <c r="Y832" t="s">
        <v>16126</v>
      </c>
      <c r="Z832" t="s">
        <v>16127</v>
      </c>
      <c r="AA832" t="s">
        <v>16128</v>
      </c>
      <c r="AB832" t="s">
        <v>16129</v>
      </c>
      <c r="AC832" t="s">
        <v>16130</v>
      </c>
      <c r="AD832" t="s">
        <v>16131</v>
      </c>
      <c r="AE832" t="s">
        <v>16132</v>
      </c>
      <c r="AF832" t="s">
        <v>74</v>
      </c>
      <c r="AG832">
        <v>110</v>
      </c>
      <c r="AH832">
        <v>3</v>
      </c>
      <c r="AI832">
        <v>3</v>
      </c>
      <c r="AJ832">
        <v>3</v>
      </c>
      <c r="AK832">
        <v>8</v>
      </c>
      <c r="AL832" t="s">
        <v>768</v>
      </c>
      <c r="AM832" t="s">
        <v>179</v>
      </c>
      <c r="AN832" t="s">
        <v>769</v>
      </c>
      <c r="AO832" t="s">
        <v>770</v>
      </c>
      <c r="AP832" t="s">
        <v>771</v>
      </c>
      <c r="AQ832" t="s">
        <v>74</v>
      </c>
      <c r="AR832" t="s">
        <v>772</v>
      </c>
      <c r="AS832" t="s">
        <v>773</v>
      </c>
      <c r="AT832" t="s">
        <v>8210</v>
      </c>
      <c r="AU832">
        <v>2023</v>
      </c>
      <c r="AV832">
        <v>46</v>
      </c>
      <c r="AW832">
        <v>2</v>
      </c>
      <c r="AX832" t="s">
        <v>74</v>
      </c>
      <c r="AY832" t="s">
        <v>74</v>
      </c>
      <c r="AZ832" t="s">
        <v>74</v>
      </c>
      <c r="BA832" t="s">
        <v>74</v>
      </c>
      <c r="BB832">
        <v>151</v>
      </c>
      <c r="BC832">
        <v>168</v>
      </c>
      <c r="BD832" t="s">
        <v>74</v>
      </c>
      <c r="BE832" t="s">
        <v>16133</v>
      </c>
      <c r="BF832" t="str">
        <f>HYPERLINK("http://dx.doi.org/10.1007/s00300-023-03113-z","http://dx.doi.org/10.1007/s00300-023-03113-z")</f>
        <v>http://dx.doi.org/10.1007/s00300-023-03113-z</v>
      </c>
      <c r="BG832" t="s">
        <v>74</v>
      </c>
      <c r="BH832" t="s">
        <v>11628</v>
      </c>
      <c r="BI832">
        <v>18</v>
      </c>
      <c r="BJ832" t="s">
        <v>775</v>
      </c>
      <c r="BK832" t="s">
        <v>103</v>
      </c>
      <c r="BL832" t="s">
        <v>776</v>
      </c>
      <c r="BM832" t="s">
        <v>16134</v>
      </c>
      <c r="BN832" t="s">
        <v>74</v>
      </c>
      <c r="BO832" t="s">
        <v>1389</v>
      </c>
      <c r="BP832" t="s">
        <v>74</v>
      </c>
      <c r="BQ832" t="s">
        <v>74</v>
      </c>
      <c r="BR832" t="s">
        <v>106</v>
      </c>
      <c r="BS832" t="s">
        <v>16135</v>
      </c>
      <c r="BT832" t="str">
        <f>HYPERLINK("https%3A%2F%2Fwww.webofscience.com%2Fwos%2Fwoscc%2Ffull-record%2FWOS:000923943500001","View Full Record in Web of Science")</f>
        <v>View Full Record in Web of Science</v>
      </c>
    </row>
    <row r="833" spans="1:72" x14ac:dyDescent="0.15">
      <c r="A833" t="s">
        <v>72</v>
      </c>
      <c r="B833" t="s">
        <v>16136</v>
      </c>
      <c r="C833" t="s">
        <v>74</v>
      </c>
      <c r="D833" t="s">
        <v>74</v>
      </c>
      <c r="E833" t="s">
        <v>74</v>
      </c>
      <c r="F833" t="s">
        <v>16137</v>
      </c>
      <c r="G833" t="s">
        <v>74</v>
      </c>
      <c r="H833" t="s">
        <v>74</v>
      </c>
      <c r="I833" t="s">
        <v>16138</v>
      </c>
      <c r="J833" t="s">
        <v>1193</v>
      </c>
      <c r="K833" t="s">
        <v>74</v>
      </c>
      <c r="L833" t="s">
        <v>74</v>
      </c>
      <c r="M833" t="s">
        <v>78</v>
      </c>
      <c r="N833" t="s">
        <v>112</v>
      </c>
      <c r="O833" t="s">
        <v>74</v>
      </c>
      <c r="P833" t="s">
        <v>74</v>
      </c>
      <c r="Q833" t="s">
        <v>74</v>
      </c>
      <c r="R833" t="s">
        <v>74</v>
      </c>
      <c r="S833" t="s">
        <v>74</v>
      </c>
      <c r="T833" t="s">
        <v>16139</v>
      </c>
      <c r="U833" t="s">
        <v>16140</v>
      </c>
      <c r="V833" t="s">
        <v>16141</v>
      </c>
      <c r="W833" t="s">
        <v>16142</v>
      </c>
      <c r="X833" t="s">
        <v>16143</v>
      </c>
      <c r="Y833" t="s">
        <v>16144</v>
      </c>
      <c r="Z833" t="s">
        <v>16145</v>
      </c>
      <c r="AA833" t="s">
        <v>16146</v>
      </c>
      <c r="AB833" t="s">
        <v>74</v>
      </c>
      <c r="AC833" t="s">
        <v>16147</v>
      </c>
      <c r="AD833" t="s">
        <v>16148</v>
      </c>
      <c r="AE833" t="s">
        <v>16149</v>
      </c>
      <c r="AF833" t="s">
        <v>74</v>
      </c>
      <c r="AG833">
        <v>58</v>
      </c>
      <c r="AH833">
        <v>8</v>
      </c>
      <c r="AI833">
        <v>9</v>
      </c>
      <c r="AJ833">
        <v>20</v>
      </c>
      <c r="AK833">
        <v>40</v>
      </c>
      <c r="AL833" t="s">
        <v>447</v>
      </c>
      <c r="AM833" t="s">
        <v>448</v>
      </c>
      <c r="AN833" t="s">
        <v>449</v>
      </c>
      <c r="AO833" t="s">
        <v>1204</v>
      </c>
      <c r="AP833" t="s">
        <v>1205</v>
      </c>
      <c r="AQ833" t="s">
        <v>74</v>
      </c>
      <c r="AR833" t="s">
        <v>1206</v>
      </c>
      <c r="AS833" t="s">
        <v>1207</v>
      </c>
      <c r="AT833" t="s">
        <v>2049</v>
      </c>
      <c r="AU833">
        <v>2023</v>
      </c>
      <c r="AV833">
        <v>870</v>
      </c>
      <c r="AW833" t="s">
        <v>74</v>
      </c>
      <c r="AX833" t="s">
        <v>74</v>
      </c>
      <c r="AY833" t="s">
        <v>74</v>
      </c>
      <c r="AZ833" t="s">
        <v>74</v>
      </c>
      <c r="BA833" t="s">
        <v>74</v>
      </c>
      <c r="BB833" t="s">
        <v>74</v>
      </c>
      <c r="BC833" t="s">
        <v>74</v>
      </c>
      <c r="BD833">
        <v>161880</v>
      </c>
      <c r="BE833" t="s">
        <v>16150</v>
      </c>
      <c r="BF833" t="str">
        <f>HYPERLINK("http://dx.doi.org/10.1016/j.scitotenv.2023.161880","http://dx.doi.org/10.1016/j.scitotenv.2023.161880")</f>
        <v>http://dx.doi.org/10.1016/j.scitotenv.2023.161880</v>
      </c>
      <c r="BG833" t="s">
        <v>74</v>
      </c>
      <c r="BH833" t="s">
        <v>11628</v>
      </c>
      <c r="BI833">
        <v>7</v>
      </c>
      <c r="BJ833" t="s">
        <v>1163</v>
      </c>
      <c r="BK833" t="s">
        <v>103</v>
      </c>
      <c r="BL833" t="s">
        <v>1164</v>
      </c>
      <c r="BM833" t="s">
        <v>16151</v>
      </c>
      <c r="BN833">
        <v>36731553</v>
      </c>
      <c r="BO833" t="s">
        <v>74</v>
      </c>
      <c r="BP833" t="s">
        <v>74</v>
      </c>
      <c r="BQ833" t="s">
        <v>74</v>
      </c>
      <c r="BR833" t="s">
        <v>106</v>
      </c>
      <c r="BS833" t="s">
        <v>16152</v>
      </c>
      <c r="BT833" t="str">
        <f>HYPERLINK("https%3A%2F%2Fwww.webofscience.com%2Fwos%2Fwoscc%2Ffull-record%2FWOS:000927370400001","View Full Record in Web of Science")</f>
        <v>View Full Record in Web of Science</v>
      </c>
    </row>
    <row r="834" spans="1:72" x14ac:dyDescent="0.15">
      <c r="A834" t="s">
        <v>72</v>
      </c>
      <c r="B834" t="s">
        <v>16153</v>
      </c>
      <c r="C834" t="s">
        <v>74</v>
      </c>
      <c r="D834" t="s">
        <v>74</v>
      </c>
      <c r="E834" t="s">
        <v>74</v>
      </c>
      <c r="F834" t="s">
        <v>16154</v>
      </c>
      <c r="G834" t="s">
        <v>74</v>
      </c>
      <c r="H834" t="s">
        <v>74</v>
      </c>
      <c r="I834" t="s">
        <v>16155</v>
      </c>
      <c r="J834" t="s">
        <v>2009</v>
      </c>
      <c r="K834" t="s">
        <v>74</v>
      </c>
      <c r="L834" t="s">
        <v>74</v>
      </c>
      <c r="M834" t="s">
        <v>78</v>
      </c>
      <c r="N834" t="s">
        <v>112</v>
      </c>
      <c r="O834" t="s">
        <v>74</v>
      </c>
      <c r="P834" t="s">
        <v>74</v>
      </c>
      <c r="Q834" t="s">
        <v>74</v>
      </c>
      <c r="R834" t="s">
        <v>74</v>
      </c>
      <c r="S834" t="s">
        <v>74</v>
      </c>
      <c r="T834" t="s">
        <v>74</v>
      </c>
      <c r="U834" t="s">
        <v>16156</v>
      </c>
      <c r="V834" t="s">
        <v>16157</v>
      </c>
      <c r="W834" t="s">
        <v>16158</v>
      </c>
      <c r="X834" t="s">
        <v>16159</v>
      </c>
      <c r="Y834" t="s">
        <v>16160</v>
      </c>
      <c r="Z834" t="s">
        <v>16161</v>
      </c>
      <c r="AA834" t="s">
        <v>16162</v>
      </c>
      <c r="AB834" t="s">
        <v>16163</v>
      </c>
      <c r="AC834" t="s">
        <v>16164</v>
      </c>
      <c r="AD834" t="s">
        <v>16164</v>
      </c>
      <c r="AE834" t="s">
        <v>16165</v>
      </c>
      <c r="AF834" t="s">
        <v>74</v>
      </c>
      <c r="AG834">
        <v>451</v>
      </c>
      <c r="AH834">
        <v>22</v>
      </c>
      <c r="AI834">
        <v>22</v>
      </c>
      <c r="AJ834">
        <v>41</v>
      </c>
      <c r="AK834">
        <v>87</v>
      </c>
      <c r="AL834" t="s">
        <v>1357</v>
      </c>
      <c r="AM834" t="s">
        <v>525</v>
      </c>
      <c r="AN834" t="s">
        <v>1358</v>
      </c>
      <c r="AO834" t="s">
        <v>2020</v>
      </c>
      <c r="AP834" t="s">
        <v>2021</v>
      </c>
      <c r="AQ834" t="s">
        <v>74</v>
      </c>
      <c r="AR834" t="s">
        <v>2022</v>
      </c>
      <c r="AS834" t="s">
        <v>2023</v>
      </c>
      <c r="AT834" t="s">
        <v>98</v>
      </c>
      <c r="AU834">
        <v>2023</v>
      </c>
      <c r="AV834">
        <v>22</v>
      </c>
      <c r="AW834">
        <v>5</v>
      </c>
      <c r="AX834" t="s">
        <v>74</v>
      </c>
      <c r="AY834" t="s">
        <v>74</v>
      </c>
      <c r="AZ834" t="s">
        <v>185</v>
      </c>
      <c r="BA834" t="s">
        <v>74</v>
      </c>
      <c r="BB834">
        <v>1049</v>
      </c>
      <c r="BC834">
        <v>1091</v>
      </c>
      <c r="BD834" t="s">
        <v>74</v>
      </c>
      <c r="BE834" t="s">
        <v>16166</v>
      </c>
      <c r="BF834" t="str">
        <f>HYPERLINK("http://dx.doi.org/10.1007/s43630-023-00376-7","http://dx.doi.org/10.1007/s43630-023-00376-7")</f>
        <v>http://dx.doi.org/10.1007/s43630-023-00376-7</v>
      </c>
      <c r="BG834" t="s">
        <v>74</v>
      </c>
      <c r="BH834" t="s">
        <v>11628</v>
      </c>
      <c r="BI834">
        <v>43</v>
      </c>
      <c r="BJ834" t="s">
        <v>2025</v>
      </c>
      <c r="BK834" t="s">
        <v>103</v>
      </c>
      <c r="BL834" t="s">
        <v>2026</v>
      </c>
      <c r="BM834" t="s">
        <v>2027</v>
      </c>
      <c r="BN834">
        <v>36723799</v>
      </c>
      <c r="BO834" t="s">
        <v>663</v>
      </c>
      <c r="BP834" t="s">
        <v>1849</v>
      </c>
      <c r="BQ834" t="s">
        <v>1850</v>
      </c>
      <c r="BR834" t="s">
        <v>106</v>
      </c>
      <c r="BS834" t="s">
        <v>16167</v>
      </c>
      <c r="BT834" t="str">
        <f>HYPERLINK("https%3A%2F%2Fwww.webofscience.com%2Fwos%2Fwoscc%2Ffull-record%2FWOS:000926063200001","View Full Record in Web of Science")</f>
        <v>View Full Record in Web of Science</v>
      </c>
    </row>
    <row r="835" spans="1:72" x14ac:dyDescent="0.15">
      <c r="A835" t="s">
        <v>72</v>
      </c>
      <c r="B835" t="s">
        <v>16168</v>
      </c>
      <c r="C835" t="s">
        <v>74</v>
      </c>
      <c r="D835" t="s">
        <v>74</v>
      </c>
      <c r="E835" t="s">
        <v>74</v>
      </c>
      <c r="F835" t="s">
        <v>16169</v>
      </c>
      <c r="G835" t="s">
        <v>74</v>
      </c>
      <c r="H835" t="s">
        <v>74</v>
      </c>
      <c r="I835" t="s">
        <v>16170</v>
      </c>
      <c r="J835" t="s">
        <v>6070</v>
      </c>
      <c r="K835" t="s">
        <v>74</v>
      </c>
      <c r="L835" t="s">
        <v>74</v>
      </c>
      <c r="M835" t="s">
        <v>78</v>
      </c>
      <c r="N835" t="s">
        <v>112</v>
      </c>
      <c r="O835" t="s">
        <v>74</v>
      </c>
      <c r="P835" t="s">
        <v>74</v>
      </c>
      <c r="Q835" t="s">
        <v>74</v>
      </c>
      <c r="R835" t="s">
        <v>74</v>
      </c>
      <c r="S835" t="s">
        <v>74</v>
      </c>
      <c r="T835" t="s">
        <v>16171</v>
      </c>
      <c r="U835" t="s">
        <v>16172</v>
      </c>
      <c r="V835" t="s">
        <v>16173</v>
      </c>
      <c r="W835" t="s">
        <v>16174</v>
      </c>
      <c r="X835" t="s">
        <v>1151</v>
      </c>
      <c r="Y835" t="s">
        <v>16175</v>
      </c>
      <c r="Z835" t="s">
        <v>16176</v>
      </c>
      <c r="AA835" t="s">
        <v>16177</v>
      </c>
      <c r="AB835" t="s">
        <v>16178</v>
      </c>
      <c r="AC835" t="s">
        <v>16179</v>
      </c>
      <c r="AD835" t="s">
        <v>5458</v>
      </c>
      <c r="AE835" t="s">
        <v>16180</v>
      </c>
      <c r="AF835" t="s">
        <v>74</v>
      </c>
      <c r="AG835">
        <v>45</v>
      </c>
      <c r="AH835">
        <v>0</v>
      </c>
      <c r="AI835">
        <v>0</v>
      </c>
      <c r="AJ835">
        <v>1</v>
      </c>
      <c r="AK835">
        <v>3</v>
      </c>
      <c r="AL835" t="s">
        <v>768</v>
      </c>
      <c r="AM835" t="s">
        <v>179</v>
      </c>
      <c r="AN835" t="s">
        <v>769</v>
      </c>
      <c r="AO835" t="s">
        <v>6079</v>
      </c>
      <c r="AP835" t="s">
        <v>6080</v>
      </c>
      <c r="AQ835" t="s">
        <v>74</v>
      </c>
      <c r="AR835" t="s">
        <v>6081</v>
      </c>
      <c r="AS835" t="s">
        <v>6082</v>
      </c>
      <c r="AT835" t="s">
        <v>8210</v>
      </c>
      <c r="AU835">
        <v>2023</v>
      </c>
      <c r="AV835">
        <v>205</v>
      </c>
      <c r="AW835">
        <v>2</v>
      </c>
      <c r="AX835" t="s">
        <v>74</v>
      </c>
      <c r="AY835" t="s">
        <v>74</v>
      </c>
      <c r="AZ835" t="s">
        <v>74</v>
      </c>
      <c r="BA835" t="s">
        <v>74</v>
      </c>
      <c r="BB835" t="s">
        <v>74</v>
      </c>
      <c r="BC835" t="s">
        <v>74</v>
      </c>
      <c r="BD835">
        <v>79</v>
      </c>
      <c r="BE835" t="s">
        <v>16181</v>
      </c>
      <c r="BF835" t="str">
        <f>HYPERLINK("http://dx.doi.org/10.1007/s00203-023-03408-z","http://dx.doi.org/10.1007/s00203-023-03408-z")</f>
        <v>http://dx.doi.org/10.1007/s00203-023-03408-z</v>
      </c>
      <c r="BG835" t="s">
        <v>74</v>
      </c>
      <c r="BH835" t="s">
        <v>74</v>
      </c>
      <c r="BI835">
        <v>8</v>
      </c>
      <c r="BJ835" t="s">
        <v>1387</v>
      </c>
      <c r="BK835" t="s">
        <v>103</v>
      </c>
      <c r="BL835" t="s">
        <v>1387</v>
      </c>
      <c r="BM835" t="s">
        <v>16182</v>
      </c>
      <c r="BN835">
        <v>36729334</v>
      </c>
      <c r="BO835" t="s">
        <v>74</v>
      </c>
      <c r="BP835" t="s">
        <v>74</v>
      </c>
      <c r="BQ835" t="s">
        <v>74</v>
      </c>
      <c r="BR835" t="s">
        <v>106</v>
      </c>
      <c r="BS835" t="s">
        <v>16183</v>
      </c>
      <c r="BT835" t="str">
        <f>HYPERLINK("https%3A%2F%2Fwww.webofscience.com%2Fwos%2Fwoscc%2Ffull-record%2FWOS:000924755300001","View Full Record in Web of Science")</f>
        <v>View Full Record in Web of Science</v>
      </c>
    </row>
    <row r="836" spans="1:72" x14ac:dyDescent="0.15">
      <c r="A836" t="s">
        <v>72</v>
      </c>
      <c r="B836" t="s">
        <v>16184</v>
      </c>
      <c r="C836" t="s">
        <v>74</v>
      </c>
      <c r="D836" t="s">
        <v>74</v>
      </c>
      <c r="E836" t="s">
        <v>74</v>
      </c>
      <c r="F836" t="s">
        <v>16185</v>
      </c>
      <c r="G836" t="s">
        <v>74</v>
      </c>
      <c r="H836" t="s">
        <v>74</v>
      </c>
      <c r="I836" t="s">
        <v>16186</v>
      </c>
      <c r="J836" t="s">
        <v>5276</v>
      </c>
      <c r="K836" t="s">
        <v>74</v>
      </c>
      <c r="L836" t="s">
        <v>74</v>
      </c>
      <c r="M836" t="s">
        <v>78</v>
      </c>
      <c r="N836" t="s">
        <v>112</v>
      </c>
      <c r="O836" t="s">
        <v>74</v>
      </c>
      <c r="P836" t="s">
        <v>74</v>
      </c>
      <c r="Q836" t="s">
        <v>74</v>
      </c>
      <c r="R836" t="s">
        <v>74</v>
      </c>
      <c r="S836" t="s">
        <v>74</v>
      </c>
      <c r="T836" t="s">
        <v>16187</v>
      </c>
      <c r="U836" t="s">
        <v>16188</v>
      </c>
      <c r="V836" t="s">
        <v>16189</v>
      </c>
      <c r="W836" t="s">
        <v>16190</v>
      </c>
      <c r="X836" t="s">
        <v>16191</v>
      </c>
      <c r="Y836" t="s">
        <v>16192</v>
      </c>
      <c r="Z836" t="s">
        <v>16193</v>
      </c>
      <c r="AA836" t="s">
        <v>16194</v>
      </c>
      <c r="AB836" t="s">
        <v>16195</v>
      </c>
      <c r="AC836" t="s">
        <v>16196</v>
      </c>
      <c r="AD836" t="s">
        <v>16197</v>
      </c>
      <c r="AE836" t="s">
        <v>16198</v>
      </c>
      <c r="AF836" t="s">
        <v>74</v>
      </c>
      <c r="AG836">
        <v>25</v>
      </c>
      <c r="AH836">
        <v>2</v>
      </c>
      <c r="AI836">
        <v>2</v>
      </c>
      <c r="AJ836">
        <v>3</v>
      </c>
      <c r="AK836">
        <v>12</v>
      </c>
      <c r="AL836" t="s">
        <v>768</v>
      </c>
      <c r="AM836" t="s">
        <v>2866</v>
      </c>
      <c r="AN836" t="s">
        <v>2867</v>
      </c>
      <c r="AO836" t="s">
        <v>5288</v>
      </c>
      <c r="AP836" t="s">
        <v>5289</v>
      </c>
      <c r="AQ836" t="s">
        <v>74</v>
      </c>
      <c r="AR836" t="s">
        <v>5290</v>
      </c>
      <c r="AS836" t="s">
        <v>5291</v>
      </c>
      <c r="AT836" t="s">
        <v>8210</v>
      </c>
      <c r="AU836">
        <v>2023</v>
      </c>
      <c r="AV836">
        <v>195</v>
      </c>
      <c r="AW836">
        <v>2</v>
      </c>
      <c r="AX836" t="s">
        <v>74</v>
      </c>
      <c r="AY836" t="s">
        <v>74</v>
      </c>
      <c r="AZ836" t="s">
        <v>74</v>
      </c>
      <c r="BA836" t="s">
        <v>74</v>
      </c>
      <c r="BB836" t="s">
        <v>74</v>
      </c>
      <c r="BC836" t="s">
        <v>74</v>
      </c>
      <c r="BD836">
        <v>309</v>
      </c>
      <c r="BE836" t="s">
        <v>16199</v>
      </c>
      <c r="BF836" t="str">
        <f>HYPERLINK("http://dx.doi.org/10.1007/s10661-023-10940-4","http://dx.doi.org/10.1007/s10661-023-10940-4")</f>
        <v>http://dx.doi.org/10.1007/s10661-023-10940-4</v>
      </c>
      <c r="BG836" t="s">
        <v>74</v>
      </c>
      <c r="BH836" t="s">
        <v>74</v>
      </c>
      <c r="BI836">
        <v>9</v>
      </c>
      <c r="BJ836" t="s">
        <v>1163</v>
      </c>
      <c r="BK836" t="s">
        <v>103</v>
      </c>
      <c r="BL836" t="s">
        <v>1164</v>
      </c>
      <c r="BM836" t="s">
        <v>16200</v>
      </c>
      <c r="BN836">
        <v>36652146</v>
      </c>
      <c r="BO836" t="s">
        <v>74</v>
      </c>
      <c r="BP836" t="s">
        <v>74</v>
      </c>
      <c r="BQ836" t="s">
        <v>74</v>
      </c>
      <c r="BR836" t="s">
        <v>106</v>
      </c>
      <c r="BS836" t="s">
        <v>16201</v>
      </c>
      <c r="BT836" t="str">
        <f>HYPERLINK("https%3A%2F%2Fwww.webofscience.com%2Fwos%2Fwoscc%2Ffull-record%2FWOS:000917282100001","View Full Record in Web of Science")</f>
        <v>View Full Record in Web of Science</v>
      </c>
    </row>
    <row r="837" spans="1:72" x14ac:dyDescent="0.15">
      <c r="A837" t="s">
        <v>72</v>
      </c>
      <c r="B837" t="s">
        <v>16202</v>
      </c>
      <c r="C837" t="s">
        <v>74</v>
      </c>
      <c r="D837" t="s">
        <v>74</v>
      </c>
      <c r="E837" t="s">
        <v>74</v>
      </c>
      <c r="F837" t="s">
        <v>16203</v>
      </c>
      <c r="G837" t="s">
        <v>74</v>
      </c>
      <c r="H837" t="s">
        <v>74</v>
      </c>
      <c r="I837" t="s">
        <v>16204</v>
      </c>
      <c r="J837" t="s">
        <v>16205</v>
      </c>
      <c r="K837" t="s">
        <v>74</v>
      </c>
      <c r="L837" t="s">
        <v>74</v>
      </c>
      <c r="M837" t="s">
        <v>78</v>
      </c>
      <c r="N837" t="s">
        <v>112</v>
      </c>
      <c r="O837" t="s">
        <v>74</v>
      </c>
      <c r="P837" t="s">
        <v>74</v>
      </c>
      <c r="Q837" t="s">
        <v>74</v>
      </c>
      <c r="R837" t="s">
        <v>74</v>
      </c>
      <c r="S837" t="s">
        <v>74</v>
      </c>
      <c r="T837" t="s">
        <v>16206</v>
      </c>
      <c r="U837" t="s">
        <v>16207</v>
      </c>
      <c r="V837" t="s">
        <v>16208</v>
      </c>
      <c r="W837" t="s">
        <v>16209</v>
      </c>
      <c r="X837" t="s">
        <v>16210</v>
      </c>
      <c r="Y837" t="s">
        <v>16211</v>
      </c>
      <c r="Z837" t="s">
        <v>16212</v>
      </c>
      <c r="AA837" t="s">
        <v>16213</v>
      </c>
      <c r="AB837" t="s">
        <v>16214</v>
      </c>
      <c r="AC837" t="s">
        <v>74</v>
      </c>
      <c r="AD837" t="s">
        <v>74</v>
      </c>
      <c r="AE837" t="s">
        <v>74</v>
      </c>
      <c r="AF837" t="s">
        <v>74</v>
      </c>
      <c r="AG837">
        <v>53</v>
      </c>
      <c r="AH837">
        <v>0</v>
      </c>
      <c r="AI837">
        <v>1</v>
      </c>
      <c r="AJ837">
        <v>15</v>
      </c>
      <c r="AK837">
        <v>31</v>
      </c>
      <c r="AL837" t="s">
        <v>377</v>
      </c>
      <c r="AM837" t="s">
        <v>378</v>
      </c>
      <c r="AN837" t="s">
        <v>379</v>
      </c>
      <c r="AO837" t="s">
        <v>16215</v>
      </c>
      <c r="AP837" t="s">
        <v>16216</v>
      </c>
      <c r="AQ837" t="s">
        <v>74</v>
      </c>
      <c r="AR837" t="s">
        <v>16217</v>
      </c>
      <c r="AS837" t="s">
        <v>16218</v>
      </c>
      <c r="AT837" t="s">
        <v>1437</v>
      </c>
      <c r="AU837">
        <v>2023</v>
      </c>
      <c r="AV837">
        <v>23</v>
      </c>
      <c r="AW837">
        <v>4</v>
      </c>
      <c r="AX837" t="s">
        <v>74</v>
      </c>
      <c r="AY837" t="s">
        <v>74</v>
      </c>
      <c r="AZ837" t="s">
        <v>74</v>
      </c>
      <c r="BA837" t="s">
        <v>74</v>
      </c>
      <c r="BB837">
        <v>1901</v>
      </c>
      <c r="BC837">
        <v>1912</v>
      </c>
      <c r="BD837" t="s">
        <v>74</v>
      </c>
      <c r="BE837" t="s">
        <v>16219</v>
      </c>
      <c r="BF837" t="str">
        <f>HYPERLINK("http://dx.doi.org/10.1007/s11368-023-03446-6","http://dx.doi.org/10.1007/s11368-023-03446-6")</f>
        <v>http://dx.doi.org/10.1007/s11368-023-03446-6</v>
      </c>
      <c r="BG837" t="s">
        <v>74</v>
      </c>
      <c r="BH837" t="s">
        <v>11628</v>
      </c>
      <c r="BI837">
        <v>12</v>
      </c>
      <c r="BJ837" t="s">
        <v>12191</v>
      </c>
      <c r="BK837" t="s">
        <v>103</v>
      </c>
      <c r="BL837" t="s">
        <v>12192</v>
      </c>
      <c r="BM837" t="s">
        <v>16220</v>
      </c>
      <c r="BN837" t="s">
        <v>74</v>
      </c>
      <c r="BO837" t="s">
        <v>74</v>
      </c>
      <c r="BP837" t="s">
        <v>74</v>
      </c>
      <c r="BQ837" t="s">
        <v>74</v>
      </c>
      <c r="BR837" t="s">
        <v>106</v>
      </c>
      <c r="BS837" t="s">
        <v>16221</v>
      </c>
      <c r="BT837" t="str">
        <f>HYPERLINK("https%3A%2F%2Fwww.webofscience.com%2Fwos%2Fwoscc%2Ffull-record%2FWOS:000924001300001","View Full Record in Web of Science")</f>
        <v>View Full Record in Web of Science</v>
      </c>
    </row>
    <row r="838" spans="1:72" x14ac:dyDescent="0.15">
      <c r="A838" t="s">
        <v>72</v>
      </c>
      <c r="B838" t="s">
        <v>16222</v>
      </c>
      <c r="C838" t="s">
        <v>74</v>
      </c>
      <c r="D838" t="s">
        <v>74</v>
      </c>
      <c r="E838" t="s">
        <v>74</v>
      </c>
      <c r="F838" t="s">
        <v>16223</v>
      </c>
      <c r="G838" t="s">
        <v>74</v>
      </c>
      <c r="H838" t="s">
        <v>74</v>
      </c>
      <c r="I838" t="s">
        <v>16224</v>
      </c>
      <c r="J838" t="s">
        <v>16225</v>
      </c>
      <c r="K838" t="s">
        <v>74</v>
      </c>
      <c r="L838" t="s">
        <v>74</v>
      </c>
      <c r="M838" t="s">
        <v>78</v>
      </c>
      <c r="N838" t="s">
        <v>112</v>
      </c>
      <c r="O838" t="s">
        <v>74</v>
      </c>
      <c r="P838" t="s">
        <v>74</v>
      </c>
      <c r="Q838" t="s">
        <v>74</v>
      </c>
      <c r="R838" t="s">
        <v>74</v>
      </c>
      <c r="S838" t="s">
        <v>74</v>
      </c>
      <c r="T838" t="s">
        <v>16226</v>
      </c>
      <c r="U838" t="s">
        <v>16227</v>
      </c>
      <c r="V838" t="s">
        <v>16228</v>
      </c>
      <c r="W838" t="s">
        <v>16229</v>
      </c>
      <c r="X838" t="s">
        <v>16230</v>
      </c>
      <c r="Y838" t="s">
        <v>16231</v>
      </c>
      <c r="Z838" t="s">
        <v>16232</v>
      </c>
      <c r="AA838" t="s">
        <v>16233</v>
      </c>
      <c r="AB838" t="s">
        <v>16234</v>
      </c>
      <c r="AC838" t="s">
        <v>16235</v>
      </c>
      <c r="AD838" t="s">
        <v>16236</v>
      </c>
      <c r="AE838" t="s">
        <v>16237</v>
      </c>
      <c r="AF838" t="s">
        <v>74</v>
      </c>
      <c r="AG838">
        <v>85</v>
      </c>
      <c r="AH838">
        <v>2</v>
      </c>
      <c r="AI838">
        <v>2</v>
      </c>
      <c r="AJ838">
        <v>2</v>
      </c>
      <c r="AK838">
        <v>3</v>
      </c>
      <c r="AL838" t="s">
        <v>377</v>
      </c>
      <c r="AM838" t="s">
        <v>378</v>
      </c>
      <c r="AN838" t="s">
        <v>379</v>
      </c>
      <c r="AO838" t="s">
        <v>16238</v>
      </c>
      <c r="AP838" t="s">
        <v>16239</v>
      </c>
      <c r="AQ838" t="s">
        <v>74</v>
      </c>
      <c r="AR838" t="s">
        <v>16240</v>
      </c>
      <c r="AS838" t="s">
        <v>16241</v>
      </c>
      <c r="AT838" t="s">
        <v>8210</v>
      </c>
      <c r="AU838">
        <v>2023</v>
      </c>
      <c r="AV838">
        <v>22</v>
      </c>
      <c r="AW838">
        <v>2</v>
      </c>
      <c r="AX838" t="s">
        <v>74</v>
      </c>
      <c r="AY838" t="s">
        <v>74</v>
      </c>
      <c r="AZ838" t="s">
        <v>74</v>
      </c>
      <c r="BA838" t="s">
        <v>74</v>
      </c>
      <c r="BB838" t="s">
        <v>74</v>
      </c>
      <c r="BC838" t="s">
        <v>74</v>
      </c>
      <c r="BD838">
        <v>9</v>
      </c>
      <c r="BE838" t="s">
        <v>16242</v>
      </c>
      <c r="BF838" t="str">
        <f>HYPERLINK("http://dx.doi.org/10.1007/s11557-022-01860-7","http://dx.doi.org/10.1007/s11557-022-01860-7")</f>
        <v>http://dx.doi.org/10.1007/s11557-022-01860-7</v>
      </c>
      <c r="BG838" t="s">
        <v>74</v>
      </c>
      <c r="BH838" t="s">
        <v>74</v>
      </c>
      <c r="BI838">
        <v>18</v>
      </c>
      <c r="BJ838" t="s">
        <v>16243</v>
      </c>
      <c r="BK838" t="s">
        <v>103</v>
      </c>
      <c r="BL838" t="s">
        <v>16243</v>
      </c>
      <c r="BM838" t="s">
        <v>16244</v>
      </c>
      <c r="BN838" t="s">
        <v>74</v>
      </c>
      <c r="BO838" t="s">
        <v>74</v>
      </c>
      <c r="BP838" t="s">
        <v>74</v>
      </c>
      <c r="BQ838" t="s">
        <v>74</v>
      </c>
      <c r="BR838" t="s">
        <v>106</v>
      </c>
      <c r="BS838" t="s">
        <v>16245</v>
      </c>
      <c r="BT838" t="str">
        <f>HYPERLINK("https%3A%2F%2Fwww.webofscience.com%2Fwos%2Fwoscc%2Ffull-record%2FWOS:000916052700002","View Full Record in Web of Science")</f>
        <v>View Full Record in Web of Science</v>
      </c>
    </row>
    <row r="839" spans="1:72" x14ac:dyDescent="0.15">
      <c r="A839" t="s">
        <v>72</v>
      </c>
      <c r="B839" t="s">
        <v>16246</v>
      </c>
      <c r="C839" t="s">
        <v>74</v>
      </c>
      <c r="D839" t="s">
        <v>74</v>
      </c>
      <c r="E839" t="s">
        <v>74</v>
      </c>
      <c r="F839" t="s">
        <v>16247</v>
      </c>
      <c r="G839" t="s">
        <v>74</v>
      </c>
      <c r="H839" t="s">
        <v>74</v>
      </c>
      <c r="I839" t="s">
        <v>16248</v>
      </c>
      <c r="J839" t="s">
        <v>16249</v>
      </c>
      <c r="K839" t="s">
        <v>74</v>
      </c>
      <c r="L839" t="s">
        <v>74</v>
      </c>
      <c r="M839" t="s">
        <v>78</v>
      </c>
      <c r="N839" t="s">
        <v>365</v>
      </c>
      <c r="O839" t="s">
        <v>74</v>
      </c>
      <c r="P839" t="s">
        <v>74</v>
      </c>
      <c r="Q839" t="s">
        <v>74</v>
      </c>
      <c r="R839" t="s">
        <v>74</v>
      </c>
      <c r="S839" t="s">
        <v>74</v>
      </c>
      <c r="T839" t="s">
        <v>16250</v>
      </c>
      <c r="U839" t="s">
        <v>16251</v>
      </c>
      <c r="V839" t="s">
        <v>16252</v>
      </c>
      <c r="W839" t="s">
        <v>16253</v>
      </c>
      <c r="X839" t="s">
        <v>16254</v>
      </c>
      <c r="Y839" t="s">
        <v>16255</v>
      </c>
      <c r="Z839" t="s">
        <v>16256</v>
      </c>
      <c r="AA839" t="s">
        <v>16257</v>
      </c>
      <c r="AB839" t="s">
        <v>16258</v>
      </c>
      <c r="AC839" t="s">
        <v>74</v>
      </c>
      <c r="AD839" t="s">
        <v>74</v>
      </c>
      <c r="AE839" t="s">
        <v>74</v>
      </c>
      <c r="AF839" t="s">
        <v>74</v>
      </c>
      <c r="AG839">
        <v>75</v>
      </c>
      <c r="AH839">
        <v>2</v>
      </c>
      <c r="AI839">
        <v>2</v>
      </c>
      <c r="AJ839">
        <v>6</v>
      </c>
      <c r="AK839">
        <v>15</v>
      </c>
      <c r="AL839" t="s">
        <v>768</v>
      </c>
      <c r="AM839" t="s">
        <v>2866</v>
      </c>
      <c r="AN839" t="s">
        <v>2867</v>
      </c>
      <c r="AO839" t="s">
        <v>16259</v>
      </c>
      <c r="AP839" t="s">
        <v>16260</v>
      </c>
      <c r="AQ839" t="s">
        <v>74</v>
      </c>
      <c r="AR839" t="s">
        <v>16249</v>
      </c>
      <c r="AS839" t="s">
        <v>16261</v>
      </c>
      <c r="AT839" t="s">
        <v>8210</v>
      </c>
      <c r="AU839">
        <v>2023</v>
      </c>
      <c r="AV839">
        <v>176</v>
      </c>
      <c r="AW839">
        <v>2</v>
      </c>
      <c r="AX839" t="s">
        <v>74</v>
      </c>
      <c r="AY839" t="s">
        <v>74</v>
      </c>
      <c r="AZ839" t="s">
        <v>74</v>
      </c>
      <c r="BA839" t="s">
        <v>74</v>
      </c>
      <c r="BB839" t="s">
        <v>74</v>
      </c>
      <c r="BC839" t="s">
        <v>74</v>
      </c>
      <c r="BD839">
        <v>5</v>
      </c>
      <c r="BE839" t="s">
        <v>16262</v>
      </c>
      <c r="BF839" t="str">
        <f>HYPERLINK("http://dx.doi.org/10.1007/s10584-022-03467-z","http://dx.doi.org/10.1007/s10584-022-03467-z")</f>
        <v>http://dx.doi.org/10.1007/s10584-022-03467-z</v>
      </c>
      <c r="BG839" t="s">
        <v>74</v>
      </c>
      <c r="BH839" t="s">
        <v>74</v>
      </c>
      <c r="BI839">
        <v>16</v>
      </c>
      <c r="BJ839" t="s">
        <v>356</v>
      </c>
      <c r="BK839" t="s">
        <v>103</v>
      </c>
      <c r="BL839" t="s">
        <v>357</v>
      </c>
      <c r="BM839" t="s">
        <v>16263</v>
      </c>
      <c r="BN839" t="s">
        <v>74</v>
      </c>
      <c r="BO839" t="s">
        <v>387</v>
      </c>
      <c r="BP839" t="s">
        <v>74</v>
      </c>
      <c r="BQ839" t="s">
        <v>74</v>
      </c>
      <c r="BR839" t="s">
        <v>106</v>
      </c>
      <c r="BS839" t="s">
        <v>16264</v>
      </c>
      <c r="BT839" t="str">
        <f>HYPERLINK("https%3A%2F%2Fwww.webofscience.com%2Fwos%2Fwoscc%2Ffull-record%2FWOS:000913993900001","View Full Record in Web of Science")</f>
        <v>View Full Record in Web of Science</v>
      </c>
    </row>
    <row r="840" spans="1:72" x14ac:dyDescent="0.15">
      <c r="A840" t="s">
        <v>72</v>
      </c>
      <c r="B840" t="s">
        <v>16265</v>
      </c>
      <c r="C840" t="s">
        <v>74</v>
      </c>
      <c r="D840" t="s">
        <v>74</v>
      </c>
      <c r="E840" t="s">
        <v>74</v>
      </c>
      <c r="F840" t="s">
        <v>16266</v>
      </c>
      <c r="G840" t="s">
        <v>74</v>
      </c>
      <c r="H840" t="s">
        <v>74</v>
      </c>
      <c r="I840" t="s">
        <v>16267</v>
      </c>
      <c r="J840" t="s">
        <v>339</v>
      </c>
      <c r="K840" t="s">
        <v>74</v>
      </c>
      <c r="L840" t="s">
        <v>74</v>
      </c>
      <c r="M840" t="s">
        <v>78</v>
      </c>
      <c r="N840" t="s">
        <v>3844</v>
      </c>
      <c r="O840" t="s">
        <v>74</v>
      </c>
      <c r="P840" t="s">
        <v>74</v>
      </c>
      <c r="Q840" t="s">
        <v>74</v>
      </c>
      <c r="R840" t="s">
        <v>74</v>
      </c>
      <c r="S840" t="s">
        <v>74</v>
      </c>
      <c r="T840" t="s">
        <v>74</v>
      </c>
      <c r="U840" t="s">
        <v>74</v>
      </c>
      <c r="V840" t="s">
        <v>74</v>
      </c>
      <c r="W840" t="s">
        <v>16268</v>
      </c>
      <c r="X840" t="s">
        <v>16269</v>
      </c>
      <c r="Y840" t="s">
        <v>16270</v>
      </c>
      <c r="Z840" t="s">
        <v>74</v>
      </c>
      <c r="AA840" t="s">
        <v>74</v>
      </c>
      <c r="AB840" t="s">
        <v>74</v>
      </c>
      <c r="AC840" t="s">
        <v>74</v>
      </c>
      <c r="AD840" t="s">
        <v>74</v>
      </c>
      <c r="AE840" t="s">
        <v>74</v>
      </c>
      <c r="AF840" t="s">
        <v>74</v>
      </c>
      <c r="AG840">
        <v>8</v>
      </c>
      <c r="AH840">
        <v>0</v>
      </c>
      <c r="AI840">
        <v>0</v>
      </c>
      <c r="AJ840">
        <v>1</v>
      </c>
      <c r="AK840">
        <v>2</v>
      </c>
      <c r="AL840" t="s">
        <v>152</v>
      </c>
      <c r="AM840" t="s">
        <v>153</v>
      </c>
      <c r="AN840" t="s">
        <v>154</v>
      </c>
      <c r="AO840" t="s">
        <v>352</v>
      </c>
      <c r="AP840" t="s">
        <v>74</v>
      </c>
      <c r="AQ840" t="s">
        <v>74</v>
      </c>
      <c r="AR840" t="s">
        <v>353</v>
      </c>
      <c r="AS840" t="s">
        <v>354</v>
      </c>
      <c r="AT840" t="s">
        <v>16098</v>
      </c>
      <c r="AU840">
        <v>2023</v>
      </c>
      <c r="AV840">
        <v>18</v>
      </c>
      <c r="AW840">
        <v>2</v>
      </c>
      <c r="AX840" t="s">
        <v>74</v>
      </c>
      <c r="AY840" t="s">
        <v>74</v>
      </c>
      <c r="AZ840" t="s">
        <v>74</v>
      </c>
      <c r="BA840" t="s">
        <v>74</v>
      </c>
      <c r="BB840" t="s">
        <v>74</v>
      </c>
      <c r="BC840" t="s">
        <v>74</v>
      </c>
      <c r="BD840">
        <v>29401</v>
      </c>
      <c r="BE840" t="s">
        <v>16271</v>
      </c>
      <c r="BF840" t="str">
        <f>HYPERLINK("http://dx.doi.org/10.1088/1748-9326/acb162","http://dx.doi.org/10.1088/1748-9326/acb162")</f>
        <v>http://dx.doi.org/10.1088/1748-9326/acb162</v>
      </c>
      <c r="BG840" t="s">
        <v>74</v>
      </c>
      <c r="BH840" t="s">
        <v>74</v>
      </c>
      <c r="BI840">
        <v>3</v>
      </c>
      <c r="BJ840" t="s">
        <v>356</v>
      </c>
      <c r="BK840" t="s">
        <v>103</v>
      </c>
      <c r="BL840" t="s">
        <v>357</v>
      </c>
      <c r="BM840" t="s">
        <v>16272</v>
      </c>
      <c r="BN840" t="s">
        <v>74</v>
      </c>
      <c r="BO840" t="s">
        <v>614</v>
      </c>
      <c r="BP840" t="s">
        <v>74</v>
      </c>
      <c r="BQ840" t="s">
        <v>74</v>
      </c>
      <c r="BR840" t="s">
        <v>106</v>
      </c>
      <c r="BS840" t="s">
        <v>16273</v>
      </c>
      <c r="BT840" t="str">
        <f>HYPERLINK("https%3A%2F%2Fwww.webofscience.com%2Fwos%2Fwoscc%2Ffull-record%2FWOS:000920360800001","View Full Record in Web of Science")</f>
        <v>View Full Record in Web of Science</v>
      </c>
    </row>
    <row r="841" spans="1:72" x14ac:dyDescent="0.15">
      <c r="A841" t="s">
        <v>72</v>
      </c>
      <c r="B841" t="s">
        <v>16274</v>
      </c>
      <c r="C841" t="s">
        <v>74</v>
      </c>
      <c r="D841" t="s">
        <v>74</v>
      </c>
      <c r="E841" t="s">
        <v>74</v>
      </c>
      <c r="F841" t="s">
        <v>16275</v>
      </c>
      <c r="G841" t="s">
        <v>74</v>
      </c>
      <c r="H841" t="s">
        <v>74</v>
      </c>
      <c r="I841" t="s">
        <v>16276</v>
      </c>
      <c r="J841" t="s">
        <v>2541</v>
      </c>
      <c r="K841" t="s">
        <v>74</v>
      </c>
      <c r="L841" t="s">
        <v>74</v>
      </c>
      <c r="M841" t="s">
        <v>78</v>
      </c>
      <c r="N841" t="s">
        <v>112</v>
      </c>
      <c r="O841" t="s">
        <v>74</v>
      </c>
      <c r="P841" t="s">
        <v>74</v>
      </c>
      <c r="Q841" t="s">
        <v>74</v>
      </c>
      <c r="R841" t="s">
        <v>74</v>
      </c>
      <c r="S841" t="s">
        <v>74</v>
      </c>
      <c r="T841" t="s">
        <v>74</v>
      </c>
      <c r="U841" t="s">
        <v>16277</v>
      </c>
      <c r="V841" t="s">
        <v>16278</v>
      </c>
      <c r="W841" t="s">
        <v>16279</v>
      </c>
      <c r="X841" t="s">
        <v>16280</v>
      </c>
      <c r="Y841" t="s">
        <v>5727</v>
      </c>
      <c r="Z841" t="s">
        <v>5728</v>
      </c>
      <c r="AA841" t="s">
        <v>834</v>
      </c>
      <c r="AB841" t="s">
        <v>74</v>
      </c>
      <c r="AC841" t="s">
        <v>16281</v>
      </c>
      <c r="AD841" t="s">
        <v>16282</v>
      </c>
      <c r="AE841" t="s">
        <v>16283</v>
      </c>
      <c r="AF841" t="s">
        <v>74</v>
      </c>
      <c r="AG841">
        <v>54</v>
      </c>
      <c r="AH841">
        <v>2</v>
      </c>
      <c r="AI841">
        <v>3</v>
      </c>
      <c r="AJ841">
        <v>5</v>
      </c>
      <c r="AK841">
        <v>8</v>
      </c>
      <c r="AL841" t="s">
        <v>794</v>
      </c>
      <c r="AM841" t="s">
        <v>795</v>
      </c>
      <c r="AN841" t="s">
        <v>796</v>
      </c>
      <c r="AO841" t="s">
        <v>2553</v>
      </c>
      <c r="AP841" t="s">
        <v>2554</v>
      </c>
      <c r="AQ841" t="s">
        <v>74</v>
      </c>
      <c r="AR841" t="s">
        <v>2555</v>
      </c>
      <c r="AS841" t="s">
        <v>2556</v>
      </c>
      <c r="AT841" t="s">
        <v>16098</v>
      </c>
      <c r="AU841">
        <v>2023</v>
      </c>
      <c r="AV841">
        <v>23</v>
      </c>
      <c r="AW841">
        <v>2</v>
      </c>
      <c r="AX841" t="s">
        <v>74</v>
      </c>
      <c r="AY841" t="s">
        <v>74</v>
      </c>
      <c r="AZ841" t="s">
        <v>74</v>
      </c>
      <c r="BA841" t="s">
        <v>74</v>
      </c>
      <c r="BB841">
        <v>1677</v>
      </c>
      <c r="BC841">
        <v>1685</v>
      </c>
      <c r="BD841" t="s">
        <v>74</v>
      </c>
      <c r="BE841" t="s">
        <v>16284</v>
      </c>
      <c r="BF841" t="str">
        <f>HYPERLINK("http://dx.doi.org/10.5194/acp-23-1677-2023","http://dx.doi.org/10.5194/acp-23-1677-2023")</f>
        <v>http://dx.doi.org/10.5194/acp-23-1677-2023</v>
      </c>
      <c r="BG841" t="s">
        <v>74</v>
      </c>
      <c r="BH841" t="s">
        <v>74</v>
      </c>
      <c r="BI841">
        <v>9</v>
      </c>
      <c r="BJ841" t="s">
        <v>356</v>
      </c>
      <c r="BK841" t="s">
        <v>103</v>
      </c>
      <c r="BL841" t="s">
        <v>357</v>
      </c>
      <c r="BM841" t="s">
        <v>16285</v>
      </c>
      <c r="BN841" t="s">
        <v>74</v>
      </c>
      <c r="BO841" t="s">
        <v>3241</v>
      </c>
      <c r="BP841" t="s">
        <v>74</v>
      </c>
      <c r="BQ841" t="s">
        <v>74</v>
      </c>
      <c r="BR841" t="s">
        <v>106</v>
      </c>
      <c r="BS841" t="s">
        <v>16286</v>
      </c>
      <c r="BT841" t="str">
        <f>HYPERLINK("https%3A%2F%2Fwww.webofscience.com%2Fwos%2Fwoscc%2Ffull-record%2FWOS:000924243100001","View Full Record in Web of Science")</f>
        <v>View Full Record in Web of Science</v>
      </c>
    </row>
    <row r="842" spans="1:72" x14ac:dyDescent="0.15">
      <c r="A842" t="s">
        <v>72</v>
      </c>
      <c r="B842" t="s">
        <v>16287</v>
      </c>
      <c r="C842" t="s">
        <v>74</v>
      </c>
      <c r="D842" t="s">
        <v>74</v>
      </c>
      <c r="E842" t="s">
        <v>74</v>
      </c>
      <c r="F842" t="s">
        <v>16288</v>
      </c>
      <c r="G842" t="s">
        <v>74</v>
      </c>
      <c r="H842" t="s">
        <v>74</v>
      </c>
      <c r="I842" t="s">
        <v>16289</v>
      </c>
      <c r="J842" t="s">
        <v>782</v>
      </c>
      <c r="K842" t="s">
        <v>74</v>
      </c>
      <c r="L842" t="s">
        <v>74</v>
      </c>
      <c r="M842" t="s">
        <v>78</v>
      </c>
      <c r="N842" t="s">
        <v>112</v>
      </c>
      <c r="O842" t="s">
        <v>74</v>
      </c>
      <c r="P842" t="s">
        <v>74</v>
      </c>
      <c r="Q842" t="s">
        <v>74</v>
      </c>
      <c r="R842" t="s">
        <v>74</v>
      </c>
      <c r="S842" t="s">
        <v>74</v>
      </c>
      <c r="T842" t="s">
        <v>74</v>
      </c>
      <c r="U842" t="s">
        <v>16290</v>
      </c>
      <c r="V842" t="s">
        <v>16291</v>
      </c>
      <c r="W842" t="s">
        <v>16292</v>
      </c>
      <c r="X842" t="s">
        <v>16293</v>
      </c>
      <c r="Y842" t="s">
        <v>16294</v>
      </c>
      <c r="Z842" t="s">
        <v>16295</v>
      </c>
      <c r="AA842" t="s">
        <v>16296</v>
      </c>
      <c r="AB842" t="s">
        <v>16297</v>
      </c>
      <c r="AC842" t="s">
        <v>16298</v>
      </c>
      <c r="AD842" t="s">
        <v>16299</v>
      </c>
      <c r="AE842" t="s">
        <v>16300</v>
      </c>
      <c r="AF842" t="s">
        <v>74</v>
      </c>
      <c r="AG842">
        <v>54</v>
      </c>
      <c r="AH842">
        <v>1</v>
      </c>
      <c r="AI842">
        <v>1</v>
      </c>
      <c r="AJ842">
        <v>2</v>
      </c>
      <c r="AK842">
        <v>3</v>
      </c>
      <c r="AL842" t="s">
        <v>794</v>
      </c>
      <c r="AM842" t="s">
        <v>795</v>
      </c>
      <c r="AN842" t="s">
        <v>796</v>
      </c>
      <c r="AO842" t="s">
        <v>797</v>
      </c>
      <c r="AP842" t="s">
        <v>798</v>
      </c>
      <c r="AQ842" t="s">
        <v>74</v>
      </c>
      <c r="AR842" t="s">
        <v>782</v>
      </c>
      <c r="AS842" t="s">
        <v>799</v>
      </c>
      <c r="AT842" t="s">
        <v>16098</v>
      </c>
      <c r="AU842">
        <v>2023</v>
      </c>
      <c r="AV842">
        <v>17</v>
      </c>
      <c r="AW842">
        <v>1</v>
      </c>
      <c r="AX842" t="s">
        <v>74</v>
      </c>
      <c r="AY842" t="s">
        <v>74</v>
      </c>
      <c r="AZ842" t="s">
        <v>74</v>
      </c>
      <c r="BA842" t="s">
        <v>74</v>
      </c>
      <c r="BB842">
        <v>427</v>
      </c>
      <c r="BC842">
        <v>444</v>
      </c>
      <c r="BD842" t="s">
        <v>74</v>
      </c>
      <c r="BE842" t="s">
        <v>16301</v>
      </c>
      <c r="BF842" t="str">
        <f>HYPERLINK("http://dx.doi.org/10.5194/tc-17-427-2023","http://dx.doi.org/10.5194/tc-17-427-2023")</f>
        <v>http://dx.doi.org/10.5194/tc-17-427-2023</v>
      </c>
      <c r="BG842" t="s">
        <v>74</v>
      </c>
      <c r="BH842" t="s">
        <v>74</v>
      </c>
      <c r="BI842">
        <v>18</v>
      </c>
      <c r="BJ842" t="s">
        <v>801</v>
      </c>
      <c r="BK842" t="s">
        <v>103</v>
      </c>
      <c r="BL842" t="s">
        <v>802</v>
      </c>
      <c r="BM842" t="s">
        <v>16302</v>
      </c>
      <c r="BN842" t="s">
        <v>74</v>
      </c>
      <c r="BO842" t="s">
        <v>359</v>
      </c>
      <c r="BP842" t="s">
        <v>74</v>
      </c>
      <c r="BQ842" t="s">
        <v>74</v>
      </c>
      <c r="BR842" t="s">
        <v>106</v>
      </c>
      <c r="BS842" t="s">
        <v>16303</v>
      </c>
      <c r="BT842" t="str">
        <f>HYPERLINK("https%3A%2F%2Fwww.webofscience.com%2Fwos%2Fwoscc%2Ffull-record%2FWOS:000923526500001","View Full Record in Web of Science")</f>
        <v>View Full Record in Web of Science</v>
      </c>
    </row>
    <row r="843" spans="1:72" x14ac:dyDescent="0.15">
      <c r="A843" t="s">
        <v>72</v>
      </c>
      <c r="B843" t="s">
        <v>16304</v>
      </c>
      <c r="C843" t="s">
        <v>74</v>
      </c>
      <c r="D843" t="s">
        <v>74</v>
      </c>
      <c r="E843" t="s">
        <v>74</v>
      </c>
      <c r="F843" t="s">
        <v>16305</v>
      </c>
      <c r="G843" t="s">
        <v>74</v>
      </c>
      <c r="H843" t="s">
        <v>74</v>
      </c>
      <c r="I843" t="s">
        <v>16306</v>
      </c>
      <c r="J843" t="s">
        <v>16307</v>
      </c>
      <c r="K843" t="s">
        <v>74</v>
      </c>
      <c r="L843" t="s">
        <v>74</v>
      </c>
      <c r="M843" t="s">
        <v>78</v>
      </c>
      <c r="N843" t="s">
        <v>112</v>
      </c>
      <c r="O843" t="s">
        <v>74</v>
      </c>
      <c r="P843" t="s">
        <v>74</v>
      </c>
      <c r="Q843" t="s">
        <v>74</v>
      </c>
      <c r="R843" t="s">
        <v>74</v>
      </c>
      <c r="S843" t="s">
        <v>74</v>
      </c>
      <c r="T843" t="s">
        <v>16308</v>
      </c>
      <c r="U843" t="s">
        <v>16309</v>
      </c>
      <c r="V843" t="s">
        <v>16310</v>
      </c>
      <c r="W843" t="s">
        <v>16311</v>
      </c>
      <c r="X843" t="s">
        <v>16312</v>
      </c>
      <c r="Y843" t="s">
        <v>16313</v>
      </c>
      <c r="Z843" t="s">
        <v>16314</v>
      </c>
      <c r="AA843" t="s">
        <v>16315</v>
      </c>
      <c r="AB843" t="s">
        <v>16316</v>
      </c>
      <c r="AC843" t="s">
        <v>16317</v>
      </c>
      <c r="AD843" t="s">
        <v>16318</v>
      </c>
      <c r="AE843" t="s">
        <v>16319</v>
      </c>
      <c r="AF843" t="s">
        <v>74</v>
      </c>
      <c r="AG843">
        <v>129</v>
      </c>
      <c r="AH843">
        <v>9</v>
      </c>
      <c r="AI843">
        <v>10</v>
      </c>
      <c r="AJ843">
        <v>5</v>
      </c>
      <c r="AK843">
        <v>7</v>
      </c>
      <c r="AL843" t="s">
        <v>2092</v>
      </c>
      <c r="AM843" t="s">
        <v>2093</v>
      </c>
      <c r="AN843" t="s">
        <v>2094</v>
      </c>
      <c r="AO843" t="s">
        <v>16320</v>
      </c>
      <c r="AP843" t="s">
        <v>16321</v>
      </c>
      <c r="AQ843" t="s">
        <v>74</v>
      </c>
      <c r="AR843" t="s">
        <v>16322</v>
      </c>
      <c r="AS843" t="s">
        <v>16323</v>
      </c>
      <c r="AT843" t="s">
        <v>1437</v>
      </c>
      <c r="AU843">
        <v>2023</v>
      </c>
      <c r="AV843">
        <v>29</v>
      </c>
      <c r="AW843">
        <v>7</v>
      </c>
      <c r="AX843" t="s">
        <v>74</v>
      </c>
      <c r="AY843" t="s">
        <v>74</v>
      </c>
      <c r="AZ843" t="s">
        <v>74</v>
      </c>
      <c r="BA843" t="s">
        <v>74</v>
      </c>
      <c r="BB843">
        <v>1791</v>
      </c>
      <c r="BC843">
        <v>1808</v>
      </c>
      <c r="BD843" t="s">
        <v>74</v>
      </c>
      <c r="BE843" t="s">
        <v>16324</v>
      </c>
      <c r="BF843" t="str">
        <f>HYPERLINK("http://dx.doi.org/10.1111/gcb.16602","http://dx.doi.org/10.1111/gcb.16602")</f>
        <v>http://dx.doi.org/10.1111/gcb.16602</v>
      </c>
      <c r="BG843" t="s">
        <v>74</v>
      </c>
      <c r="BH843" t="s">
        <v>11628</v>
      </c>
      <c r="BI843">
        <v>18</v>
      </c>
      <c r="BJ843" t="s">
        <v>7496</v>
      </c>
      <c r="BK843" t="s">
        <v>103</v>
      </c>
      <c r="BL843" t="s">
        <v>776</v>
      </c>
      <c r="BM843" t="s">
        <v>16325</v>
      </c>
      <c r="BN843">
        <v>36656050</v>
      </c>
      <c r="BO843" t="s">
        <v>74</v>
      </c>
      <c r="BP843" t="s">
        <v>74</v>
      </c>
      <c r="BQ843" t="s">
        <v>74</v>
      </c>
      <c r="BR843" t="s">
        <v>106</v>
      </c>
      <c r="BS843" t="s">
        <v>16326</v>
      </c>
      <c r="BT843" t="str">
        <f>HYPERLINK("https%3A%2F%2Fwww.webofscience.com%2Fwos%2Fwoscc%2Ffull-record%2FWOS:000924002100001","View Full Record in Web of Science")</f>
        <v>View Full Record in Web of Science</v>
      </c>
    </row>
    <row r="844" spans="1:72" x14ac:dyDescent="0.15">
      <c r="A844" t="s">
        <v>72</v>
      </c>
      <c r="B844" t="s">
        <v>16327</v>
      </c>
      <c r="C844" t="s">
        <v>74</v>
      </c>
      <c r="D844" t="s">
        <v>74</v>
      </c>
      <c r="E844" t="s">
        <v>74</v>
      </c>
      <c r="F844" t="s">
        <v>16328</v>
      </c>
      <c r="G844" t="s">
        <v>74</v>
      </c>
      <c r="H844" t="s">
        <v>74</v>
      </c>
      <c r="I844" t="s">
        <v>16329</v>
      </c>
      <c r="J844" t="s">
        <v>268</v>
      </c>
      <c r="K844" t="s">
        <v>74</v>
      </c>
      <c r="L844" t="s">
        <v>74</v>
      </c>
      <c r="M844" t="s">
        <v>78</v>
      </c>
      <c r="N844" t="s">
        <v>112</v>
      </c>
      <c r="O844" t="s">
        <v>74</v>
      </c>
      <c r="P844" t="s">
        <v>74</v>
      </c>
      <c r="Q844" t="s">
        <v>74</v>
      </c>
      <c r="R844" t="s">
        <v>74</v>
      </c>
      <c r="S844" t="s">
        <v>74</v>
      </c>
      <c r="T844" t="s">
        <v>16330</v>
      </c>
      <c r="U844" t="s">
        <v>16331</v>
      </c>
      <c r="V844" t="s">
        <v>16332</v>
      </c>
      <c r="W844" t="s">
        <v>16333</v>
      </c>
      <c r="X844" t="s">
        <v>16334</v>
      </c>
      <c r="Y844" t="s">
        <v>16335</v>
      </c>
      <c r="Z844" t="s">
        <v>16336</v>
      </c>
      <c r="AA844" t="s">
        <v>74</v>
      </c>
      <c r="AB844" t="s">
        <v>16337</v>
      </c>
      <c r="AC844" t="s">
        <v>16338</v>
      </c>
      <c r="AD844" t="s">
        <v>16339</v>
      </c>
      <c r="AE844" t="s">
        <v>16340</v>
      </c>
      <c r="AF844" t="s">
        <v>74</v>
      </c>
      <c r="AG844">
        <v>75</v>
      </c>
      <c r="AH844">
        <v>2</v>
      </c>
      <c r="AI844">
        <v>2</v>
      </c>
      <c r="AJ844">
        <v>21</v>
      </c>
      <c r="AK844">
        <v>39</v>
      </c>
      <c r="AL844" t="s">
        <v>91</v>
      </c>
      <c r="AM844" t="s">
        <v>92</v>
      </c>
      <c r="AN844" t="s">
        <v>93</v>
      </c>
      <c r="AO844" t="s">
        <v>281</v>
      </c>
      <c r="AP844" t="s">
        <v>282</v>
      </c>
      <c r="AQ844" t="s">
        <v>74</v>
      </c>
      <c r="AR844" t="s">
        <v>283</v>
      </c>
      <c r="AS844" t="s">
        <v>284</v>
      </c>
      <c r="AT844" t="s">
        <v>16098</v>
      </c>
      <c r="AU844">
        <v>2023</v>
      </c>
      <c r="AV844">
        <v>36</v>
      </c>
      <c r="AW844">
        <v>3</v>
      </c>
      <c r="AX844" t="s">
        <v>74</v>
      </c>
      <c r="AY844" t="s">
        <v>74</v>
      </c>
      <c r="AZ844" t="s">
        <v>74</v>
      </c>
      <c r="BA844" t="s">
        <v>74</v>
      </c>
      <c r="BB844">
        <v>713</v>
      </c>
      <c r="BC844">
        <v>743</v>
      </c>
      <c r="BD844" t="s">
        <v>74</v>
      </c>
      <c r="BE844" t="s">
        <v>16341</v>
      </c>
      <c r="BF844" t="str">
        <f>HYPERLINK("http://dx.doi.org/10.1175/JCLI-D-22-0079.1","http://dx.doi.org/10.1175/JCLI-D-22-0079.1")</f>
        <v>http://dx.doi.org/10.1175/JCLI-D-22-0079.1</v>
      </c>
      <c r="BG844" t="s">
        <v>74</v>
      </c>
      <c r="BH844" t="s">
        <v>74</v>
      </c>
      <c r="BI844">
        <v>31</v>
      </c>
      <c r="BJ844" t="s">
        <v>102</v>
      </c>
      <c r="BK844" t="s">
        <v>103</v>
      </c>
      <c r="BL844" t="s">
        <v>102</v>
      </c>
      <c r="BM844" t="s">
        <v>16342</v>
      </c>
      <c r="BN844" t="s">
        <v>74</v>
      </c>
      <c r="BO844" t="s">
        <v>334</v>
      </c>
      <c r="BP844" t="s">
        <v>74</v>
      </c>
      <c r="BQ844" t="s">
        <v>74</v>
      </c>
      <c r="BR844" t="s">
        <v>106</v>
      </c>
      <c r="BS844" t="s">
        <v>16343</v>
      </c>
      <c r="BT844" t="str">
        <f>HYPERLINK("https%3A%2F%2Fwww.webofscience.com%2Fwos%2Fwoscc%2Ffull-record%2FWOS:000920656500001","View Full Record in Web of Science")</f>
        <v>View Full Record in Web of Science</v>
      </c>
    </row>
    <row r="845" spans="1:72" x14ac:dyDescent="0.15">
      <c r="A845" t="s">
        <v>72</v>
      </c>
      <c r="B845" t="s">
        <v>16344</v>
      </c>
      <c r="C845" t="s">
        <v>74</v>
      </c>
      <c r="D845" t="s">
        <v>74</v>
      </c>
      <c r="E845" t="s">
        <v>74</v>
      </c>
      <c r="F845" t="s">
        <v>16345</v>
      </c>
      <c r="G845" t="s">
        <v>74</v>
      </c>
      <c r="H845" t="s">
        <v>74</v>
      </c>
      <c r="I845" t="s">
        <v>16346</v>
      </c>
      <c r="J845" t="s">
        <v>268</v>
      </c>
      <c r="K845" t="s">
        <v>74</v>
      </c>
      <c r="L845" t="s">
        <v>74</v>
      </c>
      <c r="M845" t="s">
        <v>78</v>
      </c>
      <c r="N845" t="s">
        <v>112</v>
      </c>
      <c r="O845" t="s">
        <v>74</v>
      </c>
      <c r="P845" t="s">
        <v>74</v>
      </c>
      <c r="Q845" t="s">
        <v>74</v>
      </c>
      <c r="R845" t="s">
        <v>74</v>
      </c>
      <c r="S845" t="s">
        <v>74</v>
      </c>
      <c r="T845" t="s">
        <v>16347</v>
      </c>
      <c r="U845" t="s">
        <v>16348</v>
      </c>
      <c r="V845" t="s">
        <v>16349</v>
      </c>
      <c r="W845" t="s">
        <v>16350</v>
      </c>
      <c r="X845" t="s">
        <v>16351</v>
      </c>
      <c r="Y845" t="s">
        <v>16352</v>
      </c>
      <c r="Z845" t="s">
        <v>16353</v>
      </c>
      <c r="AA845" t="s">
        <v>16354</v>
      </c>
      <c r="AB845" t="s">
        <v>16355</v>
      </c>
      <c r="AC845" t="s">
        <v>16356</v>
      </c>
      <c r="AD845" t="s">
        <v>16357</v>
      </c>
      <c r="AE845" t="s">
        <v>16358</v>
      </c>
      <c r="AF845" t="s">
        <v>74</v>
      </c>
      <c r="AG845">
        <v>55</v>
      </c>
      <c r="AH845">
        <v>0</v>
      </c>
      <c r="AI845">
        <v>0</v>
      </c>
      <c r="AJ845">
        <v>1</v>
      </c>
      <c r="AK845">
        <v>2</v>
      </c>
      <c r="AL845" t="s">
        <v>91</v>
      </c>
      <c r="AM845" t="s">
        <v>92</v>
      </c>
      <c r="AN845" t="s">
        <v>93</v>
      </c>
      <c r="AO845" t="s">
        <v>281</v>
      </c>
      <c r="AP845" t="s">
        <v>282</v>
      </c>
      <c r="AQ845" t="s">
        <v>74</v>
      </c>
      <c r="AR845" t="s">
        <v>283</v>
      </c>
      <c r="AS845" t="s">
        <v>284</v>
      </c>
      <c r="AT845" t="s">
        <v>16098</v>
      </c>
      <c r="AU845">
        <v>2023</v>
      </c>
      <c r="AV845">
        <v>36</v>
      </c>
      <c r="AW845">
        <v>3</v>
      </c>
      <c r="AX845" t="s">
        <v>74</v>
      </c>
      <c r="AY845" t="s">
        <v>74</v>
      </c>
      <c r="AZ845" t="s">
        <v>74</v>
      </c>
      <c r="BA845" t="s">
        <v>74</v>
      </c>
      <c r="BB845">
        <v>791</v>
      </c>
      <c r="BC845">
        <v>804</v>
      </c>
      <c r="BD845" t="s">
        <v>74</v>
      </c>
      <c r="BE845" t="s">
        <v>16359</v>
      </c>
      <c r="BF845" t="str">
        <f>HYPERLINK("http://dx.doi.org/10.1175/JCLI-D-22-0044.1","http://dx.doi.org/10.1175/JCLI-D-22-0044.1")</f>
        <v>http://dx.doi.org/10.1175/JCLI-D-22-0044.1</v>
      </c>
      <c r="BG845" t="s">
        <v>74</v>
      </c>
      <c r="BH845" t="s">
        <v>74</v>
      </c>
      <c r="BI845">
        <v>14</v>
      </c>
      <c r="BJ845" t="s">
        <v>102</v>
      </c>
      <c r="BK845" t="s">
        <v>103</v>
      </c>
      <c r="BL845" t="s">
        <v>102</v>
      </c>
      <c r="BM845" t="s">
        <v>16342</v>
      </c>
      <c r="BN845" t="s">
        <v>74</v>
      </c>
      <c r="BO845" t="s">
        <v>823</v>
      </c>
      <c r="BP845" t="s">
        <v>74</v>
      </c>
      <c r="BQ845" t="s">
        <v>74</v>
      </c>
      <c r="BR845" t="s">
        <v>106</v>
      </c>
      <c r="BS845" t="s">
        <v>16360</v>
      </c>
      <c r="BT845" t="str">
        <f>HYPERLINK("https%3A%2F%2Fwww.webofscience.com%2Fwos%2Fwoscc%2Ffull-record%2FWOS:000920656500005","View Full Record in Web of Science")</f>
        <v>View Full Record in Web of Science</v>
      </c>
    </row>
    <row r="846" spans="1:72" x14ac:dyDescent="0.15">
      <c r="A846" t="s">
        <v>72</v>
      </c>
      <c r="B846" t="s">
        <v>16361</v>
      </c>
      <c r="C846" t="s">
        <v>74</v>
      </c>
      <c r="D846" t="s">
        <v>74</v>
      </c>
      <c r="E846" t="s">
        <v>74</v>
      </c>
      <c r="F846" t="s">
        <v>16362</v>
      </c>
      <c r="G846" t="s">
        <v>74</v>
      </c>
      <c r="H846" t="s">
        <v>74</v>
      </c>
      <c r="I846" t="s">
        <v>16363</v>
      </c>
      <c r="J846" t="s">
        <v>5950</v>
      </c>
      <c r="K846" t="s">
        <v>74</v>
      </c>
      <c r="L846" t="s">
        <v>74</v>
      </c>
      <c r="M846" t="s">
        <v>78</v>
      </c>
      <c r="N846" t="s">
        <v>112</v>
      </c>
      <c r="O846" t="s">
        <v>74</v>
      </c>
      <c r="P846" t="s">
        <v>74</v>
      </c>
      <c r="Q846" t="s">
        <v>74</v>
      </c>
      <c r="R846" t="s">
        <v>74</v>
      </c>
      <c r="S846" t="s">
        <v>74</v>
      </c>
      <c r="T846" t="s">
        <v>16364</v>
      </c>
      <c r="U846" t="s">
        <v>16365</v>
      </c>
      <c r="V846" t="s">
        <v>16366</v>
      </c>
      <c r="W846" t="s">
        <v>16367</v>
      </c>
      <c r="X846" t="s">
        <v>16368</v>
      </c>
      <c r="Y846" t="s">
        <v>16369</v>
      </c>
      <c r="Z846" t="s">
        <v>16370</v>
      </c>
      <c r="AA846" t="s">
        <v>74</v>
      </c>
      <c r="AB846" t="s">
        <v>74</v>
      </c>
      <c r="AC846" t="s">
        <v>16371</v>
      </c>
      <c r="AD846" t="s">
        <v>16372</v>
      </c>
      <c r="AE846" t="s">
        <v>16373</v>
      </c>
      <c r="AF846" t="s">
        <v>74</v>
      </c>
      <c r="AG846">
        <v>32</v>
      </c>
      <c r="AH846">
        <v>1</v>
      </c>
      <c r="AI846">
        <v>1</v>
      </c>
      <c r="AJ846">
        <v>6</v>
      </c>
      <c r="AK846">
        <v>12</v>
      </c>
      <c r="AL846" t="s">
        <v>5963</v>
      </c>
      <c r="AM846" t="s">
        <v>5964</v>
      </c>
      <c r="AN846" t="s">
        <v>5965</v>
      </c>
      <c r="AO846" t="s">
        <v>5966</v>
      </c>
      <c r="AP846" t="s">
        <v>5967</v>
      </c>
      <c r="AQ846" t="s">
        <v>74</v>
      </c>
      <c r="AR846" t="s">
        <v>5968</v>
      </c>
      <c r="AS846" t="s">
        <v>5969</v>
      </c>
      <c r="AT846" t="s">
        <v>8210</v>
      </c>
      <c r="AU846">
        <v>2023</v>
      </c>
      <c r="AV846">
        <v>22</v>
      </c>
      <c r="AW846">
        <v>1</v>
      </c>
      <c r="AX846" t="s">
        <v>74</v>
      </c>
      <c r="AY846" t="s">
        <v>74</v>
      </c>
      <c r="AZ846" t="s">
        <v>74</v>
      </c>
      <c r="BA846" t="s">
        <v>74</v>
      </c>
      <c r="BB846">
        <v>235</v>
      </c>
      <c r="BC846">
        <v>241</v>
      </c>
      <c r="BD846" t="s">
        <v>74</v>
      </c>
      <c r="BE846" t="s">
        <v>16374</v>
      </c>
      <c r="BF846" t="str">
        <f>HYPERLINK("http://dx.doi.org/10.1007/s11802-023-5162-z","http://dx.doi.org/10.1007/s11802-023-5162-z")</f>
        <v>http://dx.doi.org/10.1007/s11802-023-5162-z</v>
      </c>
      <c r="BG846" t="s">
        <v>74</v>
      </c>
      <c r="BH846" t="s">
        <v>74</v>
      </c>
      <c r="BI846">
        <v>7</v>
      </c>
      <c r="BJ846" t="s">
        <v>863</v>
      </c>
      <c r="BK846" t="s">
        <v>103</v>
      </c>
      <c r="BL846" t="s">
        <v>863</v>
      </c>
      <c r="BM846" t="s">
        <v>16375</v>
      </c>
      <c r="BN846" t="s">
        <v>74</v>
      </c>
      <c r="BO846" t="s">
        <v>74</v>
      </c>
      <c r="BP846" t="s">
        <v>74</v>
      </c>
      <c r="BQ846" t="s">
        <v>74</v>
      </c>
      <c r="BR846" t="s">
        <v>106</v>
      </c>
      <c r="BS846" t="s">
        <v>16376</v>
      </c>
      <c r="BT846" t="str">
        <f>HYPERLINK("https%3A%2F%2Fwww.webofscience.com%2Fwos%2Fwoscc%2Ffull-record%2FWOS:000914793900024","View Full Record in Web of Science")</f>
        <v>View Full Record in Web of Science</v>
      </c>
    </row>
    <row r="847" spans="1:72" x14ac:dyDescent="0.15">
      <c r="A847" t="s">
        <v>72</v>
      </c>
      <c r="B847" t="s">
        <v>16377</v>
      </c>
      <c r="C847" t="s">
        <v>74</v>
      </c>
      <c r="D847" t="s">
        <v>74</v>
      </c>
      <c r="E847" t="s">
        <v>74</v>
      </c>
      <c r="F847" t="s">
        <v>16378</v>
      </c>
      <c r="G847" t="s">
        <v>74</v>
      </c>
      <c r="H847" t="s">
        <v>74</v>
      </c>
      <c r="I847" t="s">
        <v>16379</v>
      </c>
      <c r="J847" t="s">
        <v>16380</v>
      </c>
      <c r="K847" t="s">
        <v>74</v>
      </c>
      <c r="L847" t="s">
        <v>74</v>
      </c>
      <c r="M847" t="s">
        <v>78</v>
      </c>
      <c r="N847" t="s">
        <v>112</v>
      </c>
      <c r="O847" t="s">
        <v>74</v>
      </c>
      <c r="P847" t="s">
        <v>74</v>
      </c>
      <c r="Q847" t="s">
        <v>74</v>
      </c>
      <c r="R847" t="s">
        <v>74</v>
      </c>
      <c r="S847" t="s">
        <v>74</v>
      </c>
      <c r="T847" t="s">
        <v>16381</v>
      </c>
      <c r="U847" t="s">
        <v>74</v>
      </c>
      <c r="V847" t="s">
        <v>16382</v>
      </c>
      <c r="W847" t="s">
        <v>16383</v>
      </c>
      <c r="X847" t="s">
        <v>16384</v>
      </c>
      <c r="Y847" t="s">
        <v>16385</v>
      </c>
      <c r="Z847" t="s">
        <v>16386</v>
      </c>
      <c r="AA847" t="s">
        <v>74</v>
      </c>
      <c r="AB847" t="s">
        <v>74</v>
      </c>
      <c r="AC847" t="s">
        <v>74</v>
      </c>
      <c r="AD847" t="s">
        <v>74</v>
      </c>
      <c r="AE847" t="s">
        <v>74</v>
      </c>
      <c r="AF847" t="s">
        <v>74</v>
      </c>
      <c r="AG847">
        <v>0</v>
      </c>
      <c r="AH847">
        <v>0</v>
      </c>
      <c r="AI847">
        <v>0</v>
      </c>
      <c r="AJ847">
        <v>0</v>
      </c>
      <c r="AK847">
        <v>0</v>
      </c>
      <c r="AL847" t="s">
        <v>5082</v>
      </c>
      <c r="AM847" t="s">
        <v>179</v>
      </c>
      <c r="AN847" t="s">
        <v>5083</v>
      </c>
      <c r="AO847" t="s">
        <v>16387</v>
      </c>
      <c r="AP847" t="s">
        <v>16388</v>
      </c>
      <c r="AQ847" t="s">
        <v>74</v>
      </c>
      <c r="AR847" t="s">
        <v>16389</v>
      </c>
      <c r="AS847" t="s">
        <v>16390</v>
      </c>
      <c r="AT847" t="s">
        <v>8210</v>
      </c>
      <c r="AU847">
        <v>2023</v>
      </c>
      <c r="AV847">
        <v>93</v>
      </c>
      <c r="AW847">
        <v>1</v>
      </c>
      <c r="AX847" t="s">
        <v>74</v>
      </c>
      <c r="AY847" t="s">
        <v>74</v>
      </c>
      <c r="AZ847" t="s">
        <v>74</v>
      </c>
      <c r="BA847" t="s">
        <v>74</v>
      </c>
      <c r="BB847">
        <v>58</v>
      </c>
      <c r="BC847">
        <v>69</v>
      </c>
      <c r="BD847" t="s">
        <v>74</v>
      </c>
      <c r="BE847" t="s">
        <v>16391</v>
      </c>
      <c r="BF847" t="str">
        <f>HYPERLINK("http://dx.doi.org/10.1134/S1019331623030085","http://dx.doi.org/10.1134/S1019331623030085")</f>
        <v>http://dx.doi.org/10.1134/S1019331623030085</v>
      </c>
      <c r="BG847" t="s">
        <v>74</v>
      </c>
      <c r="BH847" t="s">
        <v>74</v>
      </c>
      <c r="BI847">
        <v>12</v>
      </c>
      <c r="BJ847" t="s">
        <v>16392</v>
      </c>
      <c r="BK847" t="s">
        <v>103</v>
      </c>
      <c r="BL847" t="s">
        <v>16393</v>
      </c>
      <c r="BM847" t="s">
        <v>16394</v>
      </c>
      <c r="BN847" t="s">
        <v>74</v>
      </c>
      <c r="BO847" t="s">
        <v>74</v>
      </c>
      <c r="BP847" t="s">
        <v>74</v>
      </c>
      <c r="BQ847" t="s">
        <v>74</v>
      </c>
      <c r="BR847" t="s">
        <v>106</v>
      </c>
      <c r="BS847" t="s">
        <v>16395</v>
      </c>
      <c r="BT847" t="str">
        <f>HYPERLINK("https%3A%2F%2Fwww.webofscience.com%2Fwos%2Fwoscc%2Ffull-record%2FWOS:001170884400006","View Full Record in Web of Science")</f>
        <v>View Full Record in Web of Science</v>
      </c>
    </row>
    <row r="848" spans="1:72" x14ac:dyDescent="0.15">
      <c r="A848" t="s">
        <v>72</v>
      </c>
      <c r="B848" t="s">
        <v>16396</v>
      </c>
      <c r="C848" t="s">
        <v>74</v>
      </c>
      <c r="D848" t="s">
        <v>74</v>
      </c>
      <c r="E848" t="s">
        <v>74</v>
      </c>
      <c r="F848" t="s">
        <v>16397</v>
      </c>
      <c r="G848" t="s">
        <v>74</v>
      </c>
      <c r="H848" t="s">
        <v>74</v>
      </c>
      <c r="I848" t="s">
        <v>16398</v>
      </c>
      <c r="J848" t="s">
        <v>16399</v>
      </c>
      <c r="K848" t="s">
        <v>74</v>
      </c>
      <c r="L848" t="s">
        <v>74</v>
      </c>
      <c r="M848" t="s">
        <v>78</v>
      </c>
      <c r="N848" t="s">
        <v>112</v>
      </c>
      <c r="O848" t="s">
        <v>74</v>
      </c>
      <c r="P848" t="s">
        <v>74</v>
      </c>
      <c r="Q848" t="s">
        <v>74</v>
      </c>
      <c r="R848" t="s">
        <v>74</v>
      </c>
      <c r="S848" t="s">
        <v>74</v>
      </c>
      <c r="T848" t="s">
        <v>16400</v>
      </c>
      <c r="U848" t="s">
        <v>16401</v>
      </c>
      <c r="V848" t="s">
        <v>16402</v>
      </c>
      <c r="W848" t="s">
        <v>16403</v>
      </c>
      <c r="X848" t="s">
        <v>74</v>
      </c>
      <c r="Y848" t="s">
        <v>16404</v>
      </c>
      <c r="Z848" t="s">
        <v>16405</v>
      </c>
      <c r="AA848" t="s">
        <v>16406</v>
      </c>
      <c r="AB848" t="s">
        <v>16407</v>
      </c>
      <c r="AC848" t="s">
        <v>74</v>
      </c>
      <c r="AD848" t="s">
        <v>74</v>
      </c>
      <c r="AE848" t="s">
        <v>74</v>
      </c>
      <c r="AF848" t="s">
        <v>74</v>
      </c>
      <c r="AG848">
        <v>30</v>
      </c>
      <c r="AH848">
        <v>1</v>
      </c>
      <c r="AI848">
        <v>1</v>
      </c>
      <c r="AJ848">
        <v>1</v>
      </c>
      <c r="AK848">
        <v>7</v>
      </c>
      <c r="AL848" t="s">
        <v>418</v>
      </c>
      <c r="AM848" t="s">
        <v>419</v>
      </c>
      <c r="AN848" t="s">
        <v>420</v>
      </c>
      <c r="AO848" t="s">
        <v>16408</v>
      </c>
      <c r="AP848" t="s">
        <v>16409</v>
      </c>
      <c r="AQ848" t="s">
        <v>74</v>
      </c>
      <c r="AR848" t="s">
        <v>16410</v>
      </c>
      <c r="AS848" t="s">
        <v>16411</v>
      </c>
      <c r="AT848" t="s">
        <v>16098</v>
      </c>
      <c r="AU848">
        <v>2023</v>
      </c>
      <c r="AV848">
        <v>14</v>
      </c>
      <c r="AW848">
        <v>2</v>
      </c>
      <c r="AX848" t="s">
        <v>74</v>
      </c>
      <c r="AY848" t="s">
        <v>74</v>
      </c>
      <c r="AZ848" t="s">
        <v>74</v>
      </c>
      <c r="BA848" t="s">
        <v>74</v>
      </c>
      <c r="BB848">
        <v>148</v>
      </c>
      <c r="BC848">
        <v>156</v>
      </c>
      <c r="BD848" t="s">
        <v>74</v>
      </c>
      <c r="BE848" t="s">
        <v>16412</v>
      </c>
      <c r="BF848" t="str">
        <f>HYPERLINK("http://dx.doi.org/10.1080/2150704X.2023.2165419","http://dx.doi.org/10.1080/2150704X.2023.2165419")</f>
        <v>http://dx.doi.org/10.1080/2150704X.2023.2165419</v>
      </c>
      <c r="BG848" t="s">
        <v>74</v>
      </c>
      <c r="BH848" t="s">
        <v>74</v>
      </c>
      <c r="BI848">
        <v>9</v>
      </c>
      <c r="BJ848" t="s">
        <v>2681</v>
      </c>
      <c r="BK848" t="s">
        <v>103</v>
      </c>
      <c r="BL848" t="s">
        <v>2681</v>
      </c>
      <c r="BM848" t="s">
        <v>16413</v>
      </c>
      <c r="BN848" t="s">
        <v>74</v>
      </c>
      <c r="BO848" t="s">
        <v>74</v>
      </c>
      <c r="BP848" t="s">
        <v>74</v>
      </c>
      <c r="BQ848" t="s">
        <v>74</v>
      </c>
      <c r="BR848" t="s">
        <v>106</v>
      </c>
      <c r="BS848" t="s">
        <v>16414</v>
      </c>
      <c r="BT848" t="str">
        <f>HYPERLINK("https%3A%2F%2Fwww.webofscience.com%2Fwos%2Fwoscc%2Ffull-record%2FWOS:000911348700001","View Full Record in Web of Science")</f>
        <v>View Full Record in Web of Science</v>
      </c>
    </row>
    <row r="849" spans="1:72" x14ac:dyDescent="0.15">
      <c r="A849" t="s">
        <v>72</v>
      </c>
      <c r="B849" t="s">
        <v>16415</v>
      </c>
      <c r="C849" t="s">
        <v>74</v>
      </c>
      <c r="D849" t="s">
        <v>74</v>
      </c>
      <c r="E849" t="s">
        <v>74</v>
      </c>
      <c r="F849" t="s">
        <v>16416</v>
      </c>
      <c r="G849" t="s">
        <v>74</v>
      </c>
      <c r="H849" t="s">
        <v>74</v>
      </c>
      <c r="I849" t="s">
        <v>16417</v>
      </c>
      <c r="J849" t="s">
        <v>16418</v>
      </c>
      <c r="K849" t="s">
        <v>74</v>
      </c>
      <c r="L849" t="s">
        <v>74</v>
      </c>
      <c r="M849" t="s">
        <v>78</v>
      </c>
      <c r="N849" t="s">
        <v>112</v>
      </c>
      <c r="O849" t="s">
        <v>74</v>
      </c>
      <c r="P849" t="s">
        <v>74</v>
      </c>
      <c r="Q849" t="s">
        <v>74</v>
      </c>
      <c r="R849" t="s">
        <v>74</v>
      </c>
      <c r="S849" t="s">
        <v>74</v>
      </c>
      <c r="T849" t="s">
        <v>16419</v>
      </c>
      <c r="U849" t="s">
        <v>16420</v>
      </c>
      <c r="V849" t="s">
        <v>16421</v>
      </c>
      <c r="W849" t="s">
        <v>16422</v>
      </c>
      <c r="X849" t="s">
        <v>5802</v>
      </c>
      <c r="Y849" t="s">
        <v>16423</v>
      </c>
      <c r="Z849" t="s">
        <v>16424</v>
      </c>
      <c r="AA849" t="s">
        <v>16425</v>
      </c>
      <c r="AB849" t="s">
        <v>16426</v>
      </c>
      <c r="AC849" t="s">
        <v>16427</v>
      </c>
      <c r="AD849" t="s">
        <v>16428</v>
      </c>
      <c r="AE849" t="s">
        <v>16429</v>
      </c>
      <c r="AF849" t="s">
        <v>74</v>
      </c>
      <c r="AG849">
        <v>55</v>
      </c>
      <c r="AH849">
        <v>0</v>
      </c>
      <c r="AI849">
        <v>0</v>
      </c>
      <c r="AJ849">
        <v>6</v>
      </c>
      <c r="AK849">
        <v>13</v>
      </c>
      <c r="AL849" t="s">
        <v>16430</v>
      </c>
      <c r="AM849" t="s">
        <v>16431</v>
      </c>
      <c r="AN849" t="s">
        <v>16432</v>
      </c>
      <c r="AO849" t="s">
        <v>16433</v>
      </c>
      <c r="AP849" t="s">
        <v>16434</v>
      </c>
      <c r="AQ849" t="s">
        <v>74</v>
      </c>
      <c r="AR849" t="s">
        <v>16435</v>
      </c>
      <c r="AS849" t="s">
        <v>16436</v>
      </c>
      <c r="AT849" t="s">
        <v>16098</v>
      </c>
      <c r="AU849">
        <v>2023</v>
      </c>
      <c r="AV849">
        <v>149</v>
      </c>
      <c r="AW849">
        <v>1</v>
      </c>
      <c r="AX849" t="s">
        <v>74</v>
      </c>
      <c r="AY849" t="s">
        <v>74</v>
      </c>
      <c r="AZ849" t="s">
        <v>74</v>
      </c>
      <c r="BA849" t="s">
        <v>74</v>
      </c>
      <c r="BB849" t="s">
        <v>74</v>
      </c>
      <c r="BC849" t="s">
        <v>74</v>
      </c>
      <c r="BD849">
        <v>5022004</v>
      </c>
      <c r="BE849" t="s">
        <v>16437</v>
      </c>
      <c r="BF849" t="str">
        <f>HYPERLINK("http://dx.doi.org/10.1061/(ASCE)SU.1943-5428.0000411","http://dx.doi.org/10.1061/(ASCE)SU.1943-5428.0000411")</f>
        <v>http://dx.doi.org/10.1061/(ASCE)SU.1943-5428.0000411</v>
      </c>
      <c r="BG849" t="s">
        <v>74</v>
      </c>
      <c r="BH849" t="s">
        <v>74</v>
      </c>
      <c r="BI849">
        <v>14</v>
      </c>
      <c r="BJ849" t="s">
        <v>16438</v>
      </c>
      <c r="BK849" t="s">
        <v>103</v>
      </c>
      <c r="BL849" t="s">
        <v>1348</v>
      </c>
      <c r="BM849" t="s">
        <v>16439</v>
      </c>
      <c r="BN849" t="s">
        <v>74</v>
      </c>
      <c r="BO849" t="s">
        <v>74</v>
      </c>
      <c r="BP849" t="s">
        <v>74</v>
      </c>
      <c r="BQ849" t="s">
        <v>74</v>
      </c>
      <c r="BR849" t="s">
        <v>106</v>
      </c>
      <c r="BS849" t="s">
        <v>16440</v>
      </c>
      <c r="BT849" t="str">
        <f>HYPERLINK("https%3A%2F%2Fwww.webofscience.com%2Fwos%2Fwoscc%2Ffull-record%2FWOS:000899310700003","View Full Record in Web of Science")</f>
        <v>View Full Record in Web of Science</v>
      </c>
    </row>
    <row r="850" spans="1:72" x14ac:dyDescent="0.15">
      <c r="A850" t="s">
        <v>72</v>
      </c>
      <c r="B850" t="s">
        <v>16441</v>
      </c>
      <c r="C850" t="s">
        <v>74</v>
      </c>
      <c r="D850" t="s">
        <v>74</v>
      </c>
      <c r="E850" t="s">
        <v>74</v>
      </c>
      <c r="F850" t="s">
        <v>16442</v>
      </c>
      <c r="G850" t="s">
        <v>74</v>
      </c>
      <c r="H850" t="s">
        <v>74</v>
      </c>
      <c r="I850" t="s">
        <v>16443</v>
      </c>
      <c r="J850" t="s">
        <v>16444</v>
      </c>
      <c r="K850" t="s">
        <v>74</v>
      </c>
      <c r="L850" t="s">
        <v>74</v>
      </c>
      <c r="M850" t="s">
        <v>78</v>
      </c>
      <c r="N850" t="s">
        <v>112</v>
      </c>
      <c r="O850" t="s">
        <v>74</v>
      </c>
      <c r="P850" t="s">
        <v>74</v>
      </c>
      <c r="Q850" t="s">
        <v>74</v>
      </c>
      <c r="R850" t="s">
        <v>74</v>
      </c>
      <c r="S850" t="s">
        <v>74</v>
      </c>
      <c r="T850" t="s">
        <v>16445</v>
      </c>
      <c r="U850" t="s">
        <v>16446</v>
      </c>
      <c r="V850" t="s">
        <v>16447</v>
      </c>
      <c r="W850" t="s">
        <v>16448</v>
      </c>
      <c r="X850" t="s">
        <v>16449</v>
      </c>
      <c r="Y850" t="s">
        <v>16450</v>
      </c>
      <c r="Z850" t="s">
        <v>16451</v>
      </c>
      <c r="AA850" t="s">
        <v>16452</v>
      </c>
      <c r="AB850" t="s">
        <v>16453</v>
      </c>
      <c r="AC850" t="s">
        <v>16454</v>
      </c>
      <c r="AD850" t="s">
        <v>16455</v>
      </c>
      <c r="AE850" t="s">
        <v>16456</v>
      </c>
      <c r="AF850" t="s">
        <v>74</v>
      </c>
      <c r="AG850">
        <v>83</v>
      </c>
      <c r="AH850">
        <v>2</v>
      </c>
      <c r="AI850">
        <v>2</v>
      </c>
      <c r="AJ850">
        <v>3</v>
      </c>
      <c r="AK850">
        <v>5</v>
      </c>
      <c r="AL850" t="s">
        <v>768</v>
      </c>
      <c r="AM850" t="s">
        <v>2866</v>
      </c>
      <c r="AN850" t="s">
        <v>2867</v>
      </c>
      <c r="AO850" t="s">
        <v>16457</v>
      </c>
      <c r="AP850" t="s">
        <v>16458</v>
      </c>
      <c r="AQ850" t="s">
        <v>74</v>
      </c>
      <c r="AR850" t="s">
        <v>16459</v>
      </c>
      <c r="AS850" t="s">
        <v>16460</v>
      </c>
      <c r="AT850" t="s">
        <v>8210</v>
      </c>
      <c r="AU850">
        <v>2023</v>
      </c>
      <c r="AV850">
        <v>39</v>
      </c>
      <c r="AW850">
        <v>2</v>
      </c>
      <c r="AX850" t="s">
        <v>74</v>
      </c>
      <c r="AY850" t="s">
        <v>74</v>
      </c>
      <c r="AZ850" t="s">
        <v>74</v>
      </c>
      <c r="BA850" t="s">
        <v>74</v>
      </c>
      <c r="BB850" t="s">
        <v>74</v>
      </c>
      <c r="BC850" t="s">
        <v>74</v>
      </c>
      <c r="BD850">
        <v>39</v>
      </c>
      <c r="BE850" t="s">
        <v>16461</v>
      </c>
      <c r="BF850" t="str">
        <f>HYPERLINK("http://dx.doi.org/10.1007/s11274-022-03477-0","http://dx.doi.org/10.1007/s11274-022-03477-0")</f>
        <v>http://dx.doi.org/10.1007/s11274-022-03477-0</v>
      </c>
      <c r="BG850" t="s">
        <v>74</v>
      </c>
      <c r="BH850" t="s">
        <v>74</v>
      </c>
      <c r="BI850">
        <v>18</v>
      </c>
      <c r="BJ850" t="s">
        <v>531</v>
      </c>
      <c r="BK850" t="s">
        <v>103</v>
      </c>
      <c r="BL850" t="s">
        <v>531</v>
      </c>
      <c r="BM850" t="s">
        <v>16462</v>
      </c>
      <c r="BN850">
        <v>36512173</v>
      </c>
      <c r="BO850" t="s">
        <v>1389</v>
      </c>
      <c r="BP850" t="s">
        <v>74</v>
      </c>
      <c r="BQ850" t="s">
        <v>74</v>
      </c>
      <c r="BR850" t="s">
        <v>106</v>
      </c>
      <c r="BS850" t="s">
        <v>16463</v>
      </c>
      <c r="BT850" t="str">
        <f>HYPERLINK("https%3A%2F%2Fwww.webofscience.com%2Fwos%2Fwoscc%2Ffull-record%2FWOS:000898815400003","View Full Record in Web of Science")</f>
        <v>View Full Record in Web of Science</v>
      </c>
    </row>
    <row r="851" spans="1:72" x14ac:dyDescent="0.15">
      <c r="A851" t="s">
        <v>72</v>
      </c>
      <c r="B851" t="s">
        <v>16464</v>
      </c>
      <c r="C851" t="s">
        <v>74</v>
      </c>
      <c r="D851" t="s">
        <v>74</v>
      </c>
      <c r="E851" t="s">
        <v>74</v>
      </c>
      <c r="F851" t="s">
        <v>16465</v>
      </c>
      <c r="G851" t="s">
        <v>74</v>
      </c>
      <c r="H851" t="s">
        <v>74</v>
      </c>
      <c r="I851" t="s">
        <v>16466</v>
      </c>
      <c r="J851" t="s">
        <v>16467</v>
      </c>
      <c r="K851" t="s">
        <v>74</v>
      </c>
      <c r="L851" t="s">
        <v>74</v>
      </c>
      <c r="M851" t="s">
        <v>78</v>
      </c>
      <c r="N851" t="s">
        <v>112</v>
      </c>
      <c r="O851" t="s">
        <v>74</v>
      </c>
      <c r="P851" t="s">
        <v>74</v>
      </c>
      <c r="Q851" t="s">
        <v>74</v>
      </c>
      <c r="R851" t="s">
        <v>74</v>
      </c>
      <c r="S851" t="s">
        <v>74</v>
      </c>
      <c r="T851" t="s">
        <v>16468</v>
      </c>
      <c r="U851" t="s">
        <v>16469</v>
      </c>
      <c r="V851" t="s">
        <v>16470</v>
      </c>
      <c r="W851" t="s">
        <v>16471</v>
      </c>
      <c r="X851" t="s">
        <v>16472</v>
      </c>
      <c r="Y851" t="s">
        <v>16473</v>
      </c>
      <c r="Z851" t="s">
        <v>16474</v>
      </c>
      <c r="AA851" t="s">
        <v>74</v>
      </c>
      <c r="AB851" t="s">
        <v>16475</v>
      </c>
      <c r="AC851" t="s">
        <v>16476</v>
      </c>
      <c r="AD851" t="s">
        <v>16477</v>
      </c>
      <c r="AE851" t="s">
        <v>16478</v>
      </c>
      <c r="AF851" t="s">
        <v>74</v>
      </c>
      <c r="AG851">
        <v>61</v>
      </c>
      <c r="AH851">
        <v>0</v>
      </c>
      <c r="AI851">
        <v>0</v>
      </c>
      <c r="AJ851">
        <v>4</v>
      </c>
      <c r="AK851">
        <v>8</v>
      </c>
      <c r="AL851" t="s">
        <v>1405</v>
      </c>
      <c r="AM851" t="s">
        <v>226</v>
      </c>
      <c r="AN851" t="s">
        <v>1406</v>
      </c>
      <c r="AO851" t="s">
        <v>16479</v>
      </c>
      <c r="AP851" t="s">
        <v>16480</v>
      </c>
      <c r="AQ851" t="s">
        <v>74</v>
      </c>
      <c r="AR851" t="s">
        <v>16481</v>
      </c>
      <c r="AS851" t="s">
        <v>16482</v>
      </c>
      <c r="AT851" t="s">
        <v>8042</v>
      </c>
      <c r="AU851">
        <v>2023</v>
      </c>
      <c r="AV851">
        <v>132</v>
      </c>
      <c r="AW851" t="s">
        <v>74</v>
      </c>
      <c r="AX851" t="s">
        <v>74</v>
      </c>
      <c r="AY851" t="s">
        <v>74</v>
      </c>
      <c r="AZ851" t="s">
        <v>74</v>
      </c>
      <c r="BA851" t="s">
        <v>74</v>
      </c>
      <c r="BB851" t="s">
        <v>74</v>
      </c>
      <c r="BC851" t="s">
        <v>74</v>
      </c>
      <c r="BD851">
        <v>103479</v>
      </c>
      <c r="BE851" t="s">
        <v>16483</v>
      </c>
      <c r="BF851" t="str">
        <f>HYPERLINK("http://dx.doi.org/10.1016/j.apor.2023.103479","http://dx.doi.org/10.1016/j.apor.2023.103479")</f>
        <v>http://dx.doi.org/10.1016/j.apor.2023.103479</v>
      </c>
      <c r="BG851" t="s">
        <v>74</v>
      </c>
      <c r="BH851" t="s">
        <v>16484</v>
      </c>
      <c r="BI851">
        <v>10</v>
      </c>
      <c r="BJ851" t="s">
        <v>16485</v>
      </c>
      <c r="BK851" t="s">
        <v>103</v>
      </c>
      <c r="BL851" t="s">
        <v>134</v>
      </c>
      <c r="BM851" t="s">
        <v>16486</v>
      </c>
      <c r="BN851" t="s">
        <v>74</v>
      </c>
      <c r="BO851" t="s">
        <v>74</v>
      </c>
      <c r="BP851" t="s">
        <v>74</v>
      </c>
      <c r="BQ851" t="s">
        <v>74</v>
      </c>
      <c r="BR851" t="s">
        <v>106</v>
      </c>
      <c r="BS851" t="s">
        <v>16487</v>
      </c>
      <c r="BT851" t="str">
        <f>HYPERLINK("https%3A%2F%2Fwww.webofscience.com%2Fwos%2Fwoscc%2Ffull-record%2FWOS:000965036400001","View Full Record in Web of Science")</f>
        <v>View Full Record in Web of Science</v>
      </c>
    </row>
    <row r="852" spans="1:72" x14ac:dyDescent="0.15">
      <c r="A852" t="s">
        <v>72</v>
      </c>
      <c r="B852" t="s">
        <v>16488</v>
      </c>
      <c r="C852" t="s">
        <v>74</v>
      </c>
      <c r="D852" t="s">
        <v>74</v>
      </c>
      <c r="E852" t="s">
        <v>74</v>
      </c>
      <c r="F852" t="s">
        <v>16489</v>
      </c>
      <c r="G852" t="s">
        <v>74</v>
      </c>
      <c r="H852" t="s">
        <v>74</v>
      </c>
      <c r="I852" t="s">
        <v>16490</v>
      </c>
      <c r="J852" t="s">
        <v>11608</v>
      </c>
      <c r="K852" t="s">
        <v>74</v>
      </c>
      <c r="L852" t="s">
        <v>74</v>
      </c>
      <c r="M852" t="s">
        <v>78</v>
      </c>
      <c r="N852" t="s">
        <v>112</v>
      </c>
      <c r="O852" t="s">
        <v>74</v>
      </c>
      <c r="P852" t="s">
        <v>74</v>
      </c>
      <c r="Q852" t="s">
        <v>74</v>
      </c>
      <c r="R852" t="s">
        <v>74</v>
      </c>
      <c r="S852" t="s">
        <v>74</v>
      </c>
      <c r="T852" t="s">
        <v>16491</v>
      </c>
      <c r="U852" t="s">
        <v>16492</v>
      </c>
      <c r="V852" t="s">
        <v>16493</v>
      </c>
      <c r="W852" t="s">
        <v>16494</v>
      </c>
      <c r="X852" t="s">
        <v>16495</v>
      </c>
      <c r="Y852" t="s">
        <v>16496</v>
      </c>
      <c r="Z852" t="s">
        <v>16497</v>
      </c>
      <c r="AA852" t="s">
        <v>16498</v>
      </c>
      <c r="AB852" t="s">
        <v>16499</v>
      </c>
      <c r="AC852" t="s">
        <v>16500</v>
      </c>
      <c r="AD852" t="s">
        <v>16501</v>
      </c>
      <c r="AE852" t="s">
        <v>16502</v>
      </c>
      <c r="AF852" t="s">
        <v>74</v>
      </c>
      <c r="AG852">
        <v>48</v>
      </c>
      <c r="AH852">
        <v>0</v>
      </c>
      <c r="AI852">
        <v>0</v>
      </c>
      <c r="AJ852">
        <v>12</v>
      </c>
      <c r="AK852">
        <v>35</v>
      </c>
      <c r="AL852" t="s">
        <v>11621</v>
      </c>
      <c r="AM852" t="s">
        <v>179</v>
      </c>
      <c r="AN852" t="s">
        <v>11622</v>
      </c>
      <c r="AO852" t="s">
        <v>11623</v>
      </c>
      <c r="AP852" t="s">
        <v>11624</v>
      </c>
      <c r="AQ852" t="s">
        <v>74</v>
      </c>
      <c r="AR852" t="s">
        <v>11625</v>
      </c>
      <c r="AS852" t="s">
        <v>11626</v>
      </c>
      <c r="AT852" t="s">
        <v>1437</v>
      </c>
      <c r="AU852">
        <v>2023</v>
      </c>
      <c r="AV852">
        <v>285</v>
      </c>
      <c r="AW852" t="s">
        <v>74</v>
      </c>
      <c r="AX852" t="s">
        <v>74</v>
      </c>
      <c r="AY852" t="s">
        <v>74</v>
      </c>
      <c r="AZ852" t="s">
        <v>74</v>
      </c>
      <c r="BA852" t="s">
        <v>74</v>
      </c>
      <c r="BB852" t="s">
        <v>74</v>
      </c>
      <c r="BC852" t="s">
        <v>74</v>
      </c>
      <c r="BD852">
        <v>106633</v>
      </c>
      <c r="BE852" t="s">
        <v>16503</v>
      </c>
      <c r="BF852" t="str">
        <f>HYPERLINK("http://dx.doi.org/10.1016/j.atmosres.2023.106633","http://dx.doi.org/10.1016/j.atmosres.2023.106633")</f>
        <v>http://dx.doi.org/10.1016/j.atmosres.2023.106633</v>
      </c>
      <c r="BG852" t="s">
        <v>74</v>
      </c>
      <c r="BH852" t="s">
        <v>16484</v>
      </c>
      <c r="BI852">
        <v>9</v>
      </c>
      <c r="BJ852" t="s">
        <v>102</v>
      </c>
      <c r="BK852" t="s">
        <v>103</v>
      </c>
      <c r="BL852" t="s">
        <v>102</v>
      </c>
      <c r="BM852" t="s">
        <v>16504</v>
      </c>
      <c r="BN852" t="s">
        <v>74</v>
      </c>
      <c r="BO852" t="s">
        <v>387</v>
      </c>
      <c r="BP852" t="s">
        <v>74</v>
      </c>
      <c r="BQ852" t="s">
        <v>74</v>
      </c>
      <c r="BR852" t="s">
        <v>106</v>
      </c>
      <c r="BS852" t="s">
        <v>16505</v>
      </c>
      <c r="BT852" t="str">
        <f>HYPERLINK("https%3A%2F%2Fwww.webofscience.com%2Fwos%2Fwoscc%2Ffull-record%2FWOS:000964522500001","View Full Record in Web of Science")</f>
        <v>View Full Record in Web of Science</v>
      </c>
    </row>
    <row r="853" spans="1:72" x14ac:dyDescent="0.15">
      <c r="A853" t="s">
        <v>72</v>
      </c>
      <c r="B853" t="s">
        <v>16506</v>
      </c>
      <c r="C853" t="s">
        <v>74</v>
      </c>
      <c r="D853" t="s">
        <v>74</v>
      </c>
      <c r="E853" t="s">
        <v>74</v>
      </c>
      <c r="F853" t="s">
        <v>16507</v>
      </c>
      <c r="G853" t="s">
        <v>74</v>
      </c>
      <c r="H853" t="s">
        <v>74</v>
      </c>
      <c r="I853" t="s">
        <v>16508</v>
      </c>
      <c r="J853" t="s">
        <v>9081</v>
      </c>
      <c r="K853" t="s">
        <v>74</v>
      </c>
      <c r="L853" t="s">
        <v>74</v>
      </c>
      <c r="M853" t="s">
        <v>78</v>
      </c>
      <c r="N853" t="s">
        <v>112</v>
      </c>
      <c r="O853" t="s">
        <v>74</v>
      </c>
      <c r="P853" t="s">
        <v>74</v>
      </c>
      <c r="Q853" t="s">
        <v>74</v>
      </c>
      <c r="R853" t="s">
        <v>74</v>
      </c>
      <c r="S853" t="s">
        <v>74</v>
      </c>
      <c r="T853" t="s">
        <v>16509</v>
      </c>
      <c r="U853" t="s">
        <v>16510</v>
      </c>
      <c r="V853" t="s">
        <v>16511</v>
      </c>
      <c r="W853" t="s">
        <v>16512</v>
      </c>
      <c r="X853" t="s">
        <v>16513</v>
      </c>
      <c r="Y853" t="s">
        <v>16514</v>
      </c>
      <c r="Z853" t="s">
        <v>16515</v>
      </c>
      <c r="AA853" t="s">
        <v>74</v>
      </c>
      <c r="AB853" t="s">
        <v>16516</v>
      </c>
      <c r="AC853" t="s">
        <v>16517</v>
      </c>
      <c r="AD853" t="s">
        <v>16518</v>
      </c>
      <c r="AE853" t="s">
        <v>16519</v>
      </c>
      <c r="AF853" t="s">
        <v>74</v>
      </c>
      <c r="AG853">
        <v>59</v>
      </c>
      <c r="AH853">
        <v>0</v>
      </c>
      <c r="AI853">
        <v>0</v>
      </c>
      <c r="AJ853">
        <v>4</v>
      </c>
      <c r="AK853">
        <v>9</v>
      </c>
      <c r="AL853" t="s">
        <v>225</v>
      </c>
      <c r="AM853" t="s">
        <v>226</v>
      </c>
      <c r="AN853" t="s">
        <v>227</v>
      </c>
      <c r="AO853" t="s">
        <v>9094</v>
      </c>
      <c r="AP853" t="s">
        <v>9095</v>
      </c>
      <c r="AQ853" t="s">
        <v>74</v>
      </c>
      <c r="AR853" t="s">
        <v>9096</v>
      </c>
      <c r="AS853" t="s">
        <v>9097</v>
      </c>
      <c r="AT853" t="s">
        <v>13198</v>
      </c>
      <c r="AU853">
        <v>2023</v>
      </c>
      <c r="AV853">
        <v>302</v>
      </c>
      <c r="AW853" t="s">
        <v>74</v>
      </c>
      <c r="AX853" t="s">
        <v>74</v>
      </c>
      <c r="AY853" t="s">
        <v>74</v>
      </c>
      <c r="AZ853" t="s">
        <v>74</v>
      </c>
      <c r="BA853" t="s">
        <v>74</v>
      </c>
      <c r="BB853" t="s">
        <v>74</v>
      </c>
      <c r="BC853" t="s">
        <v>74</v>
      </c>
      <c r="BD853">
        <v>107718</v>
      </c>
      <c r="BE853" t="s">
        <v>16520</v>
      </c>
      <c r="BF853" t="str">
        <f>HYPERLINK("http://dx.doi.org/10.1016/j.quascirev.2022.107718","http://dx.doi.org/10.1016/j.quascirev.2022.107718")</f>
        <v>http://dx.doi.org/10.1016/j.quascirev.2022.107718</v>
      </c>
      <c r="BG853" t="s">
        <v>74</v>
      </c>
      <c r="BH853" t="s">
        <v>16484</v>
      </c>
      <c r="BI853">
        <v>21</v>
      </c>
      <c r="BJ853" t="s">
        <v>801</v>
      </c>
      <c r="BK853" t="s">
        <v>103</v>
      </c>
      <c r="BL853" t="s">
        <v>802</v>
      </c>
      <c r="BM853" t="s">
        <v>16521</v>
      </c>
      <c r="BN853" t="s">
        <v>74</v>
      </c>
      <c r="BO853" t="s">
        <v>1303</v>
      </c>
      <c r="BP853" t="s">
        <v>74</v>
      </c>
      <c r="BQ853" t="s">
        <v>74</v>
      </c>
      <c r="BR853" t="s">
        <v>106</v>
      </c>
      <c r="BS853" t="s">
        <v>16522</v>
      </c>
      <c r="BT853" t="str">
        <f>HYPERLINK("https%3A%2F%2Fwww.webofscience.com%2Fwos%2Fwoscc%2Ffull-record%2FWOS:000963611000001","View Full Record in Web of Science")</f>
        <v>View Full Record in Web of Science</v>
      </c>
    </row>
    <row r="854" spans="1:72" x14ac:dyDescent="0.15">
      <c r="A854" t="s">
        <v>72</v>
      </c>
      <c r="B854" t="s">
        <v>16523</v>
      </c>
      <c r="C854" t="s">
        <v>74</v>
      </c>
      <c r="D854" t="s">
        <v>74</v>
      </c>
      <c r="E854" t="s">
        <v>74</v>
      </c>
      <c r="F854" t="s">
        <v>16524</v>
      </c>
      <c r="G854" t="s">
        <v>74</v>
      </c>
      <c r="H854" t="s">
        <v>74</v>
      </c>
      <c r="I854" t="s">
        <v>16525</v>
      </c>
      <c r="J854" t="s">
        <v>16526</v>
      </c>
      <c r="K854" t="s">
        <v>74</v>
      </c>
      <c r="L854" t="s">
        <v>74</v>
      </c>
      <c r="M854" t="s">
        <v>78</v>
      </c>
      <c r="N854" t="s">
        <v>112</v>
      </c>
      <c r="O854" t="s">
        <v>74</v>
      </c>
      <c r="P854" t="s">
        <v>74</v>
      </c>
      <c r="Q854" t="s">
        <v>74</v>
      </c>
      <c r="R854" t="s">
        <v>74</v>
      </c>
      <c r="S854" t="s">
        <v>74</v>
      </c>
      <c r="T854" t="s">
        <v>16527</v>
      </c>
      <c r="U854" t="s">
        <v>16528</v>
      </c>
      <c r="V854" t="s">
        <v>16529</v>
      </c>
      <c r="W854" t="s">
        <v>16530</v>
      </c>
      <c r="X854" t="s">
        <v>16531</v>
      </c>
      <c r="Y854" t="s">
        <v>16532</v>
      </c>
      <c r="Z854" t="s">
        <v>16533</v>
      </c>
      <c r="AA854" t="s">
        <v>16534</v>
      </c>
      <c r="AB854" t="s">
        <v>16535</v>
      </c>
      <c r="AC854" t="s">
        <v>16536</v>
      </c>
      <c r="AD854" t="s">
        <v>16537</v>
      </c>
      <c r="AE854" t="s">
        <v>16538</v>
      </c>
      <c r="AF854" t="s">
        <v>74</v>
      </c>
      <c r="AG854">
        <v>18</v>
      </c>
      <c r="AH854">
        <v>0</v>
      </c>
      <c r="AI854">
        <v>0</v>
      </c>
      <c r="AJ854">
        <v>2</v>
      </c>
      <c r="AK854">
        <v>11</v>
      </c>
      <c r="AL854" t="s">
        <v>225</v>
      </c>
      <c r="AM854" t="s">
        <v>226</v>
      </c>
      <c r="AN854" t="s">
        <v>227</v>
      </c>
      <c r="AO854" t="s">
        <v>16539</v>
      </c>
      <c r="AP854" t="s">
        <v>16540</v>
      </c>
      <c r="AQ854" t="s">
        <v>74</v>
      </c>
      <c r="AR854" t="s">
        <v>16526</v>
      </c>
      <c r="AS854" t="s">
        <v>16541</v>
      </c>
      <c r="AT854" t="s">
        <v>1437</v>
      </c>
      <c r="AU854">
        <v>2023</v>
      </c>
      <c r="AV854">
        <v>208</v>
      </c>
      <c r="AW854" t="s">
        <v>74</v>
      </c>
      <c r="AX854" t="s">
        <v>74</v>
      </c>
      <c r="AY854" t="s">
        <v>74</v>
      </c>
      <c r="AZ854" t="s">
        <v>74</v>
      </c>
      <c r="BA854" t="s">
        <v>74</v>
      </c>
      <c r="BB854" t="s">
        <v>74</v>
      </c>
      <c r="BC854" t="s">
        <v>74</v>
      </c>
      <c r="BD854">
        <v>113593</v>
      </c>
      <c r="BE854" t="s">
        <v>16542</v>
      </c>
      <c r="BF854" t="str">
        <f>HYPERLINK("http://dx.doi.org/10.1016/j.phytochem.2023.113593","http://dx.doi.org/10.1016/j.phytochem.2023.113593")</f>
        <v>http://dx.doi.org/10.1016/j.phytochem.2023.113593</v>
      </c>
      <c r="BG854" t="s">
        <v>74</v>
      </c>
      <c r="BH854" t="s">
        <v>16484</v>
      </c>
      <c r="BI854">
        <v>8</v>
      </c>
      <c r="BJ854" t="s">
        <v>16543</v>
      </c>
      <c r="BK854" t="s">
        <v>1939</v>
      </c>
      <c r="BL854" t="s">
        <v>16543</v>
      </c>
      <c r="BM854" t="s">
        <v>16544</v>
      </c>
      <c r="BN854">
        <v>36709018</v>
      </c>
      <c r="BO854" t="s">
        <v>74</v>
      </c>
      <c r="BP854" t="s">
        <v>74</v>
      </c>
      <c r="BQ854" t="s">
        <v>74</v>
      </c>
      <c r="BR854" t="s">
        <v>106</v>
      </c>
      <c r="BS854" t="s">
        <v>16545</v>
      </c>
      <c r="BT854" t="str">
        <f>HYPERLINK("https%3A%2F%2Fwww.webofscience.com%2Fwos%2Fwoscc%2Ffull-record%2FWOS:000963172300001","View Full Record in Web of Science")</f>
        <v>View Full Record in Web of Science</v>
      </c>
    </row>
    <row r="855" spans="1:72" x14ac:dyDescent="0.15">
      <c r="A855" t="s">
        <v>72</v>
      </c>
      <c r="B855" t="s">
        <v>16546</v>
      </c>
      <c r="C855" t="s">
        <v>74</v>
      </c>
      <c r="D855" t="s">
        <v>74</v>
      </c>
      <c r="E855" t="s">
        <v>74</v>
      </c>
      <c r="F855" t="s">
        <v>16547</v>
      </c>
      <c r="G855" t="s">
        <v>74</v>
      </c>
      <c r="H855" t="s">
        <v>74</v>
      </c>
      <c r="I855" t="s">
        <v>16548</v>
      </c>
      <c r="J855" t="s">
        <v>16549</v>
      </c>
      <c r="K855" t="s">
        <v>74</v>
      </c>
      <c r="L855" t="s">
        <v>74</v>
      </c>
      <c r="M855" t="s">
        <v>78</v>
      </c>
      <c r="N855" t="s">
        <v>112</v>
      </c>
      <c r="O855" t="s">
        <v>74</v>
      </c>
      <c r="P855" t="s">
        <v>74</v>
      </c>
      <c r="Q855" t="s">
        <v>74</v>
      </c>
      <c r="R855" t="s">
        <v>74</v>
      </c>
      <c r="S855" t="s">
        <v>74</v>
      </c>
      <c r="T855" t="s">
        <v>16550</v>
      </c>
      <c r="U855" t="s">
        <v>16551</v>
      </c>
      <c r="V855" t="s">
        <v>16552</v>
      </c>
      <c r="W855" t="s">
        <v>16553</v>
      </c>
      <c r="X855" t="s">
        <v>16554</v>
      </c>
      <c r="Y855" t="s">
        <v>16555</v>
      </c>
      <c r="Z855" t="s">
        <v>16556</v>
      </c>
      <c r="AA855" t="s">
        <v>74</v>
      </c>
      <c r="AB855" t="s">
        <v>74</v>
      </c>
      <c r="AC855" t="s">
        <v>16557</v>
      </c>
      <c r="AD855" t="s">
        <v>4427</v>
      </c>
      <c r="AE855" t="s">
        <v>16558</v>
      </c>
      <c r="AF855" t="s">
        <v>74</v>
      </c>
      <c r="AG855">
        <v>57</v>
      </c>
      <c r="AH855">
        <v>0</v>
      </c>
      <c r="AI855">
        <v>0</v>
      </c>
      <c r="AJ855">
        <v>0</v>
      </c>
      <c r="AK855">
        <v>1</v>
      </c>
      <c r="AL855" t="s">
        <v>1101</v>
      </c>
      <c r="AM855" t="s">
        <v>1102</v>
      </c>
      <c r="AN855" t="s">
        <v>1103</v>
      </c>
      <c r="AO855" t="s">
        <v>16559</v>
      </c>
      <c r="AP855" t="s">
        <v>16560</v>
      </c>
      <c r="AQ855" t="s">
        <v>74</v>
      </c>
      <c r="AR855" t="s">
        <v>16549</v>
      </c>
      <c r="AS855" t="s">
        <v>16561</v>
      </c>
      <c r="AT855" t="s">
        <v>1437</v>
      </c>
      <c r="AU855">
        <v>2023</v>
      </c>
      <c r="AV855">
        <v>97</v>
      </c>
      <c r="AW855">
        <v>392</v>
      </c>
      <c r="AX855" t="s">
        <v>74</v>
      </c>
      <c r="AY855" t="s">
        <v>74</v>
      </c>
      <c r="AZ855" t="s">
        <v>74</v>
      </c>
      <c r="BA855" t="s">
        <v>74</v>
      </c>
      <c r="BB855">
        <v>472</v>
      </c>
      <c r="BC855">
        <v>482</v>
      </c>
      <c r="BD855" t="s">
        <v>74</v>
      </c>
      <c r="BE855" t="s">
        <v>16562</v>
      </c>
      <c r="BF855" t="str">
        <f>HYPERLINK("http://dx.doi.org/10.15184/aqy.2023.4","http://dx.doi.org/10.15184/aqy.2023.4")</f>
        <v>http://dx.doi.org/10.15184/aqy.2023.4</v>
      </c>
      <c r="BG855" t="s">
        <v>74</v>
      </c>
      <c r="BH855" t="s">
        <v>16484</v>
      </c>
      <c r="BI855">
        <v>11</v>
      </c>
      <c r="BJ855" t="s">
        <v>16563</v>
      </c>
      <c r="BK855" t="s">
        <v>13602</v>
      </c>
      <c r="BL855" t="s">
        <v>16563</v>
      </c>
      <c r="BM855" t="s">
        <v>16564</v>
      </c>
      <c r="BN855" t="s">
        <v>74</v>
      </c>
      <c r="BO855" t="s">
        <v>3931</v>
      </c>
      <c r="BP855" t="s">
        <v>74</v>
      </c>
      <c r="BQ855" t="s">
        <v>74</v>
      </c>
      <c r="BR855" t="s">
        <v>106</v>
      </c>
      <c r="BS855" t="s">
        <v>16565</v>
      </c>
      <c r="BT855" t="str">
        <f>HYPERLINK("https%3A%2F%2Fwww.webofscience.com%2Fwos%2Fwoscc%2Ffull-record%2FWOS:000921880400001","View Full Record in Web of Science")</f>
        <v>View Full Record in Web of Science</v>
      </c>
    </row>
    <row r="856" spans="1:72" x14ac:dyDescent="0.15">
      <c r="A856" t="s">
        <v>72</v>
      </c>
      <c r="B856" t="s">
        <v>16566</v>
      </c>
      <c r="C856" t="s">
        <v>74</v>
      </c>
      <c r="D856" t="s">
        <v>74</v>
      </c>
      <c r="E856" t="s">
        <v>74</v>
      </c>
      <c r="F856" t="s">
        <v>16567</v>
      </c>
      <c r="G856" t="s">
        <v>74</v>
      </c>
      <c r="H856" t="s">
        <v>74</v>
      </c>
      <c r="I856" t="s">
        <v>16568</v>
      </c>
      <c r="J856" t="s">
        <v>782</v>
      </c>
      <c r="K856" t="s">
        <v>74</v>
      </c>
      <c r="L856" t="s">
        <v>74</v>
      </c>
      <c r="M856" t="s">
        <v>78</v>
      </c>
      <c r="N856" t="s">
        <v>112</v>
      </c>
      <c r="O856" t="s">
        <v>74</v>
      </c>
      <c r="P856" t="s">
        <v>74</v>
      </c>
      <c r="Q856" t="s">
        <v>74</v>
      </c>
      <c r="R856" t="s">
        <v>74</v>
      </c>
      <c r="S856" t="s">
        <v>74</v>
      </c>
      <c r="T856" t="s">
        <v>74</v>
      </c>
      <c r="U856" t="s">
        <v>16569</v>
      </c>
      <c r="V856" t="s">
        <v>16570</v>
      </c>
      <c r="W856" t="s">
        <v>16571</v>
      </c>
      <c r="X856" t="s">
        <v>16572</v>
      </c>
      <c r="Y856" t="s">
        <v>16573</v>
      </c>
      <c r="Z856" t="s">
        <v>16574</v>
      </c>
      <c r="AA856" t="s">
        <v>16575</v>
      </c>
      <c r="AB856" t="s">
        <v>16576</v>
      </c>
      <c r="AC856" t="s">
        <v>16577</v>
      </c>
      <c r="AD856" t="s">
        <v>16578</v>
      </c>
      <c r="AE856" t="s">
        <v>16579</v>
      </c>
      <c r="AF856" t="s">
        <v>74</v>
      </c>
      <c r="AG856">
        <v>67</v>
      </c>
      <c r="AH856">
        <v>1</v>
      </c>
      <c r="AI856">
        <v>1</v>
      </c>
      <c r="AJ856">
        <v>0</v>
      </c>
      <c r="AK856">
        <v>6</v>
      </c>
      <c r="AL856" t="s">
        <v>794</v>
      </c>
      <c r="AM856" t="s">
        <v>795</v>
      </c>
      <c r="AN856" t="s">
        <v>796</v>
      </c>
      <c r="AO856" t="s">
        <v>797</v>
      </c>
      <c r="AP856" t="s">
        <v>798</v>
      </c>
      <c r="AQ856" t="s">
        <v>74</v>
      </c>
      <c r="AR856" t="s">
        <v>782</v>
      </c>
      <c r="AS856" t="s">
        <v>799</v>
      </c>
      <c r="AT856" t="s">
        <v>16580</v>
      </c>
      <c r="AU856">
        <v>2023</v>
      </c>
      <c r="AV856">
        <v>17</v>
      </c>
      <c r="AW856">
        <v>1</v>
      </c>
      <c r="AX856" t="s">
        <v>74</v>
      </c>
      <c r="AY856" t="s">
        <v>74</v>
      </c>
      <c r="AZ856" t="s">
        <v>74</v>
      </c>
      <c r="BA856" t="s">
        <v>74</v>
      </c>
      <c r="BB856">
        <v>407</v>
      </c>
      <c r="BC856">
        <v>425</v>
      </c>
      <c r="BD856" t="s">
        <v>74</v>
      </c>
      <c r="BE856" t="s">
        <v>16581</v>
      </c>
      <c r="BF856" t="str">
        <f>HYPERLINK("http://dx.doi.org/10.5194/tc-17-407-2023","http://dx.doi.org/10.5194/tc-17-407-2023")</f>
        <v>http://dx.doi.org/10.5194/tc-17-407-2023</v>
      </c>
      <c r="BG856" t="s">
        <v>74</v>
      </c>
      <c r="BH856" t="s">
        <v>74</v>
      </c>
      <c r="BI856">
        <v>19</v>
      </c>
      <c r="BJ856" t="s">
        <v>801</v>
      </c>
      <c r="BK856" t="s">
        <v>103</v>
      </c>
      <c r="BL856" t="s">
        <v>802</v>
      </c>
      <c r="BM856" t="s">
        <v>16582</v>
      </c>
      <c r="BN856" t="s">
        <v>74</v>
      </c>
      <c r="BO856" t="s">
        <v>8374</v>
      </c>
      <c r="BP856" t="s">
        <v>74</v>
      </c>
      <c r="BQ856" t="s">
        <v>74</v>
      </c>
      <c r="BR856" t="s">
        <v>106</v>
      </c>
      <c r="BS856" t="s">
        <v>16583</v>
      </c>
      <c r="BT856" t="str">
        <f>HYPERLINK("https%3A%2F%2Fwww.webofscience.com%2Fwos%2Fwoscc%2Ffull-record%2FWOS:000923845500001","View Full Record in Web of Science")</f>
        <v>View Full Record in Web of Science</v>
      </c>
    </row>
    <row r="857" spans="1:72" x14ac:dyDescent="0.15">
      <c r="A857" t="s">
        <v>72</v>
      </c>
      <c r="B857" t="s">
        <v>16584</v>
      </c>
      <c r="C857" t="s">
        <v>74</v>
      </c>
      <c r="D857" t="s">
        <v>74</v>
      </c>
      <c r="E857" t="s">
        <v>74</v>
      </c>
      <c r="F857" t="s">
        <v>16585</v>
      </c>
      <c r="G857" t="s">
        <v>74</v>
      </c>
      <c r="H857" t="s">
        <v>74</v>
      </c>
      <c r="I857" t="s">
        <v>16586</v>
      </c>
      <c r="J857" t="s">
        <v>13535</v>
      </c>
      <c r="K857" t="s">
        <v>74</v>
      </c>
      <c r="L857" t="s">
        <v>74</v>
      </c>
      <c r="M857" t="s">
        <v>78</v>
      </c>
      <c r="N857" t="s">
        <v>112</v>
      </c>
      <c r="O857" t="s">
        <v>74</v>
      </c>
      <c r="P857" t="s">
        <v>74</v>
      </c>
      <c r="Q857" t="s">
        <v>74</v>
      </c>
      <c r="R857" t="s">
        <v>74</v>
      </c>
      <c r="S857" t="s">
        <v>74</v>
      </c>
      <c r="T857" t="s">
        <v>16587</v>
      </c>
      <c r="U857" t="s">
        <v>16588</v>
      </c>
      <c r="V857" t="s">
        <v>16589</v>
      </c>
      <c r="W857" t="s">
        <v>16590</v>
      </c>
      <c r="X857" t="s">
        <v>16591</v>
      </c>
      <c r="Y857" t="s">
        <v>16592</v>
      </c>
      <c r="Z857" t="s">
        <v>16593</v>
      </c>
      <c r="AA857" t="s">
        <v>16594</v>
      </c>
      <c r="AB857" t="s">
        <v>16595</v>
      </c>
      <c r="AC857" t="s">
        <v>16596</v>
      </c>
      <c r="AD857" t="s">
        <v>16597</v>
      </c>
      <c r="AE857" t="s">
        <v>16598</v>
      </c>
      <c r="AF857" t="s">
        <v>74</v>
      </c>
      <c r="AG857">
        <v>66</v>
      </c>
      <c r="AH857">
        <v>0</v>
      </c>
      <c r="AI857">
        <v>0</v>
      </c>
      <c r="AJ857">
        <v>6</v>
      </c>
      <c r="AK857">
        <v>8</v>
      </c>
      <c r="AL857" t="s">
        <v>2092</v>
      </c>
      <c r="AM857" t="s">
        <v>2093</v>
      </c>
      <c r="AN857" t="s">
        <v>2094</v>
      </c>
      <c r="AO857" t="s">
        <v>13544</v>
      </c>
      <c r="AP857" t="s">
        <v>13545</v>
      </c>
      <c r="AQ857" t="s">
        <v>74</v>
      </c>
      <c r="AR857" t="s">
        <v>13546</v>
      </c>
      <c r="AS857" t="s">
        <v>13547</v>
      </c>
      <c r="AT857" t="s">
        <v>1437</v>
      </c>
      <c r="AU857">
        <v>2023</v>
      </c>
      <c r="AV857">
        <v>39</v>
      </c>
      <c r="AW857">
        <v>2</v>
      </c>
      <c r="AX857" t="s">
        <v>74</v>
      </c>
      <c r="AY857" t="s">
        <v>74</v>
      </c>
      <c r="AZ857" t="s">
        <v>74</v>
      </c>
      <c r="BA857" t="s">
        <v>74</v>
      </c>
      <c r="BB857">
        <v>594</v>
      </c>
      <c r="BC857">
        <v>610</v>
      </c>
      <c r="BD857" t="s">
        <v>74</v>
      </c>
      <c r="BE857" t="s">
        <v>16599</v>
      </c>
      <c r="BF857" t="str">
        <f>HYPERLINK("http://dx.doi.org/10.1111/mms.12998","http://dx.doi.org/10.1111/mms.12998")</f>
        <v>http://dx.doi.org/10.1111/mms.12998</v>
      </c>
      <c r="BG857" t="s">
        <v>74</v>
      </c>
      <c r="BH857" t="s">
        <v>16484</v>
      </c>
      <c r="BI857">
        <v>17</v>
      </c>
      <c r="BJ857" t="s">
        <v>4657</v>
      </c>
      <c r="BK857" t="s">
        <v>103</v>
      </c>
      <c r="BL857" t="s">
        <v>4657</v>
      </c>
      <c r="BM857" t="s">
        <v>13549</v>
      </c>
      <c r="BN857" t="s">
        <v>74</v>
      </c>
      <c r="BO857" t="s">
        <v>1389</v>
      </c>
      <c r="BP857" t="s">
        <v>74</v>
      </c>
      <c r="BQ857" t="s">
        <v>74</v>
      </c>
      <c r="BR857" t="s">
        <v>106</v>
      </c>
      <c r="BS857" t="s">
        <v>16600</v>
      </c>
      <c r="BT857" t="str">
        <f>HYPERLINK("https%3A%2F%2Fwww.webofscience.com%2Fwos%2Fwoscc%2Ffull-record%2FWOS:000922491500001","View Full Record in Web of Science")</f>
        <v>View Full Record in Web of Science</v>
      </c>
    </row>
    <row r="858" spans="1:72" x14ac:dyDescent="0.15">
      <c r="A858" t="s">
        <v>72</v>
      </c>
      <c r="B858" t="s">
        <v>16601</v>
      </c>
      <c r="C858" t="s">
        <v>74</v>
      </c>
      <c r="D858" t="s">
        <v>74</v>
      </c>
      <c r="E858" t="s">
        <v>74</v>
      </c>
      <c r="F858" t="s">
        <v>16602</v>
      </c>
      <c r="G858" t="s">
        <v>74</v>
      </c>
      <c r="H858" t="s">
        <v>74</v>
      </c>
      <c r="I858" t="s">
        <v>16603</v>
      </c>
      <c r="J858" t="s">
        <v>11745</v>
      </c>
      <c r="K858" t="s">
        <v>74</v>
      </c>
      <c r="L858" t="s">
        <v>74</v>
      </c>
      <c r="M858" t="s">
        <v>78</v>
      </c>
      <c r="N858" t="s">
        <v>112</v>
      </c>
      <c r="O858" t="s">
        <v>74</v>
      </c>
      <c r="P858" t="s">
        <v>74</v>
      </c>
      <c r="Q858" t="s">
        <v>74</v>
      </c>
      <c r="R858" t="s">
        <v>74</v>
      </c>
      <c r="S858" t="s">
        <v>74</v>
      </c>
      <c r="T858" t="s">
        <v>16604</v>
      </c>
      <c r="U858" t="s">
        <v>16605</v>
      </c>
      <c r="V858" t="s">
        <v>16606</v>
      </c>
      <c r="W858" t="s">
        <v>16607</v>
      </c>
      <c r="X858" t="s">
        <v>16608</v>
      </c>
      <c r="Y858" t="s">
        <v>16609</v>
      </c>
      <c r="Z858" t="s">
        <v>16610</v>
      </c>
      <c r="AA858" t="s">
        <v>16611</v>
      </c>
      <c r="AB858" t="s">
        <v>16612</v>
      </c>
      <c r="AC858" t="s">
        <v>16613</v>
      </c>
      <c r="AD858" t="s">
        <v>16614</v>
      </c>
      <c r="AE858" t="s">
        <v>16615</v>
      </c>
      <c r="AF858" t="s">
        <v>74</v>
      </c>
      <c r="AG858">
        <v>53</v>
      </c>
      <c r="AH858">
        <v>1</v>
      </c>
      <c r="AI858">
        <v>1</v>
      </c>
      <c r="AJ858">
        <v>12</v>
      </c>
      <c r="AK858">
        <v>42</v>
      </c>
      <c r="AL858" t="s">
        <v>1599</v>
      </c>
      <c r="AM858" t="s">
        <v>306</v>
      </c>
      <c r="AN858" t="s">
        <v>1600</v>
      </c>
      <c r="AO858" t="s">
        <v>11758</v>
      </c>
      <c r="AP858" t="s">
        <v>74</v>
      </c>
      <c r="AQ858" t="s">
        <v>74</v>
      </c>
      <c r="AR858" t="s">
        <v>11745</v>
      </c>
      <c r="AS858" t="s">
        <v>11759</v>
      </c>
      <c r="AT858" t="s">
        <v>12237</v>
      </c>
      <c r="AU858">
        <v>2023</v>
      </c>
      <c r="AV858">
        <v>8</v>
      </c>
      <c r="AW858">
        <v>1</v>
      </c>
      <c r="AX858" t="s">
        <v>74</v>
      </c>
      <c r="AY858" t="s">
        <v>74</v>
      </c>
      <c r="AZ858" t="s">
        <v>74</v>
      </c>
      <c r="BA858" t="s">
        <v>74</v>
      </c>
      <c r="BB858" t="s">
        <v>74</v>
      </c>
      <c r="BC858" t="s">
        <v>74</v>
      </c>
      <c r="BD858" t="s">
        <v>74</v>
      </c>
      <c r="BE858" t="s">
        <v>16616</v>
      </c>
      <c r="BF858" t="str">
        <f>HYPERLINK("http://dx.doi.org/10.1128/msystems.01254-22","http://dx.doi.org/10.1128/msystems.01254-22")</f>
        <v>http://dx.doi.org/10.1128/msystems.01254-22</v>
      </c>
      <c r="BG858" t="s">
        <v>74</v>
      </c>
      <c r="BH858" t="s">
        <v>16484</v>
      </c>
      <c r="BI858">
        <v>12</v>
      </c>
      <c r="BJ858" t="s">
        <v>1387</v>
      </c>
      <c r="BK858" t="s">
        <v>103</v>
      </c>
      <c r="BL858" t="s">
        <v>1387</v>
      </c>
      <c r="BM858" t="s">
        <v>16617</v>
      </c>
      <c r="BN858">
        <v>36719224</v>
      </c>
      <c r="BO858" t="s">
        <v>136</v>
      </c>
      <c r="BP858" t="s">
        <v>74</v>
      </c>
      <c r="BQ858" t="s">
        <v>74</v>
      </c>
      <c r="BR858" t="s">
        <v>106</v>
      </c>
      <c r="BS858" t="s">
        <v>16618</v>
      </c>
      <c r="BT858" t="str">
        <f>HYPERLINK("https%3A%2F%2Fwww.webofscience.com%2Fwos%2Fwoscc%2Ffull-record%2FWOS:000922374200001","View Full Record in Web of Science")</f>
        <v>View Full Record in Web of Science</v>
      </c>
    </row>
    <row r="859" spans="1:72" x14ac:dyDescent="0.15">
      <c r="A859" t="s">
        <v>72</v>
      </c>
      <c r="B859" t="s">
        <v>16619</v>
      </c>
      <c r="C859" t="s">
        <v>74</v>
      </c>
      <c r="D859" t="s">
        <v>74</v>
      </c>
      <c r="E859" t="s">
        <v>74</v>
      </c>
      <c r="F859" t="s">
        <v>16620</v>
      </c>
      <c r="G859" t="s">
        <v>74</v>
      </c>
      <c r="H859" t="s">
        <v>74</v>
      </c>
      <c r="I859" t="s">
        <v>16621</v>
      </c>
      <c r="J859" t="s">
        <v>16622</v>
      </c>
      <c r="K859" t="s">
        <v>74</v>
      </c>
      <c r="L859" t="s">
        <v>74</v>
      </c>
      <c r="M859" t="s">
        <v>78</v>
      </c>
      <c r="N859" t="s">
        <v>112</v>
      </c>
      <c r="O859" t="s">
        <v>74</v>
      </c>
      <c r="P859" t="s">
        <v>74</v>
      </c>
      <c r="Q859" t="s">
        <v>74</v>
      </c>
      <c r="R859" t="s">
        <v>74</v>
      </c>
      <c r="S859" t="s">
        <v>74</v>
      </c>
      <c r="T859" t="s">
        <v>16623</v>
      </c>
      <c r="U859" t="s">
        <v>16624</v>
      </c>
      <c r="V859" t="s">
        <v>16625</v>
      </c>
      <c r="W859" t="s">
        <v>16626</v>
      </c>
      <c r="X859" t="s">
        <v>16627</v>
      </c>
      <c r="Y859" t="s">
        <v>16628</v>
      </c>
      <c r="Z859" t="s">
        <v>16629</v>
      </c>
      <c r="AA859" t="s">
        <v>74</v>
      </c>
      <c r="AB859" t="s">
        <v>16630</v>
      </c>
      <c r="AC859" t="s">
        <v>16631</v>
      </c>
      <c r="AD859" t="s">
        <v>16632</v>
      </c>
      <c r="AE859" t="s">
        <v>16633</v>
      </c>
      <c r="AF859" t="s">
        <v>74</v>
      </c>
      <c r="AG859">
        <v>42</v>
      </c>
      <c r="AH859">
        <v>0</v>
      </c>
      <c r="AI859">
        <v>1</v>
      </c>
      <c r="AJ859">
        <v>2</v>
      </c>
      <c r="AK859">
        <v>3</v>
      </c>
      <c r="AL859" t="s">
        <v>447</v>
      </c>
      <c r="AM859" t="s">
        <v>448</v>
      </c>
      <c r="AN859" t="s">
        <v>449</v>
      </c>
      <c r="AO859" t="s">
        <v>74</v>
      </c>
      <c r="AP859" t="s">
        <v>16634</v>
      </c>
      <c r="AQ859" t="s">
        <v>74</v>
      </c>
      <c r="AR859" t="s">
        <v>16622</v>
      </c>
      <c r="AS859" t="s">
        <v>16635</v>
      </c>
      <c r="AT859" t="s">
        <v>74</v>
      </c>
      <c r="AU859">
        <v>2023</v>
      </c>
      <c r="AV859">
        <v>10</v>
      </c>
      <c r="AW859" t="s">
        <v>74</v>
      </c>
      <c r="AX859" t="s">
        <v>74</v>
      </c>
      <c r="AY859" t="s">
        <v>74</v>
      </c>
      <c r="AZ859" t="s">
        <v>74</v>
      </c>
      <c r="BA859" t="s">
        <v>74</v>
      </c>
      <c r="BB859" t="s">
        <v>74</v>
      </c>
      <c r="BC859" t="s">
        <v>74</v>
      </c>
      <c r="BD859">
        <v>102040</v>
      </c>
      <c r="BE859" t="s">
        <v>16636</v>
      </c>
      <c r="BF859" t="str">
        <f>HYPERLINK("http://dx.doi.org/10.1016/j.mex.2023.102040","http://dx.doi.org/10.1016/j.mex.2023.102040")</f>
        <v>http://dx.doi.org/10.1016/j.mex.2023.102040</v>
      </c>
      <c r="BG859" t="s">
        <v>74</v>
      </c>
      <c r="BH859" t="s">
        <v>16484</v>
      </c>
      <c r="BI859">
        <v>10</v>
      </c>
      <c r="BJ859" t="s">
        <v>210</v>
      </c>
      <c r="BK859" t="s">
        <v>160</v>
      </c>
      <c r="BL859" t="s">
        <v>211</v>
      </c>
      <c r="BM859" t="s">
        <v>16637</v>
      </c>
      <c r="BN859">
        <v>36793672</v>
      </c>
      <c r="BO859" t="s">
        <v>6496</v>
      </c>
      <c r="BP859" t="s">
        <v>74</v>
      </c>
      <c r="BQ859" t="s">
        <v>74</v>
      </c>
      <c r="BR859" t="s">
        <v>106</v>
      </c>
      <c r="BS859" t="s">
        <v>16638</v>
      </c>
      <c r="BT859" t="str">
        <f>HYPERLINK("https%3A%2F%2Fwww.webofscience.com%2Fwos%2Fwoscc%2Ffull-record%2FWOS:000976476600001","View Full Record in Web of Science")</f>
        <v>View Full Record in Web of Science</v>
      </c>
    </row>
    <row r="860" spans="1:72" x14ac:dyDescent="0.15">
      <c r="A860" t="s">
        <v>72</v>
      </c>
      <c r="B860" t="s">
        <v>16639</v>
      </c>
      <c r="C860" t="s">
        <v>74</v>
      </c>
      <c r="D860" t="s">
        <v>74</v>
      </c>
      <c r="E860" t="s">
        <v>74</v>
      </c>
      <c r="F860" t="s">
        <v>16640</v>
      </c>
      <c r="G860" t="s">
        <v>74</v>
      </c>
      <c r="H860" t="s">
        <v>74</v>
      </c>
      <c r="I860" t="s">
        <v>16641</v>
      </c>
      <c r="J860" t="s">
        <v>1215</v>
      </c>
      <c r="K860" t="s">
        <v>74</v>
      </c>
      <c r="L860" t="s">
        <v>74</v>
      </c>
      <c r="M860" t="s">
        <v>78</v>
      </c>
      <c r="N860" t="s">
        <v>112</v>
      </c>
      <c r="O860" t="s">
        <v>74</v>
      </c>
      <c r="P860" t="s">
        <v>74</v>
      </c>
      <c r="Q860" t="s">
        <v>74</v>
      </c>
      <c r="R860" t="s">
        <v>74</v>
      </c>
      <c r="S860" t="s">
        <v>74</v>
      </c>
      <c r="T860" t="s">
        <v>16642</v>
      </c>
      <c r="U860" t="s">
        <v>16643</v>
      </c>
      <c r="V860" t="s">
        <v>16644</v>
      </c>
      <c r="W860" t="s">
        <v>16645</v>
      </c>
      <c r="X860" t="s">
        <v>16646</v>
      </c>
      <c r="Y860" t="s">
        <v>16647</v>
      </c>
      <c r="Z860" t="s">
        <v>16648</v>
      </c>
      <c r="AA860" t="s">
        <v>16649</v>
      </c>
      <c r="AB860" t="s">
        <v>16650</v>
      </c>
      <c r="AC860" t="s">
        <v>16651</v>
      </c>
      <c r="AD860" t="s">
        <v>16652</v>
      </c>
      <c r="AE860" t="s">
        <v>16653</v>
      </c>
      <c r="AF860" t="s">
        <v>74</v>
      </c>
      <c r="AG860">
        <v>56</v>
      </c>
      <c r="AH860">
        <v>0</v>
      </c>
      <c r="AI860">
        <v>0</v>
      </c>
      <c r="AJ860">
        <v>7</v>
      </c>
      <c r="AK860">
        <v>18</v>
      </c>
      <c r="AL860" t="s">
        <v>700</v>
      </c>
      <c r="AM860" t="s">
        <v>701</v>
      </c>
      <c r="AN860" t="s">
        <v>702</v>
      </c>
      <c r="AO860" t="s">
        <v>74</v>
      </c>
      <c r="AP860" t="s">
        <v>1228</v>
      </c>
      <c r="AQ860" t="s">
        <v>74</v>
      </c>
      <c r="AR860" t="s">
        <v>1229</v>
      </c>
      <c r="AS860" t="s">
        <v>1230</v>
      </c>
      <c r="AT860" t="s">
        <v>16654</v>
      </c>
      <c r="AU860">
        <v>2023</v>
      </c>
      <c r="AV860">
        <v>10</v>
      </c>
      <c r="AW860" t="s">
        <v>74</v>
      </c>
      <c r="AX860" t="s">
        <v>74</v>
      </c>
      <c r="AY860" t="s">
        <v>74</v>
      </c>
      <c r="AZ860" t="s">
        <v>74</v>
      </c>
      <c r="BA860" t="s">
        <v>74</v>
      </c>
      <c r="BB860" t="s">
        <v>74</v>
      </c>
      <c r="BC860" t="s">
        <v>74</v>
      </c>
      <c r="BD860">
        <v>1062413</v>
      </c>
      <c r="BE860" t="s">
        <v>16655</v>
      </c>
      <c r="BF860" t="str">
        <f>HYPERLINK("http://dx.doi.org/10.3389/fmars.2023.1062413","http://dx.doi.org/10.3389/fmars.2023.1062413")</f>
        <v>http://dx.doi.org/10.3389/fmars.2023.1062413</v>
      </c>
      <c r="BG860" t="s">
        <v>74</v>
      </c>
      <c r="BH860" t="s">
        <v>74</v>
      </c>
      <c r="BI860">
        <v>13</v>
      </c>
      <c r="BJ860" t="s">
        <v>636</v>
      </c>
      <c r="BK860" t="s">
        <v>103</v>
      </c>
      <c r="BL860" t="s">
        <v>637</v>
      </c>
      <c r="BM860" t="s">
        <v>16656</v>
      </c>
      <c r="BN860" t="s">
        <v>74</v>
      </c>
      <c r="BO860" t="s">
        <v>359</v>
      </c>
      <c r="BP860" t="s">
        <v>74</v>
      </c>
      <c r="BQ860" t="s">
        <v>74</v>
      </c>
      <c r="BR860" t="s">
        <v>106</v>
      </c>
      <c r="BS860" t="s">
        <v>16657</v>
      </c>
      <c r="BT860" t="str">
        <f>HYPERLINK("https%3A%2F%2Fwww.webofscience.com%2Fwos%2Fwoscc%2Ffull-record%2FWOS:000932612600001","View Full Record in Web of Science")</f>
        <v>View Full Record in Web of Science</v>
      </c>
    </row>
    <row r="861" spans="1:72" x14ac:dyDescent="0.15">
      <c r="A861" t="s">
        <v>72</v>
      </c>
      <c r="B861" t="s">
        <v>16658</v>
      </c>
      <c r="C861" t="s">
        <v>74</v>
      </c>
      <c r="D861" t="s">
        <v>74</v>
      </c>
      <c r="E861" t="s">
        <v>74</v>
      </c>
      <c r="F861" t="s">
        <v>16659</v>
      </c>
      <c r="G861" t="s">
        <v>74</v>
      </c>
      <c r="H861" t="s">
        <v>74</v>
      </c>
      <c r="I861" t="s">
        <v>16660</v>
      </c>
      <c r="J861" t="s">
        <v>16661</v>
      </c>
      <c r="K861" t="s">
        <v>74</v>
      </c>
      <c r="L861" t="s">
        <v>74</v>
      </c>
      <c r="M861" t="s">
        <v>78</v>
      </c>
      <c r="N861" t="s">
        <v>112</v>
      </c>
      <c r="O861" t="s">
        <v>74</v>
      </c>
      <c r="P861" t="s">
        <v>74</v>
      </c>
      <c r="Q861" t="s">
        <v>74</v>
      </c>
      <c r="R861" t="s">
        <v>74</v>
      </c>
      <c r="S861" t="s">
        <v>74</v>
      </c>
      <c r="T861" t="s">
        <v>16662</v>
      </c>
      <c r="U861" t="s">
        <v>16663</v>
      </c>
      <c r="V861" t="s">
        <v>16664</v>
      </c>
      <c r="W861" t="s">
        <v>16665</v>
      </c>
      <c r="X861" t="s">
        <v>74</v>
      </c>
      <c r="Y861" t="s">
        <v>16666</v>
      </c>
      <c r="Z861" t="s">
        <v>16667</v>
      </c>
      <c r="AA861" t="s">
        <v>74</v>
      </c>
      <c r="AB861" t="s">
        <v>74</v>
      </c>
      <c r="AC861" t="s">
        <v>74</v>
      </c>
      <c r="AD861" t="s">
        <v>74</v>
      </c>
      <c r="AE861" t="s">
        <v>74</v>
      </c>
      <c r="AF861" t="s">
        <v>74</v>
      </c>
      <c r="AG861">
        <v>29</v>
      </c>
      <c r="AH861">
        <v>0</v>
      </c>
      <c r="AI861">
        <v>0</v>
      </c>
      <c r="AJ861">
        <v>0</v>
      </c>
      <c r="AK861">
        <v>2</v>
      </c>
      <c r="AL861" t="s">
        <v>16668</v>
      </c>
      <c r="AM861" t="s">
        <v>16669</v>
      </c>
      <c r="AN861" t="s">
        <v>16670</v>
      </c>
      <c r="AO861" t="s">
        <v>16671</v>
      </c>
      <c r="AP861" t="s">
        <v>16672</v>
      </c>
      <c r="AQ861" t="s">
        <v>74</v>
      </c>
      <c r="AR861" t="s">
        <v>16673</v>
      </c>
      <c r="AS861" t="s">
        <v>16674</v>
      </c>
      <c r="AT861" t="s">
        <v>16654</v>
      </c>
      <c r="AU861">
        <v>2023</v>
      </c>
      <c r="AV861">
        <v>42</v>
      </c>
      <c r="AW861" t="s">
        <v>74</v>
      </c>
      <c r="AX861" t="s">
        <v>74</v>
      </c>
      <c r="AY861" t="s">
        <v>74</v>
      </c>
      <c r="AZ861" t="s">
        <v>74</v>
      </c>
      <c r="BA861" t="s">
        <v>74</v>
      </c>
      <c r="BB861">
        <v>1</v>
      </c>
      <c r="BC861">
        <v>6</v>
      </c>
      <c r="BD861" t="s">
        <v>74</v>
      </c>
      <c r="BE861" t="s">
        <v>16675</v>
      </c>
      <c r="BF861" t="str">
        <f>HYPERLINK("http://dx.doi.org/10.33265/polar.v42.8873","http://dx.doi.org/10.33265/polar.v42.8873")</f>
        <v>http://dx.doi.org/10.33265/polar.v42.8873</v>
      </c>
      <c r="BG861" t="s">
        <v>74</v>
      </c>
      <c r="BH861" t="s">
        <v>74</v>
      </c>
      <c r="BI861">
        <v>6</v>
      </c>
      <c r="BJ861" t="s">
        <v>16676</v>
      </c>
      <c r="BK861" t="s">
        <v>103</v>
      </c>
      <c r="BL861" t="s">
        <v>16677</v>
      </c>
      <c r="BM861" t="s">
        <v>16678</v>
      </c>
      <c r="BN861" t="s">
        <v>74</v>
      </c>
      <c r="BO861" t="s">
        <v>359</v>
      </c>
      <c r="BP861" t="s">
        <v>74</v>
      </c>
      <c r="BQ861" t="s">
        <v>74</v>
      </c>
      <c r="BR861" t="s">
        <v>106</v>
      </c>
      <c r="BS861" t="s">
        <v>16679</v>
      </c>
      <c r="BT861" t="str">
        <f>HYPERLINK("https%3A%2F%2Fwww.webofscience.com%2Fwos%2Fwoscc%2Ffull-record%2FWOS:000937719900001","View Full Record in Web of Science")</f>
        <v>View Full Record in Web of Science</v>
      </c>
    </row>
    <row r="862" spans="1:72" x14ac:dyDescent="0.15">
      <c r="A862" t="s">
        <v>72</v>
      </c>
      <c r="B862" t="s">
        <v>16680</v>
      </c>
      <c r="C862" t="s">
        <v>74</v>
      </c>
      <c r="D862" t="s">
        <v>74</v>
      </c>
      <c r="E862" t="s">
        <v>74</v>
      </c>
      <c r="F862" t="s">
        <v>16681</v>
      </c>
      <c r="G862" t="s">
        <v>74</v>
      </c>
      <c r="H862" t="s">
        <v>74</v>
      </c>
      <c r="I862" t="s">
        <v>16682</v>
      </c>
      <c r="J862" t="s">
        <v>16683</v>
      </c>
      <c r="K862" t="s">
        <v>74</v>
      </c>
      <c r="L862" t="s">
        <v>74</v>
      </c>
      <c r="M862" t="s">
        <v>78</v>
      </c>
      <c r="N862" t="s">
        <v>112</v>
      </c>
      <c r="O862" t="s">
        <v>74</v>
      </c>
      <c r="P862" t="s">
        <v>74</v>
      </c>
      <c r="Q862" t="s">
        <v>74</v>
      </c>
      <c r="R862" t="s">
        <v>74</v>
      </c>
      <c r="S862" t="s">
        <v>74</v>
      </c>
      <c r="T862" t="s">
        <v>74</v>
      </c>
      <c r="U862" t="s">
        <v>16684</v>
      </c>
      <c r="V862" t="s">
        <v>16685</v>
      </c>
      <c r="W862" t="s">
        <v>16686</v>
      </c>
      <c r="X862" t="s">
        <v>4852</v>
      </c>
      <c r="Y862" t="s">
        <v>16687</v>
      </c>
      <c r="Z862" t="s">
        <v>16688</v>
      </c>
      <c r="AA862" t="s">
        <v>16689</v>
      </c>
      <c r="AB862" t="s">
        <v>74</v>
      </c>
      <c r="AC862" t="s">
        <v>16690</v>
      </c>
      <c r="AD862" t="s">
        <v>16691</v>
      </c>
      <c r="AE862" t="s">
        <v>16692</v>
      </c>
      <c r="AF862" t="s">
        <v>74</v>
      </c>
      <c r="AG862">
        <v>33</v>
      </c>
      <c r="AH862">
        <v>2</v>
      </c>
      <c r="AI862">
        <v>2</v>
      </c>
      <c r="AJ862">
        <v>4</v>
      </c>
      <c r="AK862">
        <v>18</v>
      </c>
      <c r="AL862" t="s">
        <v>16693</v>
      </c>
      <c r="AM862" t="s">
        <v>306</v>
      </c>
      <c r="AN862" t="s">
        <v>16694</v>
      </c>
      <c r="AO862" t="s">
        <v>16695</v>
      </c>
      <c r="AP862" t="s">
        <v>74</v>
      </c>
      <c r="AQ862" t="s">
        <v>74</v>
      </c>
      <c r="AR862" t="s">
        <v>16696</v>
      </c>
      <c r="AS862" t="s">
        <v>16697</v>
      </c>
      <c r="AT862" t="s">
        <v>16654</v>
      </c>
      <c r="AU862">
        <v>2023</v>
      </c>
      <c r="AV862">
        <v>31</v>
      </c>
      <c r="AW862">
        <v>3</v>
      </c>
      <c r="AX862" t="s">
        <v>74</v>
      </c>
      <c r="AY862" t="s">
        <v>74</v>
      </c>
      <c r="AZ862" t="s">
        <v>74</v>
      </c>
      <c r="BA862" t="s">
        <v>74</v>
      </c>
      <c r="BB862">
        <v>3660</v>
      </c>
      <c r="BC862">
        <v>3675</v>
      </c>
      <c r="BD862" t="s">
        <v>74</v>
      </c>
      <c r="BE862" t="s">
        <v>16698</v>
      </c>
      <c r="BF862" t="str">
        <f>HYPERLINK("http://dx.doi.org/10.1364/OE.479833","http://dx.doi.org/10.1364/OE.479833")</f>
        <v>http://dx.doi.org/10.1364/OE.479833</v>
      </c>
      <c r="BG862" t="s">
        <v>74</v>
      </c>
      <c r="BH862" t="s">
        <v>74</v>
      </c>
      <c r="BI862">
        <v>16</v>
      </c>
      <c r="BJ862" t="s">
        <v>16699</v>
      </c>
      <c r="BK862" t="s">
        <v>103</v>
      </c>
      <c r="BL862" t="s">
        <v>16699</v>
      </c>
      <c r="BM862" t="s">
        <v>16700</v>
      </c>
      <c r="BN862">
        <v>36785353</v>
      </c>
      <c r="BO862" t="s">
        <v>359</v>
      </c>
      <c r="BP862" t="s">
        <v>74</v>
      </c>
      <c r="BQ862" t="s">
        <v>74</v>
      </c>
      <c r="BR862" t="s">
        <v>106</v>
      </c>
      <c r="BS862" t="s">
        <v>16701</v>
      </c>
      <c r="BT862" t="str">
        <f>HYPERLINK("https%3A%2F%2Fwww.webofscience.com%2Fwos%2Fwoscc%2Ffull-record%2FWOS:000929120800003","View Full Record in Web of Science")</f>
        <v>View Full Record in Web of Science</v>
      </c>
    </row>
    <row r="863" spans="1:72" x14ac:dyDescent="0.15">
      <c r="A863" t="s">
        <v>72</v>
      </c>
      <c r="B863" t="s">
        <v>16702</v>
      </c>
      <c r="C863" t="s">
        <v>74</v>
      </c>
      <c r="D863" t="s">
        <v>74</v>
      </c>
      <c r="E863" t="s">
        <v>74</v>
      </c>
      <c r="F863" t="s">
        <v>16703</v>
      </c>
      <c r="G863" t="s">
        <v>74</v>
      </c>
      <c r="H863" t="s">
        <v>74</v>
      </c>
      <c r="I863" t="s">
        <v>16704</v>
      </c>
      <c r="J863" t="s">
        <v>16705</v>
      </c>
      <c r="K863" t="s">
        <v>74</v>
      </c>
      <c r="L863" t="s">
        <v>74</v>
      </c>
      <c r="M863" t="s">
        <v>78</v>
      </c>
      <c r="N863" t="s">
        <v>112</v>
      </c>
      <c r="O863" t="s">
        <v>74</v>
      </c>
      <c r="P863" t="s">
        <v>74</v>
      </c>
      <c r="Q863" t="s">
        <v>74</v>
      </c>
      <c r="R863" t="s">
        <v>74</v>
      </c>
      <c r="S863" t="s">
        <v>74</v>
      </c>
      <c r="T863" t="s">
        <v>16706</v>
      </c>
      <c r="U863" t="s">
        <v>16707</v>
      </c>
      <c r="V863" t="s">
        <v>16708</v>
      </c>
      <c r="W863" t="s">
        <v>16709</v>
      </c>
      <c r="X863" t="s">
        <v>16710</v>
      </c>
      <c r="Y863" t="s">
        <v>16711</v>
      </c>
      <c r="Z863" t="s">
        <v>16712</v>
      </c>
      <c r="AA863" t="s">
        <v>16713</v>
      </c>
      <c r="AB863" t="s">
        <v>16714</v>
      </c>
      <c r="AC863" t="s">
        <v>16715</v>
      </c>
      <c r="AD863" t="s">
        <v>16716</v>
      </c>
      <c r="AE863" t="s">
        <v>16717</v>
      </c>
      <c r="AF863" t="s">
        <v>74</v>
      </c>
      <c r="AG863">
        <v>86</v>
      </c>
      <c r="AH863">
        <v>1</v>
      </c>
      <c r="AI863">
        <v>1</v>
      </c>
      <c r="AJ863">
        <v>7</v>
      </c>
      <c r="AK863">
        <v>11</v>
      </c>
      <c r="AL863" t="s">
        <v>447</v>
      </c>
      <c r="AM863" t="s">
        <v>448</v>
      </c>
      <c r="AN863" t="s">
        <v>449</v>
      </c>
      <c r="AO863" t="s">
        <v>16718</v>
      </c>
      <c r="AP863" t="s">
        <v>16719</v>
      </c>
      <c r="AQ863" t="s">
        <v>74</v>
      </c>
      <c r="AR863" t="s">
        <v>16720</v>
      </c>
      <c r="AS863" t="s">
        <v>16721</v>
      </c>
      <c r="AT863" t="s">
        <v>8042</v>
      </c>
      <c r="AU863">
        <v>2023</v>
      </c>
      <c r="AV863">
        <v>147</v>
      </c>
      <c r="AW863" t="s">
        <v>74</v>
      </c>
      <c r="AX863" t="s">
        <v>74</v>
      </c>
      <c r="AY863" t="s">
        <v>74</v>
      </c>
      <c r="AZ863" t="s">
        <v>74</v>
      </c>
      <c r="BA863" t="s">
        <v>74</v>
      </c>
      <c r="BB863" t="s">
        <v>74</v>
      </c>
      <c r="BC863" t="s">
        <v>74</v>
      </c>
      <c r="BD863">
        <v>109943</v>
      </c>
      <c r="BE863" t="s">
        <v>16722</v>
      </c>
      <c r="BF863" t="str">
        <f>HYPERLINK("http://dx.doi.org/10.1016/j.ecolind.2023.109943","http://dx.doi.org/10.1016/j.ecolind.2023.109943")</f>
        <v>http://dx.doi.org/10.1016/j.ecolind.2023.109943</v>
      </c>
      <c r="BG863" t="s">
        <v>74</v>
      </c>
      <c r="BH863" t="s">
        <v>16484</v>
      </c>
      <c r="BI863">
        <v>13</v>
      </c>
      <c r="BJ863" t="s">
        <v>16723</v>
      </c>
      <c r="BK863" t="s">
        <v>103</v>
      </c>
      <c r="BL863" t="s">
        <v>776</v>
      </c>
      <c r="BM863" t="s">
        <v>16724</v>
      </c>
      <c r="BN863" t="s">
        <v>74</v>
      </c>
      <c r="BO863" t="s">
        <v>359</v>
      </c>
      <c r="BP863" t="s">
        <v>74</v>
      </c>
      <c r="BQ863" t="s">
        <v>74</v>
      </c>
      <c r="BR863" t="s">
        <v>106</v>
      </c>
      <c r="BS863" t="s">
        <v>16725</v>
      </c>
      <c r="BT863" t="str">
        <f>HYPERLINK("https%3A%2F%2Fwww.webofscience.com%2Fwos%2Fwoscc%2Ffull-record%2FWOS:000927445200001","View Full Record in Web of Science")</f>
        <v>View Full Record in Web of Science</v>
      </c>
    </row>
    <row r="864" spans="1:72" x14ac:dyDescent="0.15">
      <c r="A864" t="s">
        <v>72</v>
      </c>
      <c r="B864" t="s">
        <v>16726</v>
      </c>
      <c r="C864" t="s">
        <v>74</v>
      </c>
      <c r="D864" t="s">
        <v>74</v>
      </c>
      <c r="E864" t="s">
        <v>74</v>
      </c>
      <c r="F864" t="s">
        <v>16727</v>
      </c>
      <c r="G864" t="s">
        <v>74</v>
      </c>
      <c r="H864" t="s">
        <v>74</v>
      </c>
      <c r="I864" t="s">
        <v>16728</v>
      </c>
      <c r="J864" t="s">
        <v>9292</v>
      </c>
      <c r="K864" t="s">
        <v>74</v>
      </c>
      <c r="L864" t="s">
        <v>74</v>
      </c>
      <c r="M864" t="s">
        <v>78</v>
      </c>
      <c r="N864" t="s">
        <v>112</v>
      </c>
      <c r="O864" t="s">
        <v>74</v>
      </c>
      <c r="P864" t="s">
        <v>74</v>
      </c>
      <c r="Q864" t="s">
        <v>74</v>
      </c>
      <c r="R864" t="s">
        <v>74</v>
      </c>
      <c r="S864" t="s">
        <v>74</v>
      </c>
      <c r="T864" t="s">
        <v>16729</v>
      </c>
      <c r="U864" t="s">
        <v>16730</v>
      </c>
      <c r="V864" t="s">
        <v>16731</v>
      </c>
      <c r="W864" t="s">
        <v>16732</v>
      </c>
      <c r="X864" t="s">
        <v>16733</v>
      </c>
      <c r="Y864" t="s">
        <v>16734</v>
      </c>
      <c r="Z864" t="s">
        <v>16735</v>
      </c>
      <c r="AA864" t="s">
        <v>74</v>
      </c>
      <c r="AB864" t="s">
        <v>74</v>
      </c>
      <c r="AC864" t="s">
        <v>16736</v>
      </c>
      <c r="AD864" t="s">
        <v>16737</v>
      </c>
      <c r="AE864" t="s">
        <v>16736</v>
      </c>
      <c r="AF864" t="s">
        <v>74</v>
      </c>
      <c r="AG864">
        <v>46</v>
      </c>
      <c r="AH864">
        <v>4</v>
      </c>
      <c r="AI864">
        <v>4</v>
      </c>
      <c r="AJ864">
        <v>6</v>
      </c>
      <c r="AK864">
        <v>9</v>
      </c>
      <c r="AL864" t="s">
        <v>2092</v>
      </c>
      <c r="AM864" t="s">
        <v>2093</v>
      </c>
      <c r="AN864" t="s">
        <v>2094</v>
      </c>
      <c r="AO864" t="s">
        <v>9297</v>
      </c>
      <c r="AP864" t="s">
        <v>9298</v>
      </c>
      <c r="AQ864" t="s">
        <v>74</v>
      </c>
      <c r="AR864" t="s">
        <v>9299</v>
      </c>
      <c r="AS864" t="s">
        <v>9300</v>
      </c>
      <c r="AT864" t="s">
        <v>8042</v>
      </c>
      <c r="AU864">
        <v>2023</v>
      </c>
      <c r="AV864">
        <v>24</v>
      </c>
      <c r="AW864">
        <v>2</v>
      </c>
      <c r="AX864" t="s">
        <v>74</v>
      </c>
      <c r="AY864" t="s">
        <v>74</v>
      </c>
      <c r="AZ864" t="s">
        <v>74</v>
      </c>
      <c r="BA864" t="s">
        <v>74</v>
      </c>
      <c r="BB864">
        <v>279</v>
      </c>
      <c r="BC864">
        <v>296</v>
      </c>
      <c r="BD864" t="s">
        <v>74</v>
      </c>
      <c r="BE864" t="s">
        <v>16738</v>
      </c>
      <c r="BF864" t="str">
        <f>HYPERLINK("http://dx.doi.org/10.1111/faf.12726","http://dx.doi.org/10.1111/faf.12726")</f>
        <v>http://dx.doi.org/10.1111/faf.12726</v>
      </c>
      <c r="BG864" t="s">
        <v>74</v>
      </c>
      <c r="BH864" t="s">
        <v>16484</v>
      </c>
      <c r="BI864">
        <v>18</v>
      </c>
      <c r="BJ864" t="s">
        <v>3222</v>
      </c>
      <c r="BK864" t="s">
        <v>103</v>
      </c>
      <c r="BL864" t="s">
        <v>3222</v>
      </c>
      <c r="BM864" t="s">
        <v>16739</v>
      </c>
      <c r="BN864" t="s">
        <v>74</v>
      </c>
      <c r="BO864" t="s">
        <v>430</v>
      </c>
      <c r="BP864" t="s">
        <v>74</v>
      </c>
      <c r="BQ864" t="s">
        <v>74</v>
      </c>
      <c r="BR864" t="s">
        <v>106</v>
      </c>
      <c r="BS864" t="s">
        <v>16740</v>
      </c>
      <c r="BT864" t="str">
        <f>HYPERLINK("https%3A%2F%2Fwww.webofscience.com%2Fwos%2Fwoscc%2Ffull-record%2FWOS:000921733300001","View Full Record in Web of Science")</f>
        <v>View Full Record in Web of Science</v>
      </c>
    </row>
    <row r="865" spans="1:72" x14ac:dyDescent="0.15">
      <c r="A865" t="s">
        <v>72</v>
      </c>
      <c r="B865" t="s">
        <v>16741</v>
      </c>
      <c r="C865" t="s">
        <v>74</v>
      </c>
      <c r="D865" t="s">
        <v>74</v>
      </c>
      <c r="E865" t="s">
        <v>74</v>
      </c>
      <c r="F865" t="s">
        <v>16742</v>
      </c>
      <c r="G865" t="s">
        <v>74</v>
      </c>
      <c r="H865" t="s">
        <v>74</v>
      </c>
      <c r="I865" t="s">
        <v>16743</v>
      </c>
      <c r="J865" t="s">
        <v>12296</v>
      </c>
      <c r="K865" t="s">
        <v>74</v>
      </c>
      <c r="L865" t="s">
        <v>74</v>
      </c>
      <c r="M865" t="s">
        <v>78</v>
      </c>
      <c r="N865" t="s">
        <v>365</v>
      </c>
      <c r="O865" t="s">
        <v>74</v>
      </c>
      <c r="P865" t="s">
        <v>74</v>
      </c>
      <c r="Q865" t="s">
        <v>74</v>
      </c>
      <c r="R865" t="s">
        <v>74</v>
      </c>
      <c r="S865" t="s">
        <v>74</v>
      </c>
      <c r="T865" t="s">
        <v>16744</v>
      </c>
      <c r="U865" t="s">
        <v>16745</v>
      </c>
      <c r="V865" t="s">
        <v>16746</v>
      </c>
      <c r="W865" t="s">
        <v>16747</v>
      </c>
      <c r="X865" t="s">
        <v>16748</v>
      </c>
      <c r="Y865" t="s">
        <v>16749</v>
      </c>
      <c r="Z865" t="s">
        <v>16750</v>
      </c>
      <c r="AA865" t="s">
        <v>16751</v>
      </c>
      <c r="AB865" t="s">
        <v>16752</v>
      </c>
      <c r="AC865" t="s">
        <v>74</v>
      </c>
      <c r="AD865" t="s">
        <v>74</v>
      </c>
      <c r="AE865" t="s">
        <v>74</v>
      </c>
      <c r="AF865" t="s">
        <v>74</v>
      </c>
      <c r="AG865">
        <v>67</v>
      </c>
      <c r="AH865">
        <v>6</v>
      </c>
      <c r="AI865">
        <v>6</v>
      </c>
      <c r="AJ865">
        <v>4</v>
      </c>
      <c r="AK865">
        <v>4</v>
      </c>
      <c r="AL865" t="s">
        <v>700</v>
      </c>
      <c r="AM865" t="s">
        <v>701</v>
      </c>
      <c r="AN865" t="s">
        <v>702</v>
      </c>
      <c r="AO865" t="s">
        <v>12309</v>
      </c>
      <c r="AP865" t="s">
        <v>74</v>
      </c>
      <c r="AQ865" t="s">
        <v>74</v>
      </c>
      <c r="AR865" t="s">
        <v>12310</v>
      </c>
      <c r="AS865" t="s">
        <v>12311</v>
      </c>
      <c r="AT865" t="s">
        <v>16654</v>
      </c>
      <c r="AU865">
        <v>2023</v>
      </c>
      <c r="AV865">
        <v>9</v>
      </c>
      <c r="AW865" t="s">
        <v>74</v>
      </c>
      <c r="AX865" t="s">
        <v>74</v>
      </c>
      <c r="AY865" t="s">
        <v>74</v>
      </c>
      <c r="AZ865" t="s">
        <v>74</v>
      </c>
      <c r="BA865" t="s">
        <v>74</v>
      </c>
      <c r="BB865" t="s">
        <v>74</v>
      </c>
      <c r="BC865" t="s">
        <v>74</v>
      </c>
      <c r="BD865">
        <v>1063190</v>
      </c>
      <c r="BE865" t="s">
        <v>16753</v>
      </c>
      <c r="BF865" t="str">
        <f>HYPERLINK("http://dx.doi.org/10.3389/fspas.2022.1063190","http://dx.doi.org/10.3389/fspas.2022.1063190")</f>
        <v>http://dx.doi.org/10.3389/fspas.2022.1063190</v>
      </c>
      <c r="BG865" t="s">
        <v>74</v>
      </c>
      <c r="BH865" t="s">
        <v>74</v>
      </c>
      <c r="BI865">
        <v>16</v>
      </c>
      <c r="BJ865" t="s">
        <v>159</v>
      </c>
      <c r="BK865" t="s">
        <v>103</v>
      </c>
      <c r="BL865" t="s">
        <v>159</v>
      </c>
      <c r="BM865" t="s">
        <v>16754</v>
      </c>
      <c r="BN865" t="s">
        <v>74</v>
      </c>
      <c r="BO865" t="s">
        <v>16755</v>
      </c>
      <c r="BP865" t="s">
        <v>74</v>
      </c>
      <c r="BQ865" t="s">
        <v>74</v>
      </c>
      <c r="BR865" t="s">
        <v>106</v>
      </c>
      <c r="BS865" t="s">
        <v>16756</v>
      </c>
      <c r="BT865" t="str">
        <f>HYPERLINK("https%3A%2F%2Fwww.webofscience.com%2Fwos%2Fwoscc%2Ffull-record%2FWOS:000933056100001","View Full Record in Web of Science")</f>
        <v>View Full Record in Web of Science</v>
      </c>
    </row>
    <row r="866" spans="1:72" x14ac:dyDescent="0.15">
      <c r="A866" t="s">
        <v>72</v>
      </c>
      <c r="B866" t="s">
        <v>16757</v>
      </c>
      <c r="C866" t="s">
        <v>74</v>
      </c>
      <c r="D866" t="s">
        <v>74</v>
      </c>
      <c r="E866" t="s">
        <v>74</v>
      </c>
      <c r="F866" t="s">
        <v>16758</v>
      </c>
      <c r="G866" t="s">
        <v>74</v>
      </c>
      <c r="H866" t="s">
        <v>2216</v>
      </c>
      <c r="I866" t="s">
        <v>16759</v>
      </c>
      <c r="J866" t="s">
        <v>16760</v>
      </c>
      <c r="K866" t="s">
        <v>74</v>
      </c>
      <c r="L866" t="s">
        <v>74</v>
      </c>
      <c r="M866" t="s">
        <v>78</v>
      </c>
      <c r="N866" t="s">
        <v>112</v>
      </c>
      <c r="O866" t="s">
        <v>74</v>
      </c>
      <c r="P866" t="s">
        <v>74</v>
      </c>
      <c r="Q866" t="s">
        <v>74</v>
      </c>
      <c r="R866" t="s">
        <v>74</v>
      </c>
      <c r="S866" t="s">
        <v>74</v>
      </c>
      <c r="T866" t="s">
        <v>74</v>
      </c>
      <c r="U866" t="s">
        <v>16761</v>
      </c>
      <c r="V866" t="s">
        <v>16762</v>
      </c>
      <c r="W866" t="s">
        <v>16763</v>
      </c>
      <c r="X866" t="s">
        <v>16764</v>
      </c>
      <c r="Y866" t="s">
        <v>16765</v>
      </c>
      <c r="Z866" t="s">
        <v>16766</v>
      </c>
      <c r="AA866" t="s">
        <v>16767</v>
      </c>
      <c r="AB866" t="s">
        <v>16768</v>
      </c>
      <c r="AC866" t="s">
        <v>16769</v>
      </c>
      <c r="AD866" t="s">
        <v>16770</v>
      </c>
      <c r="AE866" t="s">
        <v>16771</v>
      </c>
      <c r="AF866" t="s">
        <v>74</v>
      </c>
      <c r="AG866">
        <v>63</v>
      </c>
      <c r="AH866">
        <v>3</v>
      </c>
      <c r="AI866">
        <v>4</v>
      </c>
      <c r="AJ866">
        <v>7</v>
      </c>
      <c r="AK866">
        <v>14</v>
      </c>
      <c r="AL866" t="s">
        <v>1357</v>
      </c>
      <c r="AM866" t="s">
        <v>525</v>
      </c>
      <c r="AN866" t="s">
        <v>1358</v>
      </c>
      <c r="AO866" t="s">
        <v>74</v>
      </c>
      <c r="AP866" t="s">
        <v>16772</v>
      </c>
      <c r="AQ866" t="s">
        <v>74</v>
      </c>
      <c r="AR866" t="s">
        <v>16773</v>
      </c>
      <c r="AS866" t="s">
        <v>16774</v>
      </c>
      <c r="AT866" t="s">
        <v>16654</v>
      </c>
      <c r="AU866">
        <v>2023</v>
      </c>
      <c r="AV866">
        <v>3</v>
      </c>
      <c r="AW866">
        <v>1</v>
      </c>
      <c r="AX866" t="s">
        <v>74</v>
      </c>
      <c r="AY866" t="s">
        <v>74</v>
      </c>
      <c r="AZ866" t="s">
        <v>74</v>
      </c>
      <c r="BA866" t="s">
        <v>74</v>
      </c>
      <c r="BB866" t="s">
        <v>74</v>
      </c>
      <c r="BC866" t="s">
        <v>74</v>
      </c>
      <c r="BD866">
        <v>8</v>
      </c>
      <c r="BE866" t="s">
        <v>16775</v>
      </c>
      <c r="BF866" t="str">
        <f>HYPERLINK("http://dx.doi.org/10.1038/s43705-023-00216-w","http://dx.doi.org/10.1038/s43705-023-00216-w")</f>
        <v>http://dx.doi.org/10.1038/s43705-023-00216-w</v>
      </c>
      <c r="BG866" t="s">
        <v>74</v>
      </c>
      <c r="BH866" t="s">
        <v>74</v>
      </c>
      <c r="BI866">
        <v>11</v>
      </c>
      <c r="BJ866" t="s">
        <v>16776</v>
      </c>
      <c r="BK866" t="s">
        <v>160</v>
      </c>
      <c r="BL866" t="s">
        <v>12706</v>
      </c>
      <c r="BM866" t="s">
        <v>16777</v>
      </c>
      <c r="BN866">
        <v>36717625</v>
      </c>
      <c r="BO866" t="s">
        <v>136</v>
      </c>
      <c r="BP866" t="s">
        <v>74</v>
      </c>
      <c r="BQ866" t="s">
        <v>74</v>
      </c>
      <c r="BR866" t="s">
        <v>106</v>
      </c>
      <c r="BS866" t="s">
        <v>16778</v>
      </c>
      <c r="BT866" t="str">
        <f>HYPERLINK("https%3A%2F%2Fwww.webofscience.com%2Fwos%2Fwoscc%2Ffull-record%2FWOS:001052229100001","View Full Record in Web of Science")</f>
        <v>View Full Record in Web of Science</v>
      </c>
    </row>
    <row r="867" spans="1:72" x14ac:dyDescent="0.15">
      <c r="A867" t="s">
        <v>72</v>
      </c>
      <c r="B867" t="s">
        <v>16779</v>
      </c>
      <c r="C867" t="s">
        <v>74</v>
      </c>
      <c r="D867" t="s">
        <v>74</v>
      </c>
      <c r="E867" t="s">
        <v>74</v>
      </c>
      <c r="F867" t="s">
        <v>16780</v>
      </c>
      <c r="G867" t="s">
        <v>74</v>
      </c>
      <c r="H867" t="s">
        <v>74</v>
      </c>
      <c r="I867" t="s">
        <v>16781</v>
      </c>
      <c r="J867" t="s">
        <v>16782</v>
      </c>
      <c r="K867" t="s">
        <v>74</v>
      </c>
      <c r="L867" t="s">
        <v>74</v>
      </c>
      <c r="M867" t="s">
        <v>78</v>
      </c>
      <c r="N867" t="s">
        <v>112</v>
      </c>
      <c r="O867" t="s">
        <v>74</v>
      </c>
      <c r="P867" t="s">
        <v>74</v>
      </c>
      <c r="Q867" t="s">
        <v>74</v>
      </c>
      <c r="R867" t="s">
        <v>74</v>
      </c>
      <c r="S867" t="s">
        <v>74</v>
      </c>
      <c r="T867" t="s">
        <v>16783</v>
      </c>
      <c r="U867" t="s">
        <v>16784</v>
      </c>
      <c r="V867" t="s">
        <v>16785</v>
      </c>
      <c r="W867" t="s">
        <v>16786</v>
      </c>
      <c r="X867" t="s">
        <v>16787</v>
      </c>
      <c r="Y867" t="s">
        <v>16788</v>
      </c>
      <c r="Z867" t="s">
        <v>16789</v>
      </c>
      <c r="AA867" t="s">
        <v>74</v>
      </c>
      <c r="AB867" t="s">
        <v>16790</v>
      </c>
      <c r="AC867" t="s">
        <v>16791</v>
      </c>
      <c r="AD867" t="s">
        <v>16792</v>
      </c>
      <c r="AE867" t="s">
        <v>16793</v>
      </c>
      <c r="AF867" t="s">
        <v>74</v>
      </c>
      <c r="AG867">
        <v>73</v>
      </c>
      <c r="AH867">
        <v>4</v>
      </c>
      <c r="AI867">
        <v>4</v>
      </c>
      <c r="AJ867">
        <v>9</v>
      </c>
      <c r="AK867">
        <v>20</v>
      </c>
      <c r="AL867" t="s">
        <v>2092</v>
      </c>
      <c r="AM867" t="s">
        <v>2093</v>
      </c>
      <c r="AN867" t="s">
        <v>2094</v>
      </c>
      <c r="AO867" t="s">
        <v>16794</v>
      </c>
      <c r="AP867" t="s">
        <v>16795</v>
      </c>
      <c r="AQ867" t="s">
        <v>74</v>
      </c>
      <c r="AR867" t="s">
        <v>16796</v>
      </c>
      <c r="AS867" t="s">
        <v>16797</v>
      </c>
      <c r="AT867" t="s">
        <v>1437</v>
      </c>
      <c r="AU867">
        <v>2023</v>
      </c>
      <c r="AV867">
        <v>33</v>
      </c>
      <c r="AW867">
        <v>3</v>
      </c>
      <c r="AX867" t="s">
        <v>74</v>
      </c>
      <c r="AY867" t="s">
        <v>74</v>
      </c>
      <c r="AZ867" t="s">
        <v>74</v>
      </c>
      <c r="BA867" t="s">
        <v>74</v>
      </c>
      <c r="BB867" t="s">
        <v>74</v>
      </c>
      <c r="BC867" t="s">
        <v>74</v>
      </c>
      <c r="BD867" t="s">
        <v>74</v>
      </c>
      <c r="BE867" t="s">
        <v>16798</v>
      </c>
      <c r="BF867" t="str">
        <f>HYPERLINK("http://dx.doi.org/10.1002/eap.2799","http://dx.doi.org/10.1002/eap.2799")</f>
        <v>http://dx.doi.org/10.1002/eap.2799</v>
      </c>
      <c r="BG867" t="s">
        <v>74</v>
      </c>
      <c r="BH867" t="s">
        <v>16484</v>
      </c>
      <c r="BI867">
        <v>13</v>
      </c>
      <c r="BJ867" t="s">
        <v>3766</v>
      </c>
      <c r="BK867" t="s">
        <v>103</v>
      </c>
      <c r="BL867" t="s">
        <v>1164</v>
      </c>
      <c r="BM867" t="s">
        <v>16799</v>
      </c>
      <c r="BN867">
        <v>36504174</v>
      </c>
      <c r="BO867" t="s">
        <v>74</v>
      </c>
      <c r="BP867" t="s">
        <v>74</v>
      </c>
      <c r="BQ867" t="s">
        <v>74</v>
      </c>
      <c r="BR867" t="s">
        <v>106</v>
      </c>
      <c r="BS867" t="s">
        <v>16800</v>
      </c>
      <c r="BT867" t="str">
        <f>HYPERLINK("https%3A%2F%2Fwww.webofscience.com%2Fwos%2Fwoscc%2Ffull-record%2FWOS:000923411500001","View Full Record in Web of Science")</f>
        <v>View Full Record in Web of Science</v>
      </c>
    </row>
    <row r="868" spans="1:72" x14ac:dyDescent="0.15">
      <c r="A868" t="s">
        <v>72</v>
      </c>
      <c r="B868" t="s">
        <v>16801</v>
      </c>
      <c r="C868" t="s">
        <v>74</v>
      </c>
      <c r="D868" t="s">
        <v>74</v>
      </c>
      <c r="E868" t="s">
        <v>74</v>
      </c>
      <c r="F868" t="s">
        <v>16802</v>
      </c>
      <c r="G868" t="s">
        <v>74</v>
      </c>
      <c r="H868" t="s">
        <v>74</v>
      </c>
      <c r="I868" t="s">
        <v>16803</v>
      </c>
      <c r="J868" t="s">
        <v>16804</v>
      </c>
      <c r="K868" t="s">
        <v>74</v>
      </c>
      <c r="L868" t="s">
        <v>74</v>
      </c>
      <c r="M868" t="s">
        <v>78</v>
      </c>
      <c r="N868" t="s">
        <v>112</v>
      </c>
      <c r="O868" t="s">
        <v>74</v>
      </c>
      <c r="P868" t="s">
        <v>74</v>
      </c>
      <c r="Q868" t="s">
        <v>74</v>
      </c>
      <c r="R868" t="s">
        <v>74</v>
      </c>
      <c r="S868" t="s">
        <v>74</v>
      </c>
      <c r="T868" t="s">
        <v>16805</v>
      </c>
      <c r="U868" t="s">
        <v>16806</v>
      </c>
      <c r="V868" t="s">
        <v>16807</v>
      </c>
      <c r="W868" t="s">
        <v>16808</v>
      </c>
      <c r="X868" t="s">
        <v>9538</v>
      </c>
      <c r="Y868" t="s">
        <v>16809</v>
      </c>
      <c r="Z868" t="s">
        <v>16810</v>
      </c>
      <c r="AA868" t="s">
        <v>16811</v>
      </c>
      <c r="AB868" t="s">
        <v>16812</v>
      </c>
      <c r="AC868" t="s">
        <v>16813</v>
      </c>
      <c r="AD868" t="s">
        <v>16814</v>
      </c>
      <c r="AE868" t="s">
        <v>16815</v>
      </c>
      <c r="AF868" t="s">
        <v>74</v>
      </c>
      <c r="AG868">
        <v>51</v>
      </c>
      <c r="AH868">
        <v>6</v>
      </c>
      <c r="AI868">
        <v>6</v>
      </c>
      <c r="AJ868">
        <v>16</v>
      </c>
      <c r="AK868">
        <v>46</v>
      </c>
      <c r="AL868" t="s">
        <v>2092</v>
      </c>
      <c r="AM868" t="s">
        <v>2093</v>
      </c>
      <c r="AN868" t="s">
        <v>2094</v>
      </c>
      <c r="AO868" t="s">
        <v>16816</v>
      </c>
      <c r="AP868" t="s">
        <v>16817</v>
      </c>
      <c r="AQ868" t="s">
        <v>74</v>
      </c>
      <c r="AR868" t="s">
        <v>16818</v>
      </c>
      <c r="AS868" t="s">
        <v>16819</v>
      </c>
      <c r="AT868" t="s">
        <v>1437</v>
      </c>
      <c r="AU868">
        <v>2023</v>
      </c>
      <c r="AV868">
        <v>54</v>
      </c>
      <c r="AW868">
        <v>2</v>
      </c>
      <c r="AX868" t="s">
        <v>74</v>
      </c>
      <c r="AY868" t="s">
        <v>74</v>
      </c>
      <c r="AZ868" t="s">
        <v>74</v>
      </c>
      <c r="BA868" t="s">
        <v>74</v>
      </c>
      <c r="BB868">
        <v>299</v>
      </c>
      <c r="BC868">
        <v>310</v>
      </c>
      <c r="BD868" t="s">
        <v>74</v>
      </c>
      <c r="BE868" t="s">
        <v>16820</v>
      </c>
      <c r="BF868" t="str">
        <f>HYPERLINK("http://dx.doi.org/10.1111/jtxs.12739","http://dx.doi.org/10.1111/jtxs.12739")</f>
        <v>http://dx.doi.org/10.1111/jtxs.12739</v>
      </c>
      <c r="BG868" t="s">
        <v>74</v>
      </c>
      <c r="BH868" t="s">
        <v>16484</v>
      </c>
      <c r="BI868">
        <v>12</v>
      </c>
      <c r="BJ868" t="s">
        <v>1528</v>
      </c>
      <c r="BK868" t="s">
        <v>103</v>
      </c>
      <c r="BL868" t="s">
        <v>1528</v>
      </c>
      <c r="BM868" t="s">
        <v>16821</v>
      </c>
      <c r="BN868">
        <v>36598068</v>
      </c>
      <c r="BO868" t="s">
        <v>74</v>
      </c>
      <c r="BP868" t="s">
        <v>74</v>
      </c>
      <c r="BQ868" t="s">
        <v>74</v>
      </c>
      <c r="BR868" t="s">
        <v>106</v>
      </c>
      <c r="BS868" t="s">
        <v>16822</v>
      </c>
      <c r="BT868" t="str">
        <f>HYPERLINK("https%3A%2F%2Fwww.webofscience.com%2Fwos%2Fwoscc%2Ffull-record%2FWOS:000920661600001","View Full Record in Web of Science")</f>
        <v>View Full Record in Web of Science</v>
      </c>
    </row>
    <row r="869" spans="1:72" x14ac:dyDescent="0.15">
      <c r="A869" t="s">
        <v>72</v>
      </c>
      <c r="B869" t="s">
        <v>16823</v>
      </c>
      <c r="C869" t="s">
        <v>74</v>
      </c>
      <c r="D869" t="s">
        <v>74</v>
      </c>
      <c r="E869" t="s">
        <v>74</v>
      </c>
      <c r="F869" t="s">
        <v>16824</v>
      </c>
      <c r="G869" t="s">
        <v>74</v>
      </c>
      <c r="H869" t="s">
        <v>74</v>
      </c>
      <c r="I869" t="s">
        <v>16825</v>
      </c>
      <c r="J869" t="s">
        <v>643</v>
      </c>
      <c r="K869" t="s">
        <v>74</v>
      </c>
      <c r="L869" t="s">
        <v>74</v>
      </c>
      <c r="M869" t="s">
        <v>78</v>
      </c>
      <c r="N869" t="s">
        <v>112</v>
      </c>
      <c r="O869" t="s">
        <v>74</v>
      </c>
      <c r="P869" t="s">
        <v>74</v>
      </c>
      <c r="Q869" t="s">
        <v>74</v>
      </c>
      <c r="R869" t="s">
        <v>74</v>
      </c>
      <c r="S869" t="s">
        <v>74</v>
      </c>
      <c r="T869" t="s">
        <v>16826</v>
      </c>
      <c r="U869" t="s">
        <v>16827</v>
      </c>
      <c r="V869" t="s">
        <v>16828</v>
      </c>
      <c r="W869" t="s">
        <v>16829</v>
      </c>
      <c r="X869" t="s">
        <v>16830</v>
      </c>
      <c r="Y869" t="s">
        <v>16831</v>
      </c>
      <c r="Z869" t="s">
        <v>16832</v>
      </c>
      <c r="AA869" t="s">
        <v>16833</v>
      </c>
      <c r="AB869" t="s">
        <v>16834</v>
      </c>
      <c r="AC869" t="s">
        <v>16835</v>
      </c>
      <c r="AD869" t="s">
        <v>16836</v>
      </c>
      <c r="AE869" t="s">
        <v>16837</v>
      </c>
      <c r="AF869" t="s">
        <v>74</v>
      </c>
      <c r="AG869">
        <v>75</v>
      </c>
      <c r="AH869">
        <v>7</v>
      </c>
      <c r="AI869">
        <v>7</v>
      </c>
      <c r="AJ869">
        <v>1</v>
      </c>
      <c r="AK869">
        <v>11</v>
      </c>
      <c r="AL869" t="s">
        <v>305</v>
      </c>
      <c r="AM869" t="s">
        <v>306</v>
      </c>
      <c r="AN869" t="s">
        <v>307</v>
      </c>
      <c r="AO869" t="s">
        <v>656</v>
      </c>
      <c r="AP869" t="s">
        <v>657</v>
      </c>
      <c r="AQ869" t="s">
        <v>74</v>
      </c>
      <c r="AR869" t="s">
        <v>658</v>
      </c>
      <c r="AS869" t="s">
        <v>659</v>
      </c>
      <c r="AT869" t="s">
        <v>16838</v>
      </c>
      <c r="AU869">
        <v>2023</v>
      </c>
      <c r="AV869">
        <v>50</v>
      </c>
      <c r="AW869">
        <v>2</v>
      </c>
      <c r="AX869" t="s">
        <v>74</v>
      </c>
      <c r="AY869" t="s">
        <v>74</v>
      </c>
      <c r="AZ869" t="s">
        <v>74</v>
      </c>
      <c r="BA869" t="s">
        <v>74</v>
      </c>
      <c r="BB869" t="s">
        <v>74</v>
      </c>
      <c r="BC869" t="s">
        <v>74</v>
      </c>
      <c r="BD869" t="s">
        <v>74</v>
      </c>
      <c r="BE869" t="s">
        <v>16839</v>
      </c>
      <c r="BF869" t="str">
        <f>HYPERLINK("http://dx.doi.org/10.1029/2022GL101953","http://dx.doi.org/10.1029/2022GL101953")</f>
        <v>http://dx.doi.org/10.1029/2022GL101953</v>
      </c>
      <c r="BG869" t="s">
        <v>74</v>
      </c>
      <c r="BH869" t="s">
        <v>74</v>
      </c>
      <c r="BI869">
        <v>11</v>
      </c>
      <c r="BJ869" t="s">
        <v>261</v>
      </c>
      <c r="BK869" t="s">
        <v>103</v>
      </c>
      <c r="BL869" t="s">
        <v>262</v>
      </c>
      <c r="BM869" t="s">
        <v>16840</v>
      </c>
      <c r="BN869" t="s">
        <v>74</v>
      </c>
      <c r="BO869" t="s">
        <v>823</v>
      </c>
      <c r="BP869" t="s">
        <v>74</v>
      </c>
      <c r="BQ869" t="s">
        <v>74</v>
      </c>
      <c r="BR869" t="s">
        <v>106</v>
      </c>
      <c r="BS869" t="s">
        <v>16841</v>
      </c>
      <c r="BT869" t="str">
        <f>HYPERLINK("https%3A%2F%2Fwww.webofscience.com%2Fwos%2Fwoscc%2Ffull-record%2FWOS:000934162700004","View Full Record in Web of Science")</f>
        <v>View Full Record in Web of Science</v>
      </c>
    </row>
    <row r="870" spans="1:72" x14ac:dyDescent="0.15">
      <c r="A870" t="s">
        <v>72</v>
      </c>
      <c r="B870" t="s">
        <v>16842</v>
      </c>
      <c r="C870" t="s">
        <v>74</v>
      </c>
      <c r="D870" t="s">
        <v>74</v>
      </c>
      <c r="E870" t="s">
        <v>74</v>
      </c>
      <c r="F870" t="s">
        <v>16843</v>
      </c>
      <c r="G870" t="s">
        <v>74</v>
      </c>
      <c r="H870" t="s">
        <v>74</v>
      </c>
      <c r="I870" t="s">
        <v>16844</v>
      </c>
      <c r="J870" t="s">
        <v>869</v>
      </c>
      <c r="K870" t="s">
        <v>74</v>
      </c>
      <c r="L870" t="s">
        <v>74</v>
      </c>
      <c r="M870" t="s">
        <v>78</v>
      </c>
      <c r="N870" t="s">
        <v>112</v>
      </c>
      <c r="O870" t="s">
        <v>74</v>
      </c>
      <c r="P870" t="s">
        <v>74</v>
      </c>
      <c r="Q870" t="s">
        <v>74</v>
      </c>
      <c r="R870" t="s">
        <v>74</v>
      </c>
      <c r="S870" t="s">
        <v>74</v>
      </c>
      <c r="T870" t="s">
        <v>16845</v>
      </c>
      <c r="U870" t="s">
        <v>16846</v>
      </c>
      <c r="V870" t="s">
        <v>16847</v>
      </c>
      <c r="W870" t="s">
        <v>16848</v>
      </c>
      <c r="X870" t="s">
        <v>16849</v>
      </c>
      <c r="Y870" t="s">
        <v>875</v>
      </c>
      <c r="Z870" t="s">
        <v>876</v>
      </c>
      <c r="AA870" t="s">
        <v>16850</v>
      </c>
      <c r="AB870" t="s">
        <v>16851</v>
      </c>
      <c r="AC870" t="s">
        <v>879</v>
      </c>
      <c r="AD870" t="s">
        <v>880</v>
      </c>
      <c r="AE870" t="s">
        <v>16852</v>
      </c>
      <c r="AF870" t="s">
        <v>74</v>
      </c>
      <c r="AG870">
        <v>76</v>
      </c>
      <c r="AH870">
        <v>0</v>
      </c>
      <c r="AI870">
        <v>0</v>
      </c>
      <c r="AJ870">
        <v>10</v>
      </c>
      <c r="AK870">
        <v>22</v>
      </c>
      <c r="AL870" t="s">
        <v>305</v>
      </c>
      <c r="AM870" t="s">
        <v>306</v>
      </c>
      <c r="AN870" t="s">
        <v>307</v>
      </c>
      <c r="AO870" t="s">
        <v>882</v>
      </c>
      <c r="AP870" t="s">
        <v>883</v>
      </c>
      <c r="AQ870" t="s">
        <v>74</v>
      </c>
      <c r="AR870" t="s">
        <v>884</v>
      </c>
      <c r="AS870" t="s">
        <v>885</v>
      </c>
      <c r="AT870" t="s">
        <v>16853</v>
      </c>
      <c r="AU870">
        <v>2023</v>
      </c>
      <c r="AV870">
        <v>128</v>
      </c>
      <c r="AW870">
        <v>2</v>
      </c>
      <c r="AX870" t="s">
        <v>74</v>
      </c>
      <c r="AY870" t="s">
        <v>74</v>
      </c>
      <c r="AZ870" t="s">
        <v>74</v>
      </c>
      <c r="BA870" t="s">
        <v>74</v>
      </c>
      <c r="BB870" t="s">
        <v>74</v>
      </c>
      <c r="BC870" t="s">
        <v>74</v>
      </c>
      <c r="BD870" t="s">
        <v>16854</v>
      </c>
      <c r="BE870" t="s">
        <v>16855</v>
      </c>
      <c r="BF870" t="str">
        <f>HYPERLINK("http://dx.doi.org/10.1029/2022JD037271","http://dx.doi.org/10.1029/2022JD037271")</f>
        <v>http://dx.doi.org/10.1029/2022JD037271</v>
      </c>
      <c r="BG870" t="s">
        <v>74</v>
      </c>
      <c r="BH870" t="s">
        <v>74</v>
      </c>
      <c r="BI870">
        <v>19</v>
      </c>
      <c r="BJ870" t="s">
        <v>102</v>
      </c>
      <c r="BK870" t="s">
        <v>103</v>
      </c>
      <c r="BL870" t="s">
        <v>102</v>
      </c>
      <c r="BM870" t="s">
        <v>16856</v>
      </c>
      <c r="BN870" t="s">
        <v>74</v>
      </c>
      <c r="BO870" t="s">
        <v>74</v>
      </c>
      <c r="BP870" t="s">
        <v>74</v>
      </c>
      <c r="BQ870" t="s">
        <v>74</v>
      </c>
      <c r="BR870" t="s">
        <v>106</v>
      </c>
      <c r="BS870" t="s">
        <v>16857</v>
      </c>
      <c r="BT870" t="str">
        <f>HYPERLINK("https%3A%2F%2Fwww.webofscience.com%2Fwos%2Fwoscc%2Ffull-record%2FWOS:000938835500036","View Full Record in Web of Science")</f>
        <v>View Full Record in Web of Science</v>
      </c>
    </row>
    <row r="871" spans="1:72" x14ac:dyDescent="0.15">
      <c r="A871" t="s">
        <v>72</v>
      </c>
      <c r="B871" t="s">
        <v>16858</v>
      </c>
      <c r="C871" t="s">
        <v>74</v>
      </c>
      <c r="D871" t="s">
        <v>74</v>
      </c>
      <c r="E871" t="s">
        <v>74</v>
      </c>
      <c r="F871" t="s">
        <v>16859</v>
      </c>
      <c r="G871" t="s">
        <v>74</v>
      </c>
      <c r="H871" t="s">
        <v>74</v>
      </c>
      <c r="I871" t="s">
        <v>16860</v>
      </c>
      <c r="J871" t="s">
        <v>869</v>
      </c>
      <c r="K871" t="s">
        <v>74</v>
      </c>
      <c r="L871" t="s">
        <v>74</v>
      </c>
      <c r="M871" t="s">
        <v>78</v>
      </c>
      <c r="N871" t="s">
        <v>112</v>
      </c>
      <c r="O871" t="s">
        <v>74</v>
      </c>
      <c r="P871" t="s">
        <v>74</v>
      </c>
      <c r="Q871" t="s">
        <v>74</v>
      </c>
      <c r="R871" t="s">
        <v>74</v>
      </c>
      <c r="S871" t="s">
        <v>74</v>
      </c>
      <c r="T871" t="s">
        <v>16861</v>
      </c>
      <c r="U871" t="s">
        <v>16862</v>
      </c>
      <c r="V871" t="s">
        <v>16863</v>
      </c>
      <c r="W871" t="s">
        <v>16864</v>
      </c>
      <c r="X871" t="s">
        <v>16865</v>
      </c>
      <c r="Y871" t="s">
        <v>16866</v>
      </c>
      <c r="Z871" t="s">
        <v>16867</v>
      </c>
      <c r="AA871" t="s">
        <v>74</v>
      </c>
      <c r="AB871" t="s">
        <v>16868</v>
      </c>
      <c r="AC871" t="s">
        <v>16869</v>
      </c>
      <c r="AD871" t="s">
        <v>16870</v>
      </c>
      <c r="AE871" t="s">
        <v>16871</v>
      </c>
      <c r="AF871" t="s">
        <v>74</v>
      </c>
      <c r="AG871">
        <v>45</v>
      </c>
      <c r="AH871">
        <v>0</v>
      </c>
      <c r="AI871">
        <v>1</v>
      </c>
      <c r="AJ871">
        <v>2</v>
      </c>
      <c r="AK871">
        <v>2</v>
      </c>
      <c r="AL871" t="s">
        <v>305</v>
      </c>
      <c r="AM871" t="s">
        <v>306</v>
      </c>
      <c r="AN871" t="s">
        <v>307</v>
      </c>
      <c r="AO871" t="s">
        <v>882</v>
      </c>
      <c r="AP871" t="s">
        <v>883</v>
      </c>
      <c r="AQ871" t="s">
        <v>74</v>
      </c>
      <c r="AR871" t="s">
        <v>884</v>
      </c>
      <c r="AS871" t="s">
        <v>885</v>
      </c>
      <c r="AT871" t="s">
        <v>16853</v>
      </c>
      <c r="AU871">
        <v>2023</v>
      </c>
      <c r="AV871">
        <v>128</v>
      </c>
      <c r="AW871">
        <v>2</v>
      </c>
      <c r="AX871" t="s">
        <v>74</v>
      </c>
      <c r="AY871" t="s">
        <v>74</v>
      </c>
      <c r="AZ871" t="s">
        <v>74</v>
      </c>
      <c r="BA871" t="s">
        <v>74</v>
      </c>
      <c r="BB871" t="s">
        <v>74</v>
      </c>
      <c r="BC871" t="s">
        <v>74</v>
      </c>
      <c r="BD871" t="s">
        <v>16872</v>
      </c>
      <c r="BE871" t="s">
        <v>16873</v>
      </c>
      <c r="BF871" t="str">
        <f>HYPERLINK("http://dx.doi.org/10.1029/2022JD037590","http://dx.doi.org/10.1029/2022JD037590")</f>
        <v>http://dx.doi.org/10.1029/2022JD037590</v>
      </c>
      <c r="BG871" t="s">
        <v>74</v>
      </c>
      <c r="BH871" t="s">
        <v>74</v>
      </c>
      <c r="BI871">
        <v>17</v>
      </c>
      <c r="BJ871" t="s">
        <v>102</v>
      </c>
      <c r="BK871" t="s">
        <v>103</v>
      </c>
      <c r="BL871" t="s">
        <v>102</v>
      </c>
      <c r="BM871" t="s">
        <v>16856</v>
      </c>
      <c r="BN871" t="s">
        <v>74</v>
      </c>
      <c r="BO871" t="s">
        <v>334</v>
      </c>
      <c r="BP871" t="s">
        <v>74</v>
      </c>
      <c r="BQ871" t="s">
        <v>74</v>
      </c>
      <c r="BR871" t="s">
        <v>106</v>
      </c>
      <c r="BS871" t="s">
        <v>16874</v>
      </c>
      <c r="BT871" t="str">
        <f>HYPERLINK("https%3A%2F%2Fwww.webofscience.com%2Fwos%2Fwoscc%2Ffull-record%2FWOS:000938835500005","View Full Record in Web of Science")</f>
        <v>View Full Record in Web of Science</v>
      </c>
    </row>
    <row r="872" spans="1:72" x14ac:dyDescent="0.15">
      <c r="A872" t="s">
        <v>72</v>
      </c>
      <c r="B872" t="s">
        <v>16875</v>
      </c>
      <c r="C872" t="s">
        <v>74</v>
      </c>
      <c r="D872" t="s">
        <v>74</v>
      </c>
      <c r="E872" t="s">
        <v>74</v>
      </c>
      <c r="F872" t="s">
        <v>16876</v>
      </c>
      <c r="G872" t="s">
        <v>74</v>
      </c>
      <c r="H872" t="s">
        <v>74</v>
      </c>
      <c r="I872" t="s">
        <v>16877</v>
      </c>
      <c r="J872" t="s">
        <v>2541</v>
      </c>
      <c r="K872" t="s">
        <v>74</v>
      </c>
      <c r="L872" t="s">
        <v>74</v>
      </c>
      <c r="M872" t="s">
        <v>78</v>
      </c>
      <c r="N872" t="s">
        <v>365</v>
      </c>
      <c r="O872" t="s">
        <v>74</v>
      </c>
      <c r="P872" t="s">
        <v>74</v>
      </c>
      <c r="Q872" t="s">
        <v>74</v>
      </c>
      <c r="R872" t="s">
        <v>74</v>
      </c>
      <c r="S872" t="s">
        <v>74</v>
      </c>
      <c r="T872" t="s">
        <v>74</v>
      </c>
      <c r="U872" t="s">
        <v>16878</v>
      </c>
      <c r="V872" t="s">
        <v>16879</v>
      </c>
      <c r="W872" t="s">
        <v>16880</v>
      </c>
      <c r="X872" t="s">
        <v>16881</v>
      </c>
      <c r="Y872" t="s">
        <v>16882</v>
      </c>
      <c r="Z872" t="s">
        <v>16883</v>
      </c>
      <c r="AA872" t="s">
        <v>74</v>
      </c>
      <c r="AB872" t="s">
        <v>16884</v>
      </c>
      <c r="AC872" t="s">
        <v>74</v>
      </c>
      <c r="AD872" t="s">
        <v>74</v>
      </c>
      <c r="AE872" t="s">
        <v>74</v>
      </c>
      <c r="AF872" t="s">
        <v>74</v>
      </c>
      <c r="AG872">
        <v>161</v>
      </c>
      <c r="AH872">
        <v>3</v>
      </c>
      <c r="AI872">
        <v>3</v>
      </c>
      <c r="AJ872">
        <v>1</v>
      </c>
      <c r="AK872">
        <v>3</v>
      </c>
      <c r="AL872" t="s">
        <v>794</v>
      </c>
      <c r="AM872" t="s">
        <v>795</v>
      </c>
      <c r="AN872" t="s">
        <v>796</v>
      </c>
      <c r="AO872" t="s">
        <v>2553</v>
      </c>
      <c r="AP872" t="s">
        <v>2554</v>
      </c>
      <c r="AQ872" t="s">
        <v>74</v>
      </c>
      <c r="AR872" t="s">
        <v>2555</v>
      </c>
      <c r="AS872" t="s">
        <v>2556</v>
      </c>
      <c r="AT872" t="s">
        <v>16853</v>
      </c>
      <c r="AU872">
        <v>2023</v>
      </c>
      <c r="AV872">
        <v>23</v>
      </c>
      <c r="AW872">
        <v>2</v>
      </c>
      <c r="AX872" t="s">
        <v>74</v>
      </c>
      <c r="AY872" t="s">
        <v>74</v>
      </c>
      <c r="AZ872" t="s">
        <v>74</v>
      </c>
      <c r="BA872" t="s">
        <v>74</v>
      </c>
      <c r="BB872">
        <v>1599</v>
      </c>
      <c r="BC872">
        <v>1618</v>
      </c>
      <c r="BD872" t="s">
        <v>74</v>
      </c>
      <c r="BE872" t="s">
        <v>16885</v>
      </c>
      <c r="BF872" t="str">
        <f>HYPERLINK("http://dx.doi.org/10.5194/acp-23-1599-2023","http://dx.doi.org/10.5194/acp-23-1599-2023")</f>
        <v>http://dx.doi.org/10.5194/acp-23-1599-2023</v>
      </c>
      <c r="BG872" t="s">
        <v>74</v>
      </c>
      <c r="BH872" t="s">
        <v>74</v>
      </c>
      <c r="BI872">
        <v>20</v>
      </c>
      <c r="BJ872" t="s">
        <v>356</v>
      </c>
      <c r="BK872" t="s">
        <v>103</v>
      </c>
      <c r="BL872" t="s">
        <v>357</v>
      </c>
      <c r="BM872" t="s">
        <v>16886</v>
      </c>
      <c r="BN872" t="s">
        <v>74</v>
      </c>
      <c r="BO872" t="s">
        <v>16887</v>
      </c>
      <c r="BP872" t="s">
        <v>74</v>
      </c>
      <c r="BQ872" t="s">
        <v>74</v>
      </c>
      <c r="BR872" t="s">
        <v>106</v>
      </c>
      <c r="BS872" t="s">
        <v>16888</v>
      </c>
      <c r="BT872" t="str">
        <f>HYPERLINK("https%3A%2F%2Fwww.webofscience.com%2Fwos%2Fwoscc%2Ffull-record%2FWOS:000922999200001","View Full Record in Web of Science")</f>
        <v>View Full Record in Web of Science</v>
      </c>
    </row>
    <row r="873" spans="1:72" x14ac:dyDescent="0.15">
      <c r="A873" t="s">
        <v>72</v>
      </c>
      <c r="B873" t="s">
        <v>16889</v>
      </c>
      <c r="C873" t="s">
        <v>74</v>
      </c>
      <c r="D873" t="s">
        <v>74</v>
      </c>
      <c r="E873" t="s">
        <v>74</v>
      </c>
      <c r="F873" t="s">
        <v>16890</v>
      </c>
      <c r="G873" t="s">
        <v>74</v>
      </c>
      <c r="H873" t="s">
        <v>74</v>
      </c>
      <c r="I873" t="s">
        <v>16891</v>
      </c>
      <c r="J873" t="s">
        <v>782</v>
      </c>
      <c r="K873" t="s">
        <v>74</v>
      </c>
      <c r="L873" t="s">
        <v>74</v>
      </c>
      <c r="M873" t="s">
        <v>78</v>
      </c>
      <c r="N873" t="s">
        <v>112</v>
      </c>
      <c r="O873" t="s">
        <v>74</v>
      </c>
      <c r="P873" t="s">
        <v>74</v>
      </c>
      <c r="Q873" t="s">
        <v>74</v>
      </c>
      <c r="R873" t="s">
        <v>74</v>
      </c>
      <c r="S873" t="s">
        <v>74</v>
      </c>
      <c r="T873" t="s">
        <v>74</v>
      </c>
      <c r="U873" t="s">
        <v>16892</v>
      </c>
      <c r="V873" t="s">
        <v>16893</v>
      </c>
      <c r="W873" t="s">
        <v>16894</v>
      </c>
      <c r="X873" t="s">
        <v>16895</v>
      </c>
      <c r="Y873" t="s">
        <v>16896</v>
      </c>
      <c r="Z873" t="s">
        <v>16897</v>
      </c>
      <c r="AA873" t="s">
        <v>16898</v>
      </c>
      <c r="AB873" t="s">
        <v>16899</v>
      </c>
      <c r="AC873" t="s">
        <v>16900</v>
      </c>
      <c r="AD873" t="s">
        <v>16901</v>
      </c>
      <c r="AE873" t="s">
        <v>16902</v>
      </c>
      <c r="AF873" t="s">
        <v>74</v>
      </c>
      <c r="AG873">
        <v>87</v>
      </c>
      <c r="AH873">
        <v>2</v>
      </c>
      <c r="AI873">
        <v>2</v>
      </c>
      <c r="AJ873">
        <v>0</v>
      </c>
      <c r="AK873">
        <v>5</v>
      </c>
      <c r="AL873" t="s">
        <v>794</v>
      </c>
      <c r="AM873" t="s">
        <v>795</v>
      </c>
      <c r="AN873" t="s">
        <v>796</v>
      </c>
      <c r="AO873" t="s">
        <v>797</v>
      </c>
      <c r="AP873" t="s">
        <v>798</v>
      </c>
      <c r="AQ873" t="s">
        <v>74</v>
      </c>
      <c r="AR873" t="s">
        <v>782</v>
      </c>
      <c r="AS873" t="s">
        <v>799</v>
      </c>
      <c r="AT873" t="s">
        <v>16853</v>
      </c>
      <c r="AU873">
        <v>2023</v>
      </c>
      <c r="AV873">
        <v>17</v>
      </c>
      <c r="AW873">
        <v>1</v>
      </c>
      <c r="AX873" t="s">
        <v>74</v>
      </c>
      <c r="AY873" t="s">
        <v>74</v>
      </c>
      <c r="AZ873" t="s">
        <v>74</v>
      </c>
      <c r="BA873" t="s">
        <v>74</v>
      </c>
      <c r="BB873">
        <v>391</v>
      </c>
      <c r="BC873">
        <v>405</v>
      </c>
      <c r="BD873" t="s">
        <v>74</v>
      </c>
      <c r="BE873" t="s">
        <v>16903</v>
      </c>
      <c r="BF873" t="str">
        <f>HYPERLINK("http://dx.doi.org/10.5194/tc-17-391-2023","http://dx.doi.org/10.5194/tc-17-391-2023")</f>
        <v>http://dx.doi.org/10.5194/tc-17-391-2023</v>
      </c>
      <c r="BG873" t="s">
        <v>74</v>
      </c>
      <c r="BH873" t="s">
        <v>74</v>
      </c>
      <c r="BI873">
        <v>15</v>
      </c>
      <c r="BJ873" t="s">
        <v>801</v>
      </c>
      <c r="BK873" t="s">
        <v>103</v>
      </c>
      <c r="BL873" t="s">
        <v>802</v>
      </c>
      <c r="BM873" t="s">
        <v>16904</v>
      </c>
      <c r="BN873" t="s">
        <v>74</v>
      </c>
      <c r="BO873" t="s">
        <v>8953</v>
      </c>
      <c r="BP873" t="s">
        <v>74</v>
      </c>
      <c r="BQ873" t="s">
        <v>74</v>
      </c>
      <c r="BR873" t="s">
        <v>106</v>
      </c>
      <c r="BS873" t="s">
        <v>16905</v>
      </c>
      <c r="BT873" t="str">
        <f>HYPERLINK("https%3A%2F%2Fwww.webofscience.com%2Fwos%2Fwoscc%2Ffull-record%2FWOS:000923002800001","View Full Record in Web of Science")</f>
        <v>View Full Record in Web of Science</v>
      </c>
    </row>
    <row r="874" spans="1:72" x14ac:dyDescent="0.15">
      <c r="A874" t="s">
        <v>72</v>
      </c>
      <c r="B874" t="s">
        <v>16906</v>
      </c>
      <c r="C874" t="s">
        <v>74</v>
      </c>
      <c r="D874" t="s">
        <v>74</v>
      </c>
      <c r="E874" t="s">
        <v>74</v>
      </c>
      <c r="F874" t="s">
        <v>16907</v>
      </c>
      <c r="G874" t="s">
        <v>74</v>
      </c>
      <c r="H874" t="s">
        <v>74</v>
      </c>
      <c r="I874" t="s">
        <v>16908</v>
      </c>
      <c r="J874" t="s">
        <v>1729</v>
      </c>
      <c r="K874" t="s">
        <v>74</v>
      </c>
      <c r="L874" t="s">
        <v>74</v>
      </c>
      <c r="M874" t="s">
        <v>78</v>
      </c>
      <c r="N874" t="s">
        <v>112</v>
      </c>
      <c r="O874" t="s">
        <v>74</v>
      </c>
      <c r="P874" t="s">
        <v>74</v>
      </c>
      <c r="Q874" t="s">
        <v>74</v>
      </c>
      <c r="R874" t="s">
        <v>74</v>
      </c>
      <c r="S874" t="s">
        <v>74</v>
      </c>
      <c r="T874" t="s">
        <v>16909</v>
      </c>
      <c r="U874" t="s">
        <v>16910</v>
      </c>
      <c r="V874" t="s">
        <v>16911</v>
      </c>
      <c r="W874" t="s">
        <v>16912</v>
      </c>
      <c r="X874" t="s">
        <v>16913</v>
      </c>
      <c r="Y874" t="s">
        <v>16914</v>
      </c>
      <c r="Z874" t="s">
        <v>16915</v>
      </c>
      <c r="AA874" t="s">
        <v>6751</v>
      </c>
      <c r="AB874" t="s">
        <v>16916</v>
      </c>
      <c r="AC874" t="s">
        <v>16917</v>
      </c>
      <c r="AD874" t="s">
        <v>16918</v>
      </c>
      <c r="AE874" t="s">
        <v>16919</v>
      </c>
      <c r="AF874" t="s">
        <v>74</v>
      </c>
      <c r="AG874">
        <v>99</v>
      </c>
      <c r="AH874">
        <v>2</v>
      </c>
      <c r="AI874">
        <v>2</v>
      </c>
      <c r="AJ874">
        <v>5</v>
      </c>
      <c r="AK874">
        <v>17</v>
      </c>
      <c r="AL874" t="s">
        <v>1405</v>
      </c>
      <c r="AM874" t="s">
        <v>226</v>
      </c>
      <c r="AN874" t="s">
        <v>1406</v>
      </c>
      <c r="AO874" t="s">
        <v>1742</v>
      </c>
      <c r="AP874" t="s">
        <v>1743</v>
      </c>
      <c r="AQ874" t="s">
        <v>74</v>
      </c>
      <c r="AR874" t="s">
        <v>1744</v>
      </c>
      <c r="AS874" t="s">
        <v>1745</v>
      </c>
      <c r="AT874" t="s">
        <v>8107</v>
      </c>
      <c r="AU874">
        <v>2023</v>
      </c>
      <c r="AV874">
        <v>321</v>
      </c>
      <c r="AW874" t="s">
        <v>74</v>
      </c>
      <c r="AX874" t="s">
        <v>74</v>
      </c>
      <c r="AY874" t="s">
        <v>74</v>
      </c>
      <c r="AZ874" t="s">
        <v>74</v>
      </c>
      <c r="BA874" t="s">
        <v>74</v>
      </c>
      <c r="BB874" t="s">
        <v>74</v>
      </c>
      <c r="BC874" t="s">
        <v>74</v>
      </c>
      <c r="BD874">
        <v>121139</v>
      </c>
      <c r="BE874" t="s">
        <v>16920</v>
      </c>
      <c r="BF874" t="str">
        <f>HYPERLINK("http://dx.doi.org/10.1016/j.envpol.2023.121139","http://dx.doi.org/10.1016/j.envpol.2023.121139")</f>
        <v>http://dx.doi.org/10.1016/j.envpol.2023.121139</v>
      </c>
      <c r="BG874" t="s">
        <v>74</v>
      </c>
      <c r="BH874" t="s">
        <v>16484</v>
      </c>
      <c r="BI874">
        <v>15</v>
      </c>
      <c r="BJ874" t="s">
        <v>1163</v>
      </c>
      <c r="BK874" t="s">
        <v>103</v>
      </c>
      <c r="BL874" t="s">
        <v>1164</v>
      </c>
      <c r="BM874" t="s">
        <v>16921</v>
      </c>
      <c r="BN874">
        <v>36702434</v>
      </c>
      <c r="BO874" t="s">
        <v>74</v>
      </c>
      <c r="BP874" t="s">
        <v>74</v>
      </c>
      <c r="BQ874" t="s">
        <v>74</v>
      </c>
      <c r="BR874" t="s">
        <v>106</v>
      </c>
      <c r="BS874" t="s">
        <v>16922</v>
      </c>
      <c r="BT874" t="str">
        <f>HYPERLINK("https%3A%2F%2Fwww.webofscience.com%2Fwos%2Fwoscc%2Ffull-record%2FWOS:000927456500001","View Full Record in Web of Science")</f>
        <v>View Full Record in Web of Science</v>
      </c>
    </row>
    <row r="875" spans="1:72" x14ac:dyDescent="0.15">
      <c r="A875" t="s">
        <v>72</v>
      </c>
      <c r="B875" t="s">
        <v>16923</v>
      </c>
      <c r="C875" t="s">
        <v>74</v>
      </c>
      <c r="D875" t="s">
        <v>74</v>
      </c>
      <c r="E875" t="s">
        <v>74</v>
      </c>
      <c r="F875" t="s">
        <v>16924</v>
      </c>
      <c r="G875" t="s">
        <v>74</v>
      </c>
      <c r="H875" t="s">
        <v>74</v>
      </c>
      <c r="I875" t="s">
        <v>16925</v>
      </c>
      <c r="J875" t="s">
        <v>1193</v>
      </c>
      <c r="K875" t="s">
        <v>74</v>
      </c>
      <c r="L875" t="s">
        <v>74</v>
      </c>
      <c r="M875" t="s">
        <v>78</v>
      </c>
      <c r="N875" t="s">
        <v>112</v>
      </c>
      <c r="O875" t="s">
        <v>74</v>
      </c>
      <c r="P875" t="s">
        <v>74</v>
      </c>
      <c r="Q875" t="s">
        <v>74</v>
      </c>
      <c r="R875" t="s">
        <v>74</v>
      </c>
      <c r="S875" t="s">
        <v>74</v>
      </c>
      <c r="T875" t="s">
        <v>16926</v>
      </c>
      <c r="U875" t="s">
        <v>16927</v>
      </c>
      <c r="V875" t="s">
        <v>16928</v>
      </c>
      <c r="W875" t="s">
        <v>16929</v>
      </c>
      <c r="X875" t="s">
        <v>16930</v>
      </c>
      <c r="Y875" t="s">
        <v>16931</v>
      </c>
      <c r="Z875" t="s">
        <v>16932</v>
      </c>
      <c r="AA875" t="s">
        <v>16933</v>
      </c>
      <c r="AB875" t="s">
        <v>16934</v>
      </c>
      <c r="AC875" t="s">
        <v>16935</v>
      </c>
      <c r="AD875" t="s">
        <v>16936</v>
      </c>
      <c r="AE875" t="s">
        <v>16937</v>
      </c>
      <c r="AF875" t="s">
        <v>74</v>
      </c>
      <c r="AG875">
        <v>74</v>
      </c>
      <c r="AH875">
        <v>7</v>
      </c>
      <c r="AI875">
        <v>7</v>
      </c>
      <c r="AJ875">
        <v>4</v>
      </c>
      <c r="AK875">
        <v>12</v>
      </c>
      <c r="AL875" t="s">
        <v>447</v>
      </c>
      <c r="AM875" t="s">
        <v>448</v>
      </c>
      <c r="AN875" t="s">
        <v>449</v>
      </c>
      <c r="AO875" t="s">
        <v>1204</v>
      </c>
      <c r="AP875" t="s">
        <v>1205</v>
      </c>
      <c r="AQ875" t="s">
        <v>74</v>
      </c>
      <c r="AR875" t="s">
        <v>1206</v>
      </c>
      <c r="AS875" t="s">
        <v>1207</v>
      </c>
      <c r="AT875" t="s">
        <v>12002</v>
      </c>
      <c r="AU875">
        <v>2023</v>
      </c>
      <c r="AV875">
        <v>869</v>
      </c>
      <c r="AW875" t="s">
        <v>74</v>
      </c>
      <c r="AX875" t="s">
        <v>74</v>
      </c>
      <c r="AY875" t="s">
        <v>74</v>
      </c>
      <c r="AZ875" t="s">
        <v>74</v>
      </c>
      <c r="BA875" t="s">
        <v>74</v>
      </c>
      <c r="BB875" t="s">
        <v>74</v>
      </c>
      <c r="BC875" t="s">
        <v>74</v>
      </c>
      <c r="BD875">
        <v>161690</v>
      </c>
      <c r="BE875" t="s">
        <v>16938</v>
      </c>
      <c r="BF875" t="str">
        <f>HYPERLINK("http://dx.doi.org/10.1016/j.scitotenv.2023.161690","http://dx.doi.org/10.1016/j.scitotenv.2023.161690")</f>
        <v>http://dx.doi.org/10.1016/j.scitotenv.2023.161690</v>
      </c>
      <c r="BG875" t="s">
        <v>74</v>
      </c>
      <c r="BH875" t="s">
        <v>16484</v>
      </c>
      <c r="BI875">
        <v>12</v>
      </c>
      <c r="BJ875" t="s">
        <v>1163</v>
      </c>
      <c r="BK875" t="s">
        <v>103</v>
      </c>
      <c r="BL875" t="s">
        <v>1164</v>
      </c>
      <c r="BM875" t="s">
        <v>16939</v>
      </c>
      <c r="BN875">
        <v>36657667</v>
      </c>
      <c r="BO875" t="s">
        <v>74</v>
      </c>
      <c r="BP875" t="s">
        <v>74</v>
      </c>
      <c r="BQ875" t="s">
        <v>74</v>
      </c>
      <c r="BR875" t="s">
        <v>106</v>
      </c>
      <c r="BS875" t="s">
        <v>16940</v>
      </c>
      <c r="BT875" t="str">
        <f>HYPERLINK("https%3A%2F%2Fwww.webofscience.com%2Fwos%2Fwoscc%2Ffull-record%2FWOS:000926683900001","View Full Record in Web of Science")</f>
        <v>View Full Record in Web of Science</v>
      </c>
    </row>
    <row r="876" spans="1:72" x14ac:dyDescent="0.15">
      <c r="A876" t="s">
        <v>72</v>
      </c>
      <c r="B876" t="s">
        <v>16941</v>
      </c>
      <c r="C876" t="s">
        <v>74</v>
      </c>
      <c r="D876" t="s">
        <v>74</v>
      </c>
      <c r="E876" t="s">
        <v>74</v>
      </c>
      <c r="F876" t="s">
        <v>16942</v>
      </c>
      <c r="G876" t="s">
        <v>74</v>
      </c>
      <c r="H876" t="s">
        <v>74</v>
      </c>
      <c r="I876" t="s">
        <v>16943</v>
      </c>
      <c r="J876" t="s">
        <v>1707</v>
      </c>
      <c r="K876" t="s">
        <v>74</v>
      </c>
      <c r="L876" t="s">
        <v>74</v>
      </c>
      <c r="M876" t="s">
        <v>78</v>
      </c>
      <c r="N876" t="s">
        <v>365</v>
      </c>
      <c r="O876" t="s">
        <v>74</v>
      </c>
      <c r="P876" t="s">
        <v>74</v>
      </c>
      <c r="Q876" t="s">
        <v>74</v>
      </c>
      <c r="R876" t="s">
        <v>74</v>
      </c>
      <c r="S876" t="s">
        <v>74</v>
      </c>
      <c r="T876" t="s">
        <v>16944</v>
      </c>
      <c r="U876" t="s">
        <v>16945</v>
      </c>
      <c r="V876" t="s">
        <v>16946</v>
      </c>
      <c r="W876" t="s">
        <v>16947</v>
      </c>
      <c r="X876" t="s">
        <v>16948</v>
      </c>
      <c r="Y876" t="s">
        <v>16949</v>
      </c>
      <c r="Z876" t="s">
        <v>16950</v>
      </c>
      <c r="AA876" t="s">
        <v>16951</v>
      </c>
      <c r="AB876" t="s">
        <v>16952</v>
      </c>
      <c r="AC876" t="s">
        <v>16953</v>
      </c>
      <c r="AD876" t="s">
        <v>16954</v>
      </c>
      <c r="AE876" t="s">
        <v>16955</v>
      </c>
      <c r="AF876" t="s">
        <v>74</v>
      </c>
      <c r="AG876">
        <v>53</v>
      </c>
      <c r="AH876">
        <v>2</v>
      </c>
      <c r="AI876">
        <v>2</v>
      </c>
      <c r="AJ876">
        <v>1</v>
      </c>
      <c r="AK876">
        <v>3</v>
      </c>
      <c r="AL876" t="s">
        <v>225</v>
      </c>
      <c r="AM876" t="s">
        <v>226</v>
      </c>
      <c r="AN876" t="s">
        <v>227</v>
      </c>
      <c r="AO876" t="s">
        <v>1719</v>
      </c>
      <c r="AP876" t="s">
        <v>1720</v>
      </c>
      <c r="AQ876" t="s">
        <v>74</v>
      </c>
      <c r="AR876" t="s">
        <v>1721</v>
      </c>
      <c r="AS876" t="s">
        <v>1722</v>
      </c>
      <c r="AT876" t="s">
        <v>8210</v>
      </c>
      <c r="AU876">
        <v>2023</v>
      </c>
      <c r="AV876">
        <v>211</v>
      </c>
      <c r="AW876" t="s">
        <v>74</v>
      </c>
      <c r="AX876" t="s">
        <v>74</v>
      </c>
      <c r="AY876" t="s">
        <v>74</v>
      </c>
      <c r="AZ876" t="s">
        <v>74</v>
      </c>
      <c r="BA876" t="s">
        <v>74</v>
      </c>
      <c r="BB876" t="s">
        <v>74</v>
      </c>
      <c r="BC876" t="s">
        <v>74</v>
      </c>
      <c r="BD876">
        <v>102979</v>
      </c>
      <c r="BE876" t="s">
        <v>16956</v>
      </c>
      <c r="BF876" t="str">
        <f>HYPERLINK("http://dx.doi.org/10.1016/j.pocean.2023.102979","http://dx.doi.org/10.1016/j.pocean.2023.102979")</f>
        <v>http://dx.doi.org/10.1016/j.pocean.2023.102979</v>
      </c>
      <c r="BG876" t="s">
        <v>74</v>
      </c>
      <c r="BH876" t="s">
        <v>16484</v>
      </c>
      <c r="BI876">
        <v>12</v>
      </c>
      <c r="BJ876" t="s">
        <v>863</v>
      </c>
      <c r="BK876" t="s">
        <v>103</v>
      </c>
      <c r="BL876" t="s">
        <v>863</v>
      </c>
      <c r="BM876" t="s">
        <v>16957</v>
      </c>
      <c r="BN876" t="s">
        <v>74</v>
      </c>
      <c r="BO876" t="s">
        <v>74</v>
      </c>
      <c r="BP876" t="s">
        <v>74</v>
      </c>
      <c r="BQ876" t="s">
        <v>74</v>
      </c>
      <c r="BR876" t="s">
        <v>106</v>
      </c>
      <c r="BS876" t="s">
        <v>16958</v>
      </c>
      <c r="BT876" t="str">
        <f>HYPERLINK("https%3A%2F%2Fwww.webofscience.com%2Fwos%2Fwoscc%2Ffull-record%2FWOS:000927494900001","View Full Record in Web of Science")</f>
        <v>View Full Record in Web of Science</v>
      </c>
    </row>
    <row r="877" spans="1:72" x14ac:dyDescent="0.15">
      <c r="A877" t="s">
        <v>72</v>
      </c>
      <c r="B877" t="s">
        <v>16959</v>
      </c>
      <c r="C877" t="s">
        <v>74</v>
      </c>
      <c r="D877" t="s">
        <v>74</v>
      </c>
      <c r="E877" t="s">
        <v>74</v>
      </c>
      <c r="F877" t="s">
        <v>16960</v>
      </c>
      <c r="G877" t="s">
        <v>74</v>
      </c>
      <c r="H877" t="s">
        <v>74</v>
      </c>
      <c r="I877" t="s">
        <v>16961</v>
      </c>
      <c r="J877" t="s">
        <v>16962</v>
      </c>
      <c r="K877" t="s">
        <v>74</v>
      </c>
      <c r="L877" t="s">
        <v>74</v>
      </c>
      <c r="M877" t="s">
        <v>78</v>
      </c>
      <c r="N877" t="s">
        <v>112</v>
      </c>
      <c r="O877" t="s">
        <v>74</v>
      </c>
      <c r="P877" t="s">
        <v>74</v>
      </c>
      <c r="Q877" t="s">
        <v>74</v>
      </c>
      <c r="R877" t="s">
        <v>74</v>
      </c>
      <c r="S877" t="s">
        <v>74</v>
      </c>
      <c r="T877" t="s">
        <v>16963</v>
      </c>
      <c r="U877" t="s">
        <v>16964</v>
      </c>
      <c r="V877" t="s">
        <v>16965</v>
      </c>
      <c r="W877" t="s">
        <v>16966</v>
      </c>
      <c r="X877" t="s">
        <v>16967</v>
      </c>
      <c r="Y877" t="s">
        <v>16968</v>
      </c>
      <c r="Z877" t="s">
        <v>16969</v>
      </c>
      <c r="AA877" t="s">
        <v>16970</v>
      </c>
      <c r="AB877" t="s">
        <v>16971</v>
      </c>
      <c r="AC877" t="s">
        <v>16972</v>
      </c>
      <c r="AD877" t="s">
        <v>16973</v>
      </c>
      <c r="AE877" t="s">
        <v>16974</v>
      </c>
      <c r="AF877" t="s">
        <v>74</v>
      </c>
      <c r="AG877">
        <v>72</v>
      </c>
      <c r="AH877">
        <v>2</v>
      </c>
      <c r="AI877">
        <v>2</v>
      </c>
      <c r="AJ877">
        <v>4</v>
      </c>
      <c r="AK877">
        <v>16</v>
      </c>
      <c r="AL877" t="s">
        <v>2092</v>
      </c>
      <c r="AM877" t="s">
        <v>2093</v>
      </c>
      <c r="AN877" t="s">
        <v>2094</v>
      </c>
      <c r="AO877" t="s">
        <v>16975</v>
      </c>
      <c r="AP877" t="s">
        <v>16976</v>
      </c>
      <c r="AQ877" t="s">
        <v>74</v>
      </c>
      <c r="AR877" t="s">
        <v>16977</v>
      </c>
      <c r="AS877" t="s">
        <v>16978</v>
      </c>
      <c r="AT877" t="s">
        <v>972</v>
      </c>
      <c r="AU877">
        <v>2023</v>
      </c>
      <c r="AV877">
        <v>149</v>
      </c>
      <c r="AW877">
        <v>751</v>
      </c>
      <c r="AX877" t="s">
        <v>74</v>
      </c>
      <c r="AY877" t="s">
        <v>74</v>
      </c>
      <c r="AZ877" t="s">
        <v>74</v>
      </c>
      <c r="BA877" t="s">
        <v>74</v>
      </c>
      <c r="BB877">
        <v>472</v>
      </c>
      <c r="BC877">
        <v>493</v>
      </c>
      <c r="BD877" t="s">
        <v>74</v>
      </c>
      <c r="BE877" t="s">
        <v>16979</v>
      </c>
      <c r="BF877" t="str">
        <f>HYPERLINK("http://dx.doi.org/10.1002/qj.4418","http://dx.doi.org/10.1002/qj.4418")</f>
        <v>http://dx.doi.org/10.1002/qj.4418</v>
      </c>
      <c r="BG877" t="s">
        <v>74</v>
      </c>
      <c r="BH877" t="s">
        <v>16484</v>
      </c>
      <c r="BI877">
        <v>22</v>
      </c>
      <c r="BJ877" t="s">
        <v>102</v>
      </c>
      <c r="BK877" t="s">
        <v>103</v>
      </c>
      <c r="BL877" t="s">
        <v>102</v>
      </c>
      <c r="BM877" t="s">
        <v>16980</v>
      </c>
      <c r="BN877" t="s">
        <v>74</v>
      </c>
      <c r="BO877" t="s">
        <v>11409</v>
      </c>
      <c r="BP877" t="s">
        <v>74</v>
      </c>
      <c r="BQ877" t="s">
        <v>74</v>
      </c>
      <c r="BR877" t="s">
        <v>106</v>
      </c>
      <c r="BS877" t="s">
        <v>16981</v>
      </c>
      <c r="BT877" t="str">
        <f>HYPERLINK("https%3A%2F%2Fwww.webofscience.com%2Fwos%2Fwoscc%2Ffull-record%2FWOS:000923352800001","View Full Record in Web of Science")</f>
        <v>View Full Record in Web of Science</v>
      </c>
    </row>
    <row r="878" spans="1:72" x14ac:dyDescent="0.15">
      <c r="A878" t="s">
        <v>72</v>
      </c>
      <c r="B878" t="s">
        <v>16982</v>
      </c>
      <c r="C878" t="s">
        <v>74</v>
      </c>
      <c r="D878" t="s">
        <v>74</v>
      </c>
      <c r="E878" t="s">
        <v>74</v>
      </c>
      <c r="F878" t="s">
        <v>16983</v>
      </c>
      <c r="G878" t="s">
        <v>74</v>
      </c>
      <c r="H878" t="s">
        <v>74</v>
      </c>
      <c r="I878" t="s">
        <v>16984</v>
      </c>
      <c r="J878" t="s">
        <v>16985</v>
      </c>
      <c r="K878" t="s">
        <v>74</v>
      </c>
      <c r="L878" t="s">
        <v>74</v>
      </c>
      <c r="M878" t="s">
        <v>78</v>
      </c>
      <c r="N878" t="s">
        <v>112</v>
      </c>
      <c r="O878" t="s">
        <v>74</v>
      </c>
      <c r="P878" t="s">
        <v>74</v>
      </c>
      <c r="Q878" t="s">
        <v>74</v>
      </c>
      <c r="R878" t="s">
        <v>74</v>
      </c>
      <c r="S878" t="s">
        <v>74</v>
      </c>
      <c r="T878" t="s">
        <v>74</v>
      </c>
      <c r="U878" t="s">
        <v>16986</v>
      </c>
      <c r="V878" t="s">
        <v>16987</v>
      </c>
      <c r="W878" t="s">
        <v>16988</v>
      </c>
      <c r="X878" t="s">
        <v>16989</v>
      </c>
      <c r="Y878" t="s">
        <v>16990</v>
      </c>
      <c r="Z878" t="s">
        <v>16991</v>
      </c>
      <c r="AA878" t="s">
        <v>74</v>
      </c>
      <c r="AB878" t="s">
        <v>16992</v>
      </c>
      <c r="AC878" t="s">
        <v>16993</v>
      </c>
      <c r="AD878" t="s">
        <v>16993</v>
      </c>
      <c r="AE878" t="s">
        <v>16994</v>
      </c>
      <c r="AF878" t="s">
        <v>74</v>
      </c>
      <c r="AG878">
        <v>30</v>
      </c>
      <c r="AH878">
        <v>1</v>
      </c>
      <c r="AI878">
        <v>1</v>
      </c>
      <c r="AJ878">
        <v>0</v>
      </c>
      <c r="AK878">
        <v>1</v>
      </c>
      <c r="AL878" t="s">
        <v>794</v>
      </c>
      <c r="AM878" t="s">
        <v>795</v>
      </c>
      <c r="AN878" t="s">
        <v>796</v>
      </c>
      <c r="AO878" t="s">
        <v>16995</v>
      </c>
      <c r="AP878" t="s">
        <v>16996</v>
      </c>
      <c r="AQ878" t="s">
        <v>74</v>
      </c>
      <c r="AR878" t="s">
        <v>16997</v>
      </c>
      <c r="AS878" t="s">
        <v>16998</v>
      </c>
      <c r="AT878" t="s">
        <v>16853</v>
      </c>
      <c r="AU878">
        <v>2023</v>
      </c>
      <c r="AV878">
        <v>14</v>
      </c>
      <c r="AW878">
        <v>1</v>
      </c>
      <c r="AX878" t="s">
        <v>74</v>
      </c>
      <c r="AY878" t="s">
        <v>74</v>
      </c>
      <c r="AZ878" t="s">
        <v>74</v>
      </c>
      <c r="BA878" t="s">
        <v>74</v>
      </c>
      <c r="BB878">
        <v>1</v>
      </c>
      <c r="BC878">
        <v>13</v>
      </c>
      <c r="BD878" t="s">
        <v>74</v>
      </c>
      <c r="BE878" t="s">
        <v>16999</v>
      </c>
      <c r="BF878" t="str">
        <f>HYPERLINK("http://dx.doi.org/10.5194/hgss-14-1-2023","http://dx.doi.org/10.5194/hgss-14-1-2023")</f>
        <v>http://dx.doi.org/10.5194/hgss-14-1-2023</v>
      </c>
      <c r="BG878" t="s">
        <v>74</v>
      </c>
      <c r="BH878" t="s">
        <v>74</v>
      </c>
      <c r="BI878">
        <v>13</v>
      </c>
      <c r="BJ878" t="s">
        <v>17000</v>
      </c>
      <c r="BK878" t="s">
        <v>595</v>
      </c>
      <c r="BL878" t="s">
        <v>17001</v>
      </c>
      <c r="BM878" t="s">
        <v>17002</v>
      </c>
      <c r="BN878" t="s">
        <v>74</v>
      </c>
      <c r="BO878" t="s">
        <v>2600</v>
      </c>
      <c r="BP878" t="s">
        <v>74</v>
      </c>
      <c r="BQ878" t="s">
        <v>74</v>
      </c>
      <c r="BR878" t="s">
        <v>106</v>
      </c>
      <c r="BS878" t="s">
        <v>17003</v>
      </c>
      <c r="BT878" t="str">
        <f>HYPERLINK("https%3A%2F%2Fwww.webofscience.com%2Fwos%2Fwoscc%2Ffull-record%2FWOS:000920908400001","View Full Record in Web of Science")</f>
        <v>View Full Record in Web of Science</v>
      </c>
    </row>
    <row r="879" spans="1:72" x14ac:dyDescent="0.15">
      <c r="A879" t="s">
        <v>72</v>
      </c>
      <c r="B879" t="s">
        <v>17004</v>
      </c>
      <c r="C879" t="s">
        <v>74</v>
      </c>
      <c r="D879" t="s">
        <v>74</v>
      </c>
      <c r="E879" t="s">
        <v>74</v>
      </c>
      <c r="F879" t="s">
        <v>17005</v>
      </c>
      <c r="G879" t="s">
        <v>74</v>
      </c>
      <c r="H879" t="s">
        <v>74</v>
      </c>
      <c r="I879" t="s">
        <v>17006</v>
      </c>
      <c r="J879" t="s">
        <v>17007</v>
      </c>
      <c r="K879" t="s">
        <v>74</v>
      </c>
      <c r="L879" t="s">
        <v>74</v>
      </c>
      <c r="M879" t="s">
        <v>78</v>
      </c>
      <c r="N879" t="s">
        <v>112</v>
      </c>
      <c r="O879" t="s">
        <v>74</v>
      </c>
      <c r="P879" t="s">
        <v>74</v>
      </c>
      <c r="Q879" t="s">
        <v>74</v>
      </c>
      <c r="R879" t="s">
        <v>74</v>
      </c>
      <c r="S879" t="s">
        <v>74</v>
      </c>
      <c r="T879" t="s">
        <v>17008</v>
      </c>
      <c r="U879" t="s">
        <v>17009</v>
      </c>
      <c r="V879" t="s">
        <v>17010</v>
      </c>
      <c r="W879" t="s">
        <v>17011</v>
      </c>
      <c r="X879" t="s">
        <v>17012</v>
      </c>
      <c r="Y879" t="s">
        <v>17013</v>
      </c>
      <c r="Z879" t="s">
        <v>17014</v>
      </c>
      <c r="AA879" t="s">
        <v>17015</v>
      </c>
      <c r="AB879" t="s">
        <v>17016</v>
      </c>
      <c r="AC879" t="s">
        <v>74</v>
      </c>
      <c r="AD879" t="s">
        <v>74</v>
      </c>
      <c r="AE879" t="s">
        <v>74</v>
      </c>
      <c r="AF879" t="s">
        <v>74</v>
      </c>
      <c r="AG879">
        <v>143</v>
      </c>
      <c r="AH879">
        <v>3</v>
      </c>
      <c r="AI879">
        <v>3</v>
      </c>
      <c r="AJ879">
        <v>5</v>
      </c>
      <c r="AK879">
        <v>7</v>
      </c>
      <c r="AL879" t="s">
        <v>1101</v>
      </c>
      <c r="AM879" t="s">
        <v>179</v>
      </c>
      <c r="AN879" t="s">
        <v>1543</v>
      </c>
      <c r="AO879" t="s">
        <v>17017</v>
      </c>
      <c r="AP879" t="s">
        <v>17018</v>
      </c>
      <c r="AQ879" t="s">
        <v>74</v>
      </c>
      <c r="AR879" t="s">
        <v>17019</v>
      </c>
      <c r="AS879" t="s">
        <v>17020</v>
      </c>
      <c r="AT879" t="s">
        <v>98</v>
      </c>
      <c r="AU879">
        <v>2023</v>
      </c>
      <c r="AV879">
        <v>113</v>
      </c>
      <c r="AW879" t="s">
        <v>74</v>
      </c>
      <c r="AX879" t="s">
        <v>74</v>
      </c>
      <c r="AY879" t="s">
        <v>74</v>
      </c>
      <c r="AZ879" t="s">
        <v>74</v>
      </c>
      <c r="BA879" t="s">
        <v>74</v>
      </c>
      <c r="BB879">
        <v>1</v>
      </c>
      <c r="BC879">
        <v>28</v>
      </c>
      <c r="BD879" t="s">
        <v>17021</v>
      </c>
      <c r="BE879" t="s">
        <v>17022</v>
      </c>
      <c r="BF879" t="str">
        <f>HYPERLINK("http://dx.doi.org/10.1017/qua.2022.68","http://dx.doi.org/10.1017/qua.2022.68")</f>
        <v>http://dx.doi.org/10.1017/qua.2022.68</v>
      </c>
      <c r="BG879" t="s">
        <v>74</v>
      </c>
      <c r="BH879" t="s">
        <v>16484</v>
      </c>
      <c r="BI879">
        <v>28</v>
      </c>
      <c r="BJ879" t="s">
        <v>801</v>
      </c>
      <c r="BK879" t="s">
        <v>103</v>
      </c>
      <c r="BL879" t="s">
        <v>802</v>
      </c>
      <c r="BM879" t="s">
        <v>17023</v>
      </c>
      <c r="BN879" t="s">
        <v>74</v>
      </c>
      <c r="BO879" t="s">
        <v>3931</v>
      </c>
      <c r="BP879" t="s">
        <v>74</v>
      </c>
      <c r="BQ879" t="s">
        <v>74</v>
      </c>
      <c r="BR879" t="s">
        <v>106</v>
      </c>
      <c r="BS879" t="s">
        <v>17024</v>
      </c>
      <c r="BT879" t="str">
        <f>HYPERLINK("https%3A%2F%2Fwww.webofscience.com%2Fwos%2Fwoscc%2Ffull-record%2FWOS:000918505300001","View Full Record in Web of Science")</f>
        <v>View Full Record in Web of Science</v>
      </c>
    </row>
    <row r="880" spans="1:72" x14ac:dyDescent="0.15">
      <c r="A880" t="s">
        <v>72</v>
      </c>
      <c r="B880" t="s">
        <v>17025</v>
      </c>
      <c r="C880" t="s">
        <v>74</v>
      </c>
      <c r="D880" t="s">
        <v>74</v>
      </c>
      <c r="E880" t="s">
        <v>74</v>
      </c>
      <c r="F880" t="s">
        <v>17026</v>
      </c>
      <c r="G880" t="s">
        <v>74</v>
      </c>
      <c r="H880" t="s">
        <v>74</v>
      </c>
      <c r="I880" t="s">
        <v>17027</v>
      </c>
      <c r="J880" t="s">
        <v>1215</v>
      </c>
      <c r="K880" t="s">
        <v>74</v>
      </c>
      <c r="L880" t="s">
        <v>74</v>
      </c>
      <c r="M880" t="s">
        <v>78</v>
      </c>
      <c r="N880" t="s">
        <v>112</v>
      </c>
      <c r="O880" t="s">
        <v>74</v>
      </c>
      <c r="P880" t="s">
        <v>74</v>
      </c>
      <c r="Q880" t="s">
        <v>74</v>
      </c>
      <c r="R880" t="s">
        <v>74</v>
      </c>
      <c r="S880" t="s">
        <v>74</v>
      </c>
      <c r="T880" t="s">
        <v>17028</v>
      </c>
      <c r="U880" t="s">
        <v>17029</v>
      </c>
      <c r="V880" t="s">
        <v>17030</v>
      </c>
      <c r="W880" t="s">
        <v>17031</v>
      </c>
      <c r="X880" t="s">
        <v>17032</v>
      </c>
      <c r="Y880" t="s">
        <v>17033</v>
      </c>
      <c r="Z880" t="s">
        <v>17034</v>
      </c>
      <c r="AA880" t="s">
        <v>74</v>
      </c>
      <c r="AB880" t="s">
        <v>17035</v>
      </c>
      <c r="AC880" t="s">
        <v>17036</v>
      </c>
      <c r="AD880" t="s">
        <v>17037</v>
      </c>
      <c r="AE880" t="s">
        <v>17038</v>
      </c>
      <c r="AF880" t="s">
        <v>74</v>
      </c>
      <c r="AG880">
        <v>52</v>
      </c>
      <c r="AH880">
        <v>1</v>
      </c>
      <c r="AI880">
        <v>2</v>
      </c>
      <c r="AJ880">
        <v>5</v>
      </c>
      <c r="AK880">
        <v>12</v>
      </c>
      <c r="AL880" t="s">
        <v>700</v>
      </c>
      <c r="AM880" t="s">
        <v>701</v>
      </c>
      <c r="AN880" t="s">
        <v>702</v>
      </c>
      <c r="AO880" t="s">
        <v>74</v>
      </c>
      <c r="AP880" t="s">
        <v>1228</v>
      </c>
      <c r="AQ880" t="s">
        <v>74</v>
      </c>
      <c r="AR880" t="s">
        <v>1229</v>
      </c>
      <c r="AS880" t="s">
        <v>1230</v>
      </c>
      <c r="AT880" t="s">
        <v>17039</v>
      </c>
      <c r="AU880">
        <v>2023</v>
      </c>
      <c r="AV880">
        <v>10</v>
      </c>
      <c r="AW880" t="s">
        <v>74</v>
      </c>
      <c r="AX880" t="s">
        <v>74</v>
      </c>
      <c r="AY880" t="s">
        <v>74</v>
      </c>
      <c r="AZ880" t="s">
        <v>74</v>
      </c>
      <c r="BA880" t="s">
        <v>74</v>
      </c>
      <c r="BB880" t="s">
        <v>74</v>
      </c>
      <c r="BC880" t="s">
        <v>74</v>
      </c>
      <c r="BD880">
        <v>1087967</v>
      </c>
      <c r="BE880" t="s">
        <v>17040</v>
      </c>
      <c r="BF880" t="str">
        <f>HYPERLINK("http://dx.doi.org/10.3389/fmars.2023.1087967","http://dx.doi.org/10.3389/fmars.2023.1087967")</f>
        <v>http://dx.doi.org/10.3389/fmars.2023.1087967</v>
      </c>
      <c r="BG880" t="s">
        <v>74</v>
      </c>
      <c r="BH880" t="s">
        <v>74</v>
      </c>
      <c r="BI880">
        <v>13</v>
      </c>
      <c r="BJ880" t="s">
        <v>636</v>
      </c>
      <c r="BK880" t="s">
        <v>103</v>
      </c>
      <c r="BL880" t="s">
        <v>637</v>
      </c>
      <c r="BM880" t="s">
        <v>17041</v>
      </c>
      <c r="BN880" t="s">
        <v>74</v>
      </c>
      <c r="BO880" t="s">
        <v>136</v>
      </c>
      <c r="BP880" t="s">
        <v>74</v>
      </c>
      <c r="BQ880" t="s">
        <v>74</v>
      </c>
      <c r="BR880" t="s">
        <v>106</v>
      </c>
      <c r="BS880" t="s">
        <v>17042</v>
      </c>
      <c r="BT880" t="str">
        <f>HYPERLINK("https%3A%2F%2Fwww.webofscience.com%2Fwos%2Fwoscc%2Ffull-record%2FWOS:000933086800001","View Full Record in Web of Science")</f>
        <v>View Full Record in Web of Science</v>
      </c>
    </row>
    <row r="881" spans="1:72" x14ac:dyDescent="0.15">
      <c r="A881" t="s">
        <v>72</v>
      </c>
      <c r="B881" t="s">
        <v>17043</v>
      </c>
      <c r="C881" t="s">
        <v>74</v>
      </c>
      <c r="D881" t="s">
        <v>74</v>
      </c>
      <c r="E881" t="s">
        <v>74</v>
      </c>
      <c r="F881" t="s">
        <v>17044</v>
      </c>
      <c r="G881" t="s">
        <v>74</v>
      </c>
      <c r="H881" t="s">
        <v>74</v>
      </c>
      <c r="I881" t="s">
        <v>17045</v>
      </c>
      <c r="J881" t="s">
        <v>1215</v>
      </c>
      <c r="K881" t="s">
        <v>74</v>
      </c>
      <c r="L881" t="s">
        <v>74</v>
      </c>
      <c r="M881" t="s">
        <v>78</v>
      </c>
      <c r="N881" t="s">
        <v>112</v>
      </c>
      <c r="O881" t="s">
        <v>74</v>
      </c>
      <c r="P881" t="s">
        <v>74</v>
      </c>
      <c r="Q881" t="s">
        <v>74</v>
      </c>
      <c r="R881" t="s">
        <v>74</v>
      </c>
      <c r="S881" t="s">
        <v>74</v>
      </c>
      <c r="T881" t="s">
        <v>17046</v>
      </c>
      <c r="U881" t="s">
        <v>17047</v>
      </c>
      <c r="V881" t="s">
        <v>17048</v>
      </c>
      <c r="W881" t="s">
        <v>17049</v>
      </c>
      <c r="X881" t="s">
        <v>17050</v>
      </c>
      <c r="Y881" t="s">
        <v>17051</v>
      </c>
      <c r="Z881" t="s">
        <v>17052</v>
      </c>
      <c r="AA881" t="s">
        <v>74</v>
      </c>
      <c r="AB881" t="s">
        <v>17053</v>
      </c>
      <c r="AC881" t="s">
        <v>17054</v>
      </c>
      <c r="AD881" t="s">
        <v>17055</v>
      </c>
      <c r="AE881" t="s">
        <v>17056</v>
      </c>
      <c r="AF881" t="s">
        <v>74</v>
      </c>
      <c r="AG881">
        <v>104</v>
      </c>
      <c r="AH881">
        <v>4</v>
      </c>
      <c r="AI881">
        <v>4</v>
      </c>
      <c r="AJ881">
        <v>6</v>
      </c>
      <c r="AK881">
        <v>11</v>
      </c>
      <c r="AL881" t="s">
        <v>700</v>
      </c>
      <c r="AM881" t="s">
        <v>701</v>
      </c>
      <c r="AN881" t="s">
        <v>702</v>
      </c>
      <c r="AO881" t="s">
        <v>74</v>
      </c>
      <c r="AP881" t="s">
        <v>1228</v>
      </c>
      <c r="AQ881" t="s">
        <v>74</v>
      </c>
      <c r="AR881" t="s">
        <v>1229</v>
      </c>
      <c r="AS881" t="s">
        <v>1230</v>
      </c>
      <c r="AT881" t="s">
        <v>17039</v>
      </c>
      <c r="AU881">
        <v>2023</v>
      </c>
      <c r="AV881">
        <v>10</v>
      </c>
      <c r="AW881" t="s">
        <v>74</v>
      </c>
      <c r="AX881" t="s">
        <v>74</v>
      </c>
      <c r="AY881" t="s">
        <v>74</v>
      </c>
      <c r="AZ881" t="s">
        <v>74</v>
      </c>
      <c r="BA881" t="s">
        <v>74</v>
      </c>
      <c r="BB881" t="s">
        <v>74</v>
      </c>
      <c r="BC881" t="s">
        <v>74</v>
      </c>
      <c r="BD881">
        <v>1060984</v>
      </c>
      <c r="BE881" t="s">
        <v>17057</v>
      </c>
      <c r="BF881" t="str">
        <f>HYPERLINK("http://dx.doi.org/10.3389/fmars.2023.1060984","http://dx.doi.org/10.3389/fmars.2023.1060984")</f>
        <v>http://dx.doi.org/10.3389/fmars.2023.1060984</v>
      </c>
      <c r="BG881" t="s">
        <v>74</v>
      </c>
      <c r="BH881" t="s">
        <v>74</v>
      </c>
      <c r="BI881">
        <v>15</v>
      </c>
      <c r="BJ881" t="s">
        <v>636</v>
      </c>
      <c r="BK881" t="s">
        <v>103</v>
      </c>
      <c r="BL881" t="s">
        <v>637</v>
      </c>
      <c r="BM881" t="s">
        <v>17058</v>
      </c>
      <c r="BN881" t="s">
        <v>74</v>
      </c>
      <c r="BO881" t="s">
        <v>359</v>
      </c>
      <c r="BP881" t="s">
        <v>74</v>
      </c>
      <c r="BQ881" t="s">
        <v>74</v>
      </c>
      <c r="BR881" t="s">
        <v>106</v>
      </c>
      <c r="BS881" t="s">
        <v>17059</v>
      </c>
      <c r="BT881" t="str">
        <f>HYPERLINK("https%3A%2F%2Fwww.webofscience.com%2Fwos%2Fwoscc%2Ffull-record%2FWOS:000930608200001","View Full Record in Web of Science")</f>
        <v>View Full Record in Web of Science</v>
      </c>
    </row>
    <row r="882" spans="1:72" x14ac:dyDescent="0.15">
      <c r="A882" t="s">
        <v>72</v>
      </c>
      <c r="B882" t="s">
        <v>17060</v>
      </c>
      <c r="C882" t="s">
        <v>74</v>
      </c>
      <c r="D882" t="s">
        <v>74</v>
      </c>
      <c r="E882" t="s">
        <v>74</v>
      </c>
      <c r="F882" t="s">
        <v>17061</v>
      </c>
      <c r="G882" t="s">
        <v>74</v>
      </c>
      <c r="H882" t="s">
        <v>74</v>
      </c>
      <c r="I882" t="s">
        <v>17062</v>
      </c>
      <c r="J882" t="s">
        <v>9615</v>
      </c>
      <c r="K882" t="s">
        <v>74</v>
      </c>
      <c r="L882" t="s">
        <v>74</v>
      </c>
      <c r="M882" t="s">
        <v>78</v>
      </c>
      <c r="N882" t="s">
        <v>112</v>
      </c>
      <c r="O882" t="s">
        <v>74</v>
      </c>
      <c r="P882" t="s">
        <v>74</v>
      </c>
      <c r="Q882" t="s">
        <v>74</v>
      </c>
      <c r="R882" t="s">
        <v>74</v>
      </c>
      <c r="S882" t="s">
        <v>74</v>
      </c>
      <c r="T882" t="s">
        <v>74</v>
      </c>
      <c r="U882" t="s">
        <v>17063</v>
      </c>
      <c r="V882" t="s">
        <v>17064</v>
      </c>
      <c r="W882" t="s">
        <v>17065</v>
      </c>
      <c r="X882" t="s">
        <v>17066</v>
      </c>
      <c r="Y882" t="s">
        <v>17067</v>
      </c>
      <c r="Z882" t="s">
        <v>17068</v>
      </c>
      <c r="AA882" t="s">
        <v>17069</v>
      </c>
      <c r="AB882" t="s">
        <v>17070</v>
      </c>
      <c r="AC882" t="s">
        <v>17071</v>
      </c>
      <c r="AD882" t="s">
        <v>17072</v>
      </c>
      <c r="AE882" t="s">
        <v>17073</v>
      </c>
      <c r="AF882" t="s">
        <v>74</v>
      </c>
      <c r="AG882">
        <v>67</v>
      </c>
      <c r="AH882">
        <v>14</v>
      </c>
      <c r="AI882">
        <v>15</v>
      </c>
      <c r="AJ882">
        <v>35</v>
      </c>
      <c r="AK882">
        <v>65</v>
      </c>
      <c r="AL882" t="s">
        <v>203</v>
      </c>
      <c r="AM882" t="s">
        <v>204</v>
      </c>
      <c r="AN882" t="s">
        <v>205</v>
      </c>
      <c r="AO882" t="s">
        <v>9623</v>
      </c>
      <c r="AP882" t="s">
        <v>74</v>
      </c>
      <c r="AQ882" t="s">
        <v>74</v>
      </c>
      <c r="AR882" t="s">
        <v>9624</v>
      </c>
      <c r="AS882" t="s">
        <v>9625</v>
      </c>
      <c r="AT882" t="s">
        <v>1437</v>
      </c>
      <c r="AU882">
        <v>2023</v>
      </c>
      <c r="AV882">
        <v>6</v>
      </c>
      <c r="AW882">
        <v>4</v>
      </c>
      <c r="AX882" t="s">
        <v>74</v>
      </c>
      <c r="AY882" t="s">
        <v>74</v>
      </c>
      <c r="AZ882" t="s">
        <v>74</v>
      </c>
      <c r="BA882" t="s">
        <v>74</v>
      </c>
      <c r="BB882" t="s">
        <v>74</v>
      </c>
      <c r="BC882" t="s">
        <v>74</v>
      </c>
      <c r="BD882" t="s">
        <v>74</v>
      </c>
      <c r="BE882" t="s">
        <v>17074</v>
      </c>
      <c r="BF882" t="str">
        <f>HYPERLINK("http://dx.doi.org/10.1038/s41893-022-01043-y","http://dx.doi.org/10.1038/s41893-022-01043-y")</f>
        <v>http://dx.doi.org/10.1038/s41893-022-01043-y</v>
      </c>
      <c r="BG882" t="s">
        <v>74</v>
      </c>
      <c r="BH882" t="s">
        <v>16484</v>
      </c>
      <c r="BI882">
        <v>24</v>
      </c>
      <c r="BJ882" t="s">
        <v>594</v>
      </c>
      <c r="BK882" t="s">
        <v>595</v>
      </c>
      <c r="BL882" t="s">
        <v>596</v>
      </c>
      <c r="BM882" t="s">
        <v>17075</v>
      </c>
      <c r="BN882" t="s">
        <v>74</v>
      </c>
      <c r="BO882" t="s">
        <v>74</v>
      </c>
      <c r="BP882" t="s">
        <v>1849</v>
      </c>
      <c r="BQ882" t="s">
        <v>1850</v>
      </c>
      <c r="BR882" t="s">
        <v>106</v>
      </c>
      <c r="BS882" t="s">
        <v>17076</v>
      </c>
      <c r="BT882" t="str">
        <f>HYPERLINK("https%3A%2F%2Fwww.webofscience.com%2Fwos%2Fwoscc%2Ffull-record%2FWOS:000920854200007","View Full Record in Web of Science")</f>
        <v>View Full Record in Web of Science</v>
      </c>
    </row>
    <row r="883" spans="1:72" x14ac:dyDescent="0.15">
      <c r="A883" t="s">
        <v>72</v>
      </c>
      <c r="B883" t="s">
        <v>17077</v>
      </c>
      <c r="C883" t="s">
        <v>74</v>
      </c>
      <c r="D883" t="s">
        <v>74</v>
      </c>
      <c r="E883" t="s">
        <v>74</v>
      </c>
      <c r="F883" t="s">
        <v>17078</v>
      </c>
      <c r="G883" t="s">
        <v>74</v>
      </c>
      <c r="H883" t="s">
        <v>74</v>
      </c>
      <c r="I883" t="s">
        <v>17079</v>
      </c>
      <c r="J883" t="s">
        <v>1215</v>
      </c>
      <c r="K883" t="s">
        <v>74</v>
      </c>
      <c r="L883" t="s">
        <v>74</v>
      </c>
      <c r="M883" t="s">
        <v>78</v>
      </c>
      <c r="N883" t="s">
        <v>112</v>
      </c>
      <c r="O883" t="s">
        <v>74</v>
      </c>
      <c r="P883" t="s">
        <v>74</v>
      </c>
      <c r="Q883" t="s">
        <v>74</v>
      </c>
      <c r="R883" t="s">
        <v>74</v>
      </c>
      <c r="S883" t="s">
        <v>74</v>
      </c>
      <c r="T883" t="s">
        <v>17080</v>
      </c>
      <c r="U883" t="s">
        <v>17081</v>
      </c>
      <c r="V883" t="s">
        <v>17082</v>
      </c>
      <c r="W883" t="s">
        <v>17083</v>
      </c>
      <c r="X883" t="s">
        <v>17084</v>
      </c>
      <c r="Y883" t="s">
        <v>17085</v>
      </c>
      <c r="Z883" t="s">
        <v>17086</v>
      </c>
      <c r="AA883" t="s">
        <v>74</v>
      </c>
      <c r="AB883" t="s">
        <v>74</v>
      </c>
      <c r="AC883" t="s">
        <v>74</v>
      </c>
      <c r="AD883" t="s">
        <v>74</v>
      </c>
      <c r="AE883" t="s">
        <v>74</v>
      </c>
      <c r="AF883" t="s">
        <v>74</v>
      </c>
      <c r="AG883">
        <v>93</v>
      </c>
      <c r="AH883">
        <v>1</v>
      </c>
      <c r="AI883">
        <v>1</v>
      </c>
      <c r="AJ883">
        <v>4</v>
      </c>
      <c r="AK883">
        <v>12</v>
      </c>
      <c r="AL883" t="s">
        <v>700</v>
      </c>
      <c r="AM883" t="s">
        <v>701</v>
      </c>
      <c r="AN883" t="s">
        <v>702</v>
      </c>
      <c r="AO883" t="s">
        <v>74</v>
      </c>
      <c r="AP883" t="s">
        <v>1228</v>
      </c>
      <c r="AQ883" t="s">
        <v>74</v>
      </c>
      <c r="AR883" t="s">
        <v>1229</v>
      </c>
      <c r="AS883" t="s">
        <v>1230</v>
      </c>
      <c r="AT883" t="s">
        <v>17039</v>
      </c>
      <c r="AU883">
        <v>2023</v>
      </c>
      <c r="AV883">
        <v>9</v>
      </c>
      <c r="AW883" t="s">
        <v>74</v>
      </c>
      <c r="AX883" t="s">
        <v>74</v>
      </c>
      <c r="AY883" t="s">
        <v>74</v>
      </c>
      <c r="AZ883" t="s">
        <v>74</v>
      </c>
      <c r="BA883" t="s">
        <v>74</v>
      </c>
      <c r="BB883" t="s">
        <v>74</v>
      </c>
      <c r="BC883" t="s">
        <v>74</v>
      </c>
      <c r="BD883">
        <v>857560</v>
      </c>
      <c r="BE883" t="s">
        <v>17087</v>
      </c>
      <c r="BF883" t="str">
        <f>HYPERLINK("http://dx.doi.org/10.3389/fmars.2022.857560","http://dx.doi.org/10.3389/fmars.2022.857560")</f>
        <v>http://dx.doi.org/10.3389/fmars.2022.857560</v>
      </c>
      <c r="BG883" t="s">
        <v>74</v>
      </c>
      <c r="BH883" t="s">
        <v>74</v>
      </c>
      <c r="BI883">
        <v>17</v>
      </c>
      <c r="BJ883" t="s">
        <v>636</v>
      </c>
      <c r="BK883" t="s">
        <v>103</v>
      </c>
      <c r="BL883" t="s">
        <v>637</v>
      </c>
      <c r="BM883" t="s">
        <v>17088</v>
      </c>
      <c r="BN883" t="s">
        <v>74</v>
      </c>
      <c r="BO883" t="s">
        <v>359</v>
      </c>
      <c r="BP883" t="s">
        <v>74</v>
      </c>
      <c r="BQ883" t="s">
        <v>74</v>
      </c>
      <c r="BR883" t="s">
        <v>106</v>
      </c>
      <c r="BS883" t="s">
        <v>17089</v>
      </c>
      <c r="BT883" t="str">
        <f>HYPERLINK("https%3A%2F%2Fwww.webofscience.com%2Fwos%2Fwoscc%2Ffull-record%2FWOS:000928738900001","View Full Record in Web of Science")</f>
        <v>View Full Record in Web of Science</v>
      </c>
    </row>
    <row r="884" spans="1:72" x14ac:dyDescent="0.15">
      <c r="A884" t="s">
        <v>72</v>
      </c>
      <c r="B884" t="s">
        <v>17090</v>
      </c>
      <c r="C884" t="s">
        <v>74</v>
      </c>
      <c r="D884" t="s">
        <v>74</v>
      </c>
      <c r="E884" t="s">
        <v>74</v>
      </c>
      <c r="F884" t="s">
        <v>17091</v>
      </c>
      <c r="G884" t="s">
        <v>74</v>
      </c>
      <c r="H884" t="s">
        <v>74</v>
      </c>
      <c r="I884" t="s">
        <v>17092</v>
      </c>
      <c r="J884" t="s">
        <v>7278</v>
      </c>
      <c r="K884" t="s">
        <v>74</v>
      </c>
      <c r="L884" t="s">
        <v>74</v>
      </c>
      <c r="M884" t="s">
        <v>78</v>
      </c>
      <c r="N884" t="s">
        <v>112</v>
      </c>
      <c r="O884" t="s">
        <v>74</v>
      </c>
      <c r="P884" t="s">
        <v>74</v>
      </c>
      <c r="Q884" t="s">
        <v>74</v>
      </c>
      <c r="R884" t="s">
        <v>74</v>
      </c>
      <c r="S884" t="s">
        <v>74</v>
      </c>
      <c r="T884" t="s">
        <v>74</v>
      </c>
      <c r="U884" t="s">
        <v>17093</v>
      </c>
      <c r="V884" t="s">
        <v>17094</v>
      </c>
      <c r="W884" t="s">
        <v>17095</v>
      </c>
      <c r="X884" t="s">
        <v>17096</v>
      </c>
      <c r="Y884" t="s">
        <v>17097</v>
      </c>
      <c r="Z884" t="s">
        <v>17098</v>
      </c>
      <c r="AA884" t="s">
        <v>17099</v>
      </c>
      <c r="AB884" t="s">
        <v>17100</v>
      </c>
      <c r="AC884" t="s">
        <v>17101</v>
      </c>
      <c r="AD884" t="s">
        <v>17102</v>
      </c>
      <c r="AE884" t="s">
        <v>17103</v>
      </c>
      <c r="AF884" t="s">
        <v>74</v>
      </c>
      <c r="AG884">
        <v>41</v>
      </c>
      <c r="AH884">
        <v>11</v>
      </c>
      <c r="AI884">
        <v>11</v>
      </c>
      <c r="AJ884">
        <v>6</v>
      </c>
      <c r="AK884">
        <v>9</v>
      </c>
      <c r="AL884" t="s">
        <v>203</v>
      </c>
      <c r="AM884" t="s">
        <v>204</v>
      </c>
      <c r="AN884" t="s">
        <v>205</v>
      </c>
      <c r="AO884" t="s">
        <v>7290</v>
      </c>
      <c r="AP884" t="s">
        <v>7291</v>
      </c>
      <c r="AQ884" t="s">
        <v>74</v>
      </c>
      <c r="AR884" t="s">
        <v>7292</v>
      </c>
      <c r="AS884" t="s">
        <v>7293</v>
      </c>
      <c r="AT884" t="s">
        <v>8210</v>
      </c>
      <c r="AU884">
        <v>2023</v>
      </c>
      <c r="AV884">
        <v>13</v>
      </c>
      <c r="AW884">
        <v>2</v>
      </c>
      <c r="AX884" t="s">
        <v>74</v>
      </c>
      <c r="AY884" t="s">
        <v>74</v>
      </c>
      <c r="AZ884" t="s">
        <v>74</v>
      </c>
      <c r="BA884" t="s">
        <v>74</v>
      </c>
      <c r="BB884">
        <v>161</v>
      </c>
      <c r="BC884" t="s">
        <v>1385</v>
      </c>
      <c r="BD884" t="s">
        <v>74</v>
      </c>
      <c r="BE884" t="s">
        <v>17104</v>
      </c>
      <c r="BF884" t="str">
        <f>HYPERLINK("http://dx.doi.org/10.1038/s41558-022-01577-1","http://dx.doi.org/10.1038/s41558-022-01577-1")</f>
        <v>http://dx.doi.org/10.1038/s41558-022-01577-1</v>
      </c>
      <c r="BG884" t="s">
        <v>74</v>
      </c>
      <c r="BH884" t="s">
        <v>16484</v>
      </c>
      <c r="BI884">
        <v>11</v>
      </c>
      <c r="BJ884" t="s">
        <v>7296</v>
      </c>
      <c r="BK884" t="s">
        <v>595</v>
      </c>
      <c r="BL884" t="s">
        <v>357</v>
      </c>
      <c r="BM884" t="s">
        <v>17105</v>
      </c>
      <c r="BN884" t="s">
        <v>74</v>
      </c>
      <c r="BO884" t="s">
        <v>3168</v>
      </c>
      <c r="BP884" t="s">
        <v>74</v>
      </c>
      <c r="BQ884" t="s">
        <v>74</v>
      </c>
      <c r="BR884" t="s">
        <v>106</v>
      </c>
      <c r="BS884" t="s">
        <v>17106</v>
      </c>
      <c r="BT884" t="str">
        <f>HYPERLINK("https%3A%2F%2Fwww.webofscience.com%2Fwos%2Fwoscc%2Ffull-record%2FWOS:000923635600001","View Full Record in Web of Science")</f>
        <v>View Full Record in Web of Science</v>
      </c>
    </row>
    <row r="885" spans="1:72" x14ac:dyDescent="0.15">
      <c r="A885" t="s">
        <v>72</v>
      </c>
      <c r="B885" t="s">
        <v>17107</v>
      </c>
      <c r="C885" t="s">
        <v>74</v>
      </c>
      <c r="D885" t="s">
        <v>74</v>
      </c>
      <c r="E885" t="s">
        <v>74</v>
      </c>
      <c r="F885" t="s">
        <v>17108</v>
      </c>
      <c r="G885" t="s">
        <v>74</v>
      </c>
      <c r="H885" t="s">
        <v>74</v>
      </c>
      <c r="I885" t="s">
        <v>17109</v>
      </c>
      <c r="J885" t="s">
        <v>2541</v>
      </c>
      <c r="K885" t="s">
        <v>74</v>
      </c>
      <c r="L885" t="s">
        <v>74</v>
      </c>
      <c r="M885" t="s">
        <v>78</v>
      </c>
      <c r="N885" t="s">
        <v>112</v>
      </c>
      <c r="O885" t="s">
        <v>74</v>
      </c>
      <c r="P885" t="s">
        <v>74</v>
      </c>
      <c r="Q885" t="s">
        <v>74</v>
      </c>
      <c r="R885" t="s">
        <v>74</v>
      </c>
      <c r="S885" t="s">
        <v>74</v>
      </c>
      <c r="T885" t="s">
        <v>74</v>
      </c>
      <c r="U885" t="s">
        <v>17110</v>
      </c>
      <c r="V885" t="s">
        <v>17111</v>
      </c>
      <c r="W885" t="s">
        <v>17112</v>
      </c>
      <c r="X885" t="s">
        <v>17113</v>
      </c>
      <c r="Y885" t="s">
        <v>17114</v>
      </c>
      <c r="Z885" t="s">
        <v>17115</v>
      </c>
      <c r="AA885" t="s">
        <v>17116</v>
      </c>
      <c r="AB885" t="s">
        <v>17117</v>
      </c>
      <c r="AC885" t="s">
        <v>17118</v>
      </c>
      <c r="AD885" t="s">
        <v>17119</v>
      </c>
      <c r="AE885" t="s">
        <v>17120</v>
      </c>
      <c r="AF885" t="s">
        <v>74</v>
      </c>
      <c r="AG885">
        <v>62</v>
      </c>
      <c r="AH885">
        <v>6</v>
      </c>
      <c r="AI885">
        <v>6</v>
      </c>
      <c r="AJ885">
        <v>1</v>
      </c>
      <c r="AK885">
        <v>11</v>
      </c>
      <c r="AL885" t="s">
        <v>794</v>
      </c>
      <c r="AM885" t="s">
        <v>795</v>
      </c>
      <c r="AN885" t="s">
        <v>796</v>
      </c>
      <c r="AO885" t="s">
        <v>2553</v>
      </c>
      <c r="AP885" t="s">
        <v>2554</v>
      </c>
      <c r="AQ885" t="s">
        <v>74</v>
      </c>
      <c r="AR885" t="s">
        <v>2555</v>
      </c>
      <c r="AS885" t="s">
        <v>2556</v>
      </c>
      <c r="AT885" t="s">
        <v>17039</v>
      </c>
      <c r="AU885">
        <v>2023</v>
      </c>
      <c r="AV885">
        <v>23</v>
      </c>
      <c r="AW885">
        <v>2</v>
      </c>
      <c r="AX885" t="s">
        <v>74</v>
      </c>
      <c r="AY885" t="s">
        <v>74</v>
      </c>
      <c r="AZ885" t="s">
        <v>74</v>
      </c>
      <c r="BA885" t="s">
        <v>74</v>
      </c>
      <c r="BB885">
        <v>1491</v>
      </c>
      <c r="BC885">
        <v>1509</v>
      </c>
      <c r="BD885" t="s">
        <v>74</v>
      </c>
      <c r="BE885" t="s">
        <v>17121</v>
      </c>
      <c r="BF885" t="str">
        <f>HYPERLINK("http://dx.doi.org/10.5194/acp-23-1491-2023","http://dx.doi.org/10.5194/acp-23-1491-2023")</f>
        <v>http://dx.doi.org/10.5194/acp-23-1491-2023</v>
      </c>
      <c r="BG885" t="s">
        <v>74</v>
      </c>
      <c r="BH885" t="s">
        <v>74</v>
      </c>
      <c r="BI885">
        <v>19</v>
      </c>
      <c r="BJ885" t="s">
        <v>356</v>
      </c>
      <c r="BK885" t="s">
        <v>103</v>
      </c>
      <c r="BL885" t="s">
        <v>357</v>
      </c>
      <c r="BM885" t="s">
        <v>17122</v>
      </c>
      <c r="BN885" t="s">
        <v>74</v>
      </c>
      <c r="BO885" t="s">
        <v>8953</v>
      </c>
      <c r="BP885" t="s">
        <v>74</v>
      </c>
      <c r="BQ885" t="s">
        <v>74</v>
      </c>
      <c r="BR885" t="s">
        <v>106</v>
      </c>
      <c r="BS885" t="s">
        <v>17123</v>
      </c>
      <c r="BT885" t="str">
        <f>HYPERLINK("https%3A%2F%2Fwww.webofscience.com%2Fwos%2Fwoscc%2Ffull-record%2FWOS:000922823300001","View Full Record in Web of Science")</f>
        <v>View Full Record in Web of Science</v>
      </c>
    </row>
    <row r="886" spans="1:72" x14ac:dyDescent="0.15">
      <c r="A886" t="s">
        <v>72</v>
      </c>
      <c r="B886" t="s">
        <v>17124</v>
      </c>
      <c r="C886" t="s">
        <v>74</v>
      </c>
      <c r="D886" t="s">
        <v>74</v>
      </c>
      <c r="E886" t="s">
        <v>74</v>
      </c>
      <c r="F886" t="s">
        <v>17125</v>
      </c>
      <c r="G886" t="s">
        <v>74</v>
      </c>
      <c r="H886" t="s">
        <v>74</v>
      </c>
      <c r="I886" t="s">
        <v>17126</v>
      </c>
      <c r="J886" t="s">
        <v>17127</v>
      </c>
      <c r="K886" t="s">
        <v>74</v>
      </c>
      <c r="L886" t="s">
        <v>74</v>
      </c>
      <c r="M886" t="s">
        <v>78</v>
      </c>
      <c r="N886" t="s">
        <v>112</v>
      </c>
      <c r="O886" t="s">
        <v>74</v>
      </c>
      <c r="P886" t="s">
        <v>74</v>
      </c>
      <c r="Q886" t="s">
        <v>74</v>
      </c>
      <c r="R886" t="s">
        <v>74</v>
      </c>
      <c r="S886" t="s">
        <v>74</v>
      </c>
      <c r="T886" t="s">
        <v>17128</v>
      </c>
      <c r="U886" t="s">
        <v>17129</v>
      </c>
      <c r="V886" t="s">
        <v>17130</v>
      </c>
      <c r="W886" t="s">
        <v>17131</v>
      </c>
      <c r="X886" t="s">
        <v>17132</v>
      </c>
      <c r="Y886" t="s">
        <v>17133</v>
      </c>
      <c r="Z886" t="s">
        <v>17134</v>
      </c>
      <c r="AA886" t="s">
        <v>17135</v>
      </c>
      <c r="AB886" t="s">
        <v>17136</v>
      </c>
      <c r="AC886" t="s">
        <v>17137</v>
      </c>
      <c r="AD886" t="s">
        <v>17138</v>
      </c>
      <c r="AE886" t="s">
        <v>17139</v>
      </c>
      <c r="AF886" t="s">
        <v>74</v>
      </c>
      <c r="AG886">
        <v>30</v>
      </c>
      <c r="AH886">
        <v>18</v>
      </c>
      <c r="AI886">
        <v>20</v>
      </c>
      <c r="AJ886">
        <v>5</v>
      </c>
      <c r="AK886">
        <v>10</v>
      </c>
      <c r="AL886" t="s">
        <v>2092</v>
      </c>
      <c r="AM886" t="s">
        <v>2093</v>
      </c>
      <c r="AN886" t="s">
        <v>2094</v>
      </c>
      <c r="AO886" t="s">
        <v>17140</v>
      </c>
      <c r="AP886" t="s">
        <v>17141</v>
      </c>
      <c r="AQ886" t="s">
        <v>74</v>
      </c>
      <c r="AR886" t="s">
        <v>17142</v>
      </c>
      <c r="AS886" t="s">
        <v>17143</v>
      </c>
      <c r="AT886" t="s">
        <v>8042</v>
      </c>
      <c r="AU886">
        <v>2023</v>
      </c>
      <c r="AV886">
        <v>14</v>
      </c>
      <c r="AW886">
        <v>3</v>
      </c>
      <c r="AX886" t="s">
        <v>74</v>
      </c>
      <c r="AY886" t="s">
        <v>74</v>
      </c>
      <c r="AZ886" t="s">
        <v>74</v>
      </c>
      <c r="BA886" t="s">
        <v>74</v>
      </c>
      <c r="BB886">
        <v>806</v>
      </c>
      <c r="BC886">
        <v>816</v>
      </c>
      <c r="BD886" t="s">
        <v>74</v>
      </c>
      <c r="BE886" t="s">
        <v>17144</v>
      </c>
      <c r="BF886" t="str">
        <f>HYPERLINK("http://dx.doi.org/10.1111/2041-210X.14060","http://dx.doi.org/10.1111/2041-210X.14060")</f>
        <v>http://dx.doi.org/10.1111/2041-210X.14060</v>
      </c>
      <c r="BG886" t="s">
        <v>74</v>
      </c>
      <c r="BH886" t="s">
        <v>16484</v>
      </c>
      <c r="BI886">
        <v>11</v>
      </c>
      <c r="BJ886" t="s">
        <v>2101</v>
      </c>
      <c r="BK886" t="s">
        <v>103</v>
      </c>
      <c r="BL886" t="s">
        <v>1164</v>
      </c>
      <c r="BM886" t="s">
        <v>17145</v>
      </c>
      <c r="BN886" t="s">
        <v>74</v>
      </c>
      <c r="BO886" t="s">
        <v>6496</v>
      </c>
      <c r="BP886" t="s">
        <v>1849</v>
      </c>
      <c r="BQ886" t="s">
        <v>1850</v>
      </c>
      <c r="BR886" t="s">
        <v>106</v>
      </c>
      <c r="BS886" t="s">
        <v>17146</v>
      </c>
      <c r="BT886" t="str">
        <f>HYPERLINK("https%3A%2F%2Fwww.webofscience.com%2Fwos%2Fwoscc%2Ffull-record%2FWOS:000920797800001","View Full Record in Web of Science")</f>
        <v>View Full Record in Web of Science</v>
      </c>
    </row>
    <row r="887" spans="1:72" x14ac:dyDescent="0.15">
      <c r="A887" t="s">
        <v>72</v>
      </c>
      <c r="B887" t="s">
        <v>17147</v>
      </c>
      <c r="C887" t="s">
        <v>74</v>
      </c>
      <c r="D887" t="s">
        <v>74</v>
      </c>
      <c r="E887" t="s">
        <v>74</v>
      </c>
      <c r="F887" t="s">
        <v>17148</v>
      </c>
      <c r="G887" t="s">
        <v>74</v>
      </c>
      <c r="H887" t="s">
        <v>74</v>
      </c>
      <c r="I887" t="s">
        <v>17149</v>
      </c>
      <c r="J887" t="s">
        <v>17150</v>
      </c>
      <c r="K887" t="s">
        <v>74</v>
      </c>
      <c r="L887" t="s">
        <v>74</v>
      </c>
      <c r="M887" t="s">
        <v>78</v>
      </c>
      <c r="N887" t="s">
        <v>112</v>
      </c>
      <c r="O887" t="s">
        <v>74</v>
      </c>
      <c r="P887" t="s">
        <v>74</v>
      </c>
      <c r="Q887" t="s">
        <v>74</v>
      </c>
      <c r="R887" t="s">
        <v>74</v>
      </c>
      <c r="S887" t="s">
        <v>74</v>
      </c>
      <c r="T887" t="s">
        <v>17151</v>
      </c>
      <c r="U887" t="s">
        <v>17152</v>
      </c>
      <c r="V887" t="s">
        <v>17153</v>
      </c>
      <c r="W887" t="s">
        <v>17154</v>
      </c>
      <c r="X887" t="s">
        <v>17155</v>
      </c>
      <c r="Y887" t="s">
        <v>17156</v>
      </c>
      <c r="Z887" t="s">
        <v>17157</v>
      </c>
      <c r="AA887" t="s">
        <v>74</v>
      </c>
      <c r="AB887" t="s">
        <v>17158</v>
      </c>
      <c r="AC887" t="s">
        <v>74</v>
      </c>
      <c r="AD887" t="s">
        <v>74</v>
      </c>
      <c r="AE887" t="s">
        <v>74</v>
      </c>
      <c r="AF887" t="s">
        <v>74</v>
      </c>
      <c r="AG887">
        <v>52</v>
      </c>
      <c r="AH887">
        <v>0</v>
      </c>
      <c r="AI887">
        <v>0</v>
      </c>
      <c r="AJ887">
        <v>1</v>
      </c>
      <c r="AK887">
        <v>3</v>
      </c>
      <c r="AL887" t="s">
        <v>1129</v>
      </c>
      <c r="AM887" t="s">
        <v>1130</v>
      </c>
      <c r="AN887" t="s">
        <v>1131</v>
      </c>
      <c r="AO887" t="s">
        <v>17159</v>
      </c>
      <c r="AP887" t="s">
        <v>17160</v>
      </c>
      <c r="AQ887" t="s">
        <v>74</v>
      </c>
      <c r="AR887" t="s">
        <v>17161</v>
      </c>
      <c r="AS887" t="s">
        <v>17162</v>
      </c>
      <c r="AT887" t="s">
        <v>17039</v>
      </c>
      <c r="AU887">
        <v>2023</v>
      </c>
      <c r="AV887" t="s">
        <v>74</v>
      </c>
      <c r="AW887">
        <v>51</v>
      </c>
      <c r="AX887" t="s">
        <v>74</v>
      </c>
      <c r="AY887" t="s">
        <v>74</v>
      </c>
      <c r="AZ887" t="s">
        <v>74</v>
      </c>
      <c r="BA887" t="s">
        <v>74</v>
      </c>
      <c r="BB887">
        <v>1</v>
      </c>
      <c r="BC887">
        <v>12</v>
      </c>
      <c r="BD887" t="s">
        <v>74</v>
      </c>
      <c r="BE887" t="s">
        <v>17163</v>
      </c>
      <c r="BF887" t="str">
        <f>HYPERLINK("http://dx.doi.org/10.3897/natureconservation.51.95690","http://dx.doi.org/10.3897/natureconservation.51.95690")</f>
        <v>http://dx.doi.org/10.3897/natureconservation.51.95690</v>
      </c>
      <c r="BG887" t="s">
        <v>74</v>
      </c>
      <c r="BH887" t="s">
        <v>74</v>
      </c>
      <c r="BI887">
        <v>12</v>
      </c>
      <c r="BJ887" t="s">
        <v>1139</v>
      </c>
      <c r="BK887" t="s">
        <v>103</v>
      </c>
      <c r="BL887" t="s">
        <v>1140</v>
      </c>
      <c r="BM887" t="s">
        <v>17164</v>
      </c>
      <c r="BN887" t="s">
        <v>74</v>
      </c>
      <c r="BO887" t="s">
        <v>1702</v>
      </c>
      <c r="BP887" t="s">
        <v>74</v>
      </c>
      <c r="BQ887" t="s">
        <v>74</v>
      </c>
      <c r="BR887" t="s">
        <v>106</v>
      </c>
      <c r="BS887" t="s">
        <v>17165</v>
      </c>
      <c r="BT887" t="str">
        <f>HYPERLINK("https%3A%2F%2Fwww.webofscience.com%2Fwos%2Fwoscc%2Ffull-record%2FWOS:000928834100001","View Full Record in Web of Science")</f>
        <v>View Full Record in Web of Science</v>
      </c>
    </row>
    <row r="888" spans="1:72" x14ac:dyDescent="0.15">
      <c r="A888" t="s">
        <v>72</v>
      </c>
      <c r="B888" t="s">
        <v>17166</v>
      </c>
      <c r="C888" t="s">
        <v>74</v>
      </c>
      <c r="D888" t="s">
        <v>74</v>
      </c>
      <c r="E888" t="s">
        <v>74</v>
      </c>
      <c r="F888" t="s">
        <v>17167</v>
      </c>
      <c r="G888" t="s">
        <v>74</v>
      </c>
      <c r="H888" t="s">
        <v>74</v>
      </c>
      <c r="I888" t="s">
        <v>17168</v>
      </c>
      <c r="J888" t="s">
        <v>955</v>
      </c>
      <c r="K888" t="s">
        <v>74</v>
      </c>
      <c r="L888" t="s">
        <v>74</v>
      </c>
      <c r="M888" t="s">
        <v>78</v>
      </c>
      <c r="N888" t="s">
        <v>112</v>
      </c>
      <c r="O888" t="s">
        <v>74</v>
      </c>
      <c r="P888" t="s">
        <v>74</v>
      </c>
      <c r="Q888" t="s">
        <v>74</v>
      </c>
      <c r="R888" t="s">
        <v>74</v>
      </c>
      <c r="S888" t="s">
        <v>74</v>
      </c>
      <c r="T888" t="s">
        <v>17169</v>
      </c>
      <c r="U888" t="s">
        <v>17170</v>
      </c>
      <c r="V888" t="s">
        <v>17171</v>
      </c>
      <c r="W888" t="s">
        <v>17172</v>
      </c>
      <c r="X888" t="s">
        <v>17173</v>
      </c>
      <c r="Y888" t="s">
        <v>17174</v>
      </c>
      <c r="Z888" t="s">
        <v>17175</v>
      </c>
      <c r="AA888" t="s">
        <v>17176</v>
      </c>
      <c r="AB888" t="s">
        <v>17177</v>
      </c>
      <c r="AC888" t="s">
        <v>17178</v>
      </c>
      <c r="AD888" t="s">
        <v>17179</v>
      </c>
      <c r="AE888" t="s">
        <v>17180</v>
      </c>
      <c r="AF888" t="s">
        <v>74</v>
      </c>
      <c r="AG888">
        <v>97</v>
      </c>
      <c r="AH888">
        <v>2</v>
      </c>
      <c r="AI888">
        <v>2</v>
      </c>
      <c r="AJ888">
        <v>4</v>
      </c>
      <c r="AK888">
        <v>6</v>
      </c>
      <c r="AL888" t="s">
        <v>447</v>
      </c>
      <c r="AM888" t="s">
        <v>448</v>
      </c>
      <c r="AN888" t="s">
        <v>449</v>
      </c>
      <c r="AO888" t="s">
        <v>968</v>
      </c>
      <c r="AP888" t="s">
        <v>969</v>
      </c>
      <c r="AQ888" t="s">
        <v>74</v>
      </c>
      <c r="AR888" t="s">
        <v>970</v>
      </c>
      <c r="AS888" t="s">
        <v>971</v>
      </c>
      <c r="AT888" t="s">
        <v>8042</v>
      </c>
      <c r="AU888">
        <v>2023</v>
      </c>
      <c r="AV888">
        <v>239</v>
      </c>
      <c r="AW888" t="s">
        <v>74</v>
      </c>
      <c r="AX888" t="s">
        <v>74</v>
      </c>
      <c r="AY888" t="s">
        <v>74</v>
      </c>
      <c r="AZ888" t="s">
        <v>74</v>
      </c>
      <c r="BA888" t="s">
        <v>74</v>
      </c>
      <c r="BB888" t="s">
        <v>74</v>
      </c>
      <c r="BC888" t="s">
        <v>74</v>
      </c>
      <c r="BD888">
        <v>103858</v>
      </c>
      <c r="BE888" t="s">
        <v>17181</v>
      </c>
      <c r="BF888" t="str">
        <f>HYPERLINK("http://dx.doi.org/10.1016/j.jmarsys.2023.103858","http://dx.doi.org/10.1016/j.jmarsys.2023.103858")</f>
        <v>http://dx.doi.org/10.1016/j.jmarsys.2023.103858</v>
      </c>
      <c r="BG888" t="s">
        <v>74</v>
      </c>
      <c r="BH888" t="s">
        <v>16484</v>
      </c>
      <c r="BI888">
        <v>12</v>
      </c>
      <c r="BJ888" t="s">
        <v>974</v>
      </c>
      <c r="BK888" t="s">
        <v>103</v>
      </c>
      <c r="BL888" t="s">
        <v>975</v>
      </c>
      <c r="BM888" t="s">
        <v>17182</v>
      </c>
      <c r="BN888" t="s">
        <v>74</v>
      </c>
      <c r="BO888" t="s">
        <v>1389</v>
      </c>
      <c r="BP888" t="s">
        <v>74</v>
      </c>
      <c r="BQ888" t="s">
        <v>74</v>
      </c>
      <c r="BR888" t="s">
        <v>106</v>
      </c>
      <c r="BS888" t="s">
        <v>17183</v>
      </c>
      <c r="BT888" t="str">
        <f>HYPERLINK("https%3A%2F%2Fwww.webofscience.com%2Fwos%2Fwoscc%2Ffull-record%2FWOS:000961153900001","View Full Record in Web of Science")</f>
        <v>View Full Record in Web of Science</v>
      </c>
    </row>
    <row r="889" spans="1:72" x14ac:dyDescent="0.15">
      <c r="A889" t="s">
        <v>72</v>
      </c>
      <c r="B889" t="s">
        <v>17184</v>
      </c>
      <c r="C889" t="s">
        <v>74</v>
      </c>
      <c r="D889" t="s">
        <v>74</v>
      </c>
      <c r="E889" t="s">
        <v>74</v>
      </c>
      <c r="F889" t="s">
        <v>17185</v>
      </c>
      <c r="G889" t="s">
        <v>74</v>
      </c>
      <c r="H889" t="s">
        <v>74</v>
      </c>
      <c r="I889" t="s">
        <v>17186</v>
      </c>
      <c r="J889" t="s">
        <v>17187</v>
      </c>
      <c r="K889" t="s">
        <v>74</v>
      </c>
      <c r="L889" t="s">
        <v>74</v>
      </c>
      <c r="M889" t="s">
        <v>78</v>
      </c>
      <c r="N889" t="s">
        <v>112</v>
      </c>
      <c r="O889" t="s">
        <v>74</v>
      </c>
      <c r="P889" t="s">
        <v>74</v>
      </c>
      <c r="Q889" t="s">
        <v>74</v>
      </c>
      <c r="R889" t="s">
        <v>74</v>
      </c>
      <c r="S889" t="s">
        <v>74</v>
      </c>
      <c r="T889" t="s">
        <v>17188</v>
      </c>
      <c r="U889" t="s">
        <v>17189</v>
      </c>
      <c r="V889" t="s">
        <v>17190</v>
      </c>
      <c r="W889" t="s">
        <v>17191</v>
      </c>
      <c r="X889" t="s">
        <v>17192</v>
      </c>
      <c r="Y889" t="s">
        <v>17193</v>
      </c>
      <c r="Z889" t="s">
        <v>17194</v>
      </c>
      <c r="AA889" t="s">
        <v>17195</v>
      </c>
      <c r="AB889" t="s">
        <v>17196</v>
      </c>
      <c r="AC889" t="s">
        <v>17197</v>
      </c>
      <c r="AD889" t="s">
        <v>17198</v>
      </c>
      <c r="AE889" t="s">
        <v>17199</v>
      </c>
      <c r="AF889" t="s">
        <v>74</v>
      </c>
      <c r="AG889">
        <v>50</v>
      </c>
      <c r="AH889">
        <v>3</v>
      </c>
      <c r="AI889">
        <v>3</v>
      </c>
      <c r="AJ889">
        <v>0</v>
      </c>
      <c r="AK889">
        <v>2</v>
      </c>
      <c r="AL889" t="s">
        <v>2399</v>
      </c>
      <c r="AM889" t="s">
        <v>525</v>
      </c>
      <c r="AN889" t="s">
        <v>2400</v>
      </c>
      <c r="AO889" t="s">
        <v>17200</v>
      </c>
      <c r="AP889" t="s">
        <v>17201</v>
      </c>
      <c r="AQ889" t="s">
        <v>74</v>
      </c>
      <c r="AR889" t="s">
        <v>17202</v>
      </c>
      <c r="AS889" t="s">
        <v>17203</v>
      </c>
      <c r="AT889" t="s">
        <v>17204</v>
      </c>
      <c r="AU889">
        <v>2023</v>
      </c>
      <c r="AV889">
        <v>479</v>
      </c>
      <c r="AW889">
        <v>2269</v>
      </c>
      <c r="AX889" t="s">
        <v>74</v>
      </c>
      <c r="AY889" t="s">
        <v>74</v>
      </c>
      <c r="AZ889" t="s">
        <v>74</v>
      </c>
      <c r="BA889" t="s">
        <v>74</v>
      </c>
      <c r="BB889" t="s">
        <v>74</v>
      </c>
      <c r="BC889" t="s">
        <v>74</v>
      </c>
      <c r="BD889">
        <v>20220536</v>
      </c>
      <c r="BE889" t="s">
        <v>17205</v>
      </c>
      <c r="BF889" t="str">
        <f>HYPERLINK("http://dx.doi.org/10.1098/rspa.2022.0536","http://dx.doi.org/10.1098/rspa.2022.0536")</f>
        <v>http://dx.doi.org/10.1098/rspa.2022.0536</v>
      </c>
      <c r="BG889" t="s">
        <v>74</v>
      </c>
      <c r="BH889" t="s">
        <v>74</v>
      </c>
      <c r="BI889">
        <v>24</v>
      </c>
      <c r="BJ889" t="s">
        <v>210</v>
      </c>
      <c r="BK889" t="s">
        <v>103</v>
      </c>
      <c r="BL889" t="s">
        <v>211</v>
      </c>
      <c r="BM889" t="s">
        <v>17206</v>
      </c>
      <c r="BN889" t="s">
        <v>74</v>
      </c>
      <c r="BO889" t="s">
        <v>17207</v>
      </c>
      <c r="BP889" t="s">
        <v>74</v>
      </c>
      <c r="BQ889" t="s">
        <v>74</v>
      </c>
      <c r="BR889" t="s">
        <v>106</v>
      </c>
      <c r="BS889" t="s">
        <v>17208</v>
      </c>
      <c r="BT889" t="str">
        <f>HYPERLINK("https%3A%2F%2Fwww.webofscience.com%2Fwos%2Fwoscc%2Ffull-record%2FWOS:000952696900009","View Full Record in Web of Science")</f>
        <v>View Full Record in Web of Science</v>
      </c>
    </row>
    <row r="890" spans="1:72" x14ac:dyDescent="0.15">
      <c r="A890" t="s">
        <v>72</v>
      </c>
      <c r="B890" t="s">
        <v>17209</v>
      </c>
      <c r="C890" t="s">
        <v>74</v>
      </c>
      <c r="D890" t="s">
        <v>74</v>
      </c>
      <c r="E890" t="s">
        <v>74</v>
      </c>
      <c r="F890" t="s">
        <v>17210</v>
      </c>
      <c r="G890" t="s">
        <v>74</v>
      </c>
      <c r="H890" t="s">
        <v>74</v>
      </c>
      <c r="I890" t="s">
        <v>17211</v>
      </c>
      <c r="J890" t="s">
        <v>12575</v>
      </c>
      <c r="K890" t="s">
        <v>74</v>
      </c>
      <c r="L890" t="s">
        <v>74</v>
      </c>
      <c r="M890" t="s">
        <v>78</v>
      </c>
      <c r="N890" t="s">
        <v>3844</v>
      </c>
      <c r="O890" t="s">
        <v>74</v>
      </c>
      <c r="P890" t="s">
        <v>74</v>
      </c>
      <c r="Q890" t="s">
        <v>74</v>
      </c>
      <c r="R890" t="s">
        <v>74</v>
      </c>
      <c r="S890" t="s">
        <v>74</v>
      </c>
      <c r="T890" t="s">
        <v>17212</v>
      </c>
      <c r="U890" t="s">
        <v>74</v>
      </c>
      <c r="V890" t="s">
        <v>74</v>
      </c>
      <c r="W890" t="s">
        <v>17213</v>
      </c>
      <c r="X890" t="s">
        <v>17214</v>
      </c>
      <c r="Y890" t="s">
        <v>17215</v>
      </c>
      <c r="Z890" t="s">
        <v>17216</v>
      </c>
      <c r="AA890" t="s">
        <v>17217</v>
      </c>
      <c r="AB890" t="s">
        <v>17218</v>
      </c>
      <c r="AC890" t="s">
        <v>74</v>
      </c>
      <c r="AD890" t="s">
        <v>74</v>
      </c>
      <c r="AE890" t="s">
        <v>74</v>
      </c>
      <c r="AF890" t="s">
        <v>74</v>
      </c>
      <c r="AG890">
        <v>1</v>
      </c>
      <c r="AH890">
        <v>1</v>
      </c>
      <c r="AI890">
        <v>1</v>
      </c>
      <c r="AJ890">
        <v>2</v>
      </c>
      <c r="AK890">
        <v>5</v>
      </c>
      <c r="AL890" t="s">
        <v>700</v>
      </c>
      <c r="AM890" t="s">
        <v>701</v>
      </c>
      <c r="AN890" t="s">
        <v>702</v>
      </c>
      <c r="AO890" t="s">
        <v>74</v>
      </c>
      <c r="AP890" t="s">
        <v>12584</v>
      </c>
      <c r="AQ890" t="s">
        <v>74</v>
      </c>
      <c r="AR890" t="s">
        <v>12585</v>
      </c>
      <c r="AS890" t="s">
        <v>12586</v>
      </c>
      <c r="AT890" t="s">
        <v>17204</v>
      </c>
      <c r="AU890">
        <v>2023</v>
      </c>
      <c r="AV890">
        <v>14</v>
      </c>
      <c r="AW890" t="s">
        <v>74</v>
      </c>
      <c r="AX890" t="s">
        <v>74</v>
      </c>
      <c r="AY890" t="s">
        <v>74</v>
      </c>
      <c r="AZ890" t="s">
        <v>74</v>
      </c>
      <c r="BA890" t="s">
        <v>74</v>
      </c>
      <c r="BB890" t="s">
        <v>74</v>
      </c>
      <c r="BC890" t="s">
        <v>74</v>
      </c>
      <c r="BD890">
        <v>1140110</v>
      </c>
      <c r="BE890" t="s">
        <v>17219</v>
      </c>
      <c r="BF890" t="str">
        <f>HYPERLINK("http://dx.doi.org/10.3389/fphys.2023.1140110","http://dx.doi.org/10.3389/fphys.2023.1140110")</f>
        <v>http://dx.doi.org/10.3389/fphys.2023.1140110</v>
      </c>
      <c r="BG890" t="s">
        <v>74</v>
      </c>
      <c r="BH890" t="s">
        <v>74</v>
      </c>
      <c r="BI890">
        <v>2</v>
      </c>
      <c r="BJ890" t="s">
        <v>12588</v>
      </c>
      <c r="BK890" t="s">
        <v>103</v>
      </c>
      <c r="BL890" t="s">
        <v>12588</v>
      </c>
      <c r="BM890" t="s">
        <v>17220</v>
      </c>
      <c r="BN890">
        <v>36760523</v>
      </c>
      <c r="BO890" t="s">
        <v>928</v>
      </c>
      <c r="BP890" t="s">
        <v>74</v>
      </c>
      <c r="BQ890" t="s">
        <v>74</v>
      </c>
      <c r="BR890" t="s">
        <v>106</v>
      </c>
      <c r="BS890" t="s">
        <v>17221</v>
      </c>
      <c r="BT890" t="str">
        <f>HYPERLINK("https%3A%2F%2Fwww.webofscience.com%2Fwos%2Fwoscc%2Ffull-record%2FWOS:000940668100001","View Full Record in Web of Science")</f>
        <v>View Full Record in Web of Science</v>
      </c>
    </row>
    <row r="891" spans="1:72" x14ac:dyDescent="0.15">
      <c r="A891" t="s">
        <v>72</v>
      </c>
      <c r="B891" t="s">
        <v>17222</v>
      </c>
      <c r="C891" t="s">
        <v>74</v>
      </c>
      <c r="D891" t="s">
        <v>74</v>
      </c>
      <c r="E891" t="s">
        <v>74</v>
      </c>
      <c r="F891" t="s">
        <v>17223</v>
      </c>
      <c r="G891" t="s">
        <v>74</v>
      </c>
      <c r="H891" t="s">
        <v>74</v>
      </c>
      <c r="I891" t="s">
        <v>17224</v>
      </c>
      <c r="J891" t="s">
        <v>3011</v>
      </c>
      <c r="K891" t="s">
        <v>74</v>
      </c>
      <c r="L891" t="s">
        <v>74</v>
      </c>
      <c r="M891" t="s">
        <v>78</v>
      </c>
      <c r="N891" t="s">
        <v>112</v>
      </c>
      <c r="O891" t="s">
        <v>74</v>
      </c>
      <c r="P891" t="s">
        <v>74</v>
      </c>
      <c r="Q891" t="s">
        <v>74</v>
      </c>
      <c r="R891" t="s">
        <v>74</v>
      </c>
      <c r="S891" t="s">
        <v>74</v>
      </c>
      <c r="T891" t="s">
        <v>17225</v>
      </c>
      <c r="U891" t="s">
        <v>17226</v>
      </c>
      <c r="V891" t="s">
        <v>17227</v>
      </c>
      <c r="W891" t="s">
        <v>17228</v>
      </c>
      <c r="X891" t="s">
        <v>17229</v>
      </c>
      <c r="Y891" t="s">
        <v>17230</v>
      </c>
      <c r="Z891" t="s">
        <v>17231</v>
      </c>
      <c r="AA891" t="s">
        <v>17232</v>
      </c>
      <c r="AB891" t="s">
        <v>74</v>
      </c>
      <c r="AC891" t="s">
        <v>17233</v>
      </c>
      <c r="AD891" t="s">
        <v>251</v>
      </c>
      <c r="AE891" t="s">
        <v>17234</v>
      </c>
      <c r="AF891" t="s">
        <v>74</v>
      </c>
      <c r="AG891">
        <v>32</v>
      </c>
      <c r="AH891">
        <v>0</v>
      </c>
      <c r="AI891">
        <v>0</v>
      </c>
      <c r="AJ891">
        <v>2</v>
      </c>
      <c r="AK891">
        <v>4</v>
      </c>
      <c r="AL891" t="s">
        <v>700</v>
      </c>
      <c r="AM891" t="s">
        <v>701</v>
      </c>
      <c r="AN891" t="s">
        <v>702</v>
      </c>
      <c r="AO891" t="s">
        <v>74</v>
      </c>
      <c r="AP891" t="s">
        <v>3023</v>
      </c>
      <c r="AQ891" t="s">
        <v>74</v>
      </c>
      <c r="AR891" t="s">
        <v>3024</v>
      </c>
      <c r="AS891" t="s">
        <v>3025</v>
      </c>
      <c r="AT891" t="s">
        <v>17204</v>
      </c>
      <c r="AU891">
        <v>2023</v>
      </c>
      <c r="AV891">
        <v>11</v>
      </c>
      <c r="AW891" t="s">
        <v>74</v>
      </c>
      <c r="AX891" t="s">
        <v>74</v>
      </c>
      <c r="AY891" t="s">
        <v>74</v>
      </c>
      <c r="AZ891" t="s">
        <v>74</v>
      </c>
      <c r="BA891" t="s">
        <v>74</v>
      </c>
      <c r="BB891" t="s">
        <v>74</v>
      </c>
      <c r="BC891" t="s">
        <v>74</v>
      </c>
      <c r="BD891">
        <v>1075739</v>
      </c>
      <c r="BE891" t="s">
        <v>17235</v>
      </c>
      <c r="BF891" t="str">
        <f>HYPERLINK("http://dx.doi.org/10.3389/feart.2023.1075739","http://dx.doi.org/10.3389/feart.2023.1075739")</f>
        <v>http://dx.doi.org/10.3389/feart.2023.1075739</v>
      </c>
      <c r="BG891" t="s">
        <v>74</v>
      </c>
      <c r="BH891" t="s">
        <v>74</v>
      </c>
      <c r="BI891">
        <v>12</v>
      </c>
      <c r="BJ891" t="s">
        <v>261</v>
      </c>
      <c r="BK891" t="s">
        <v>103</v>
      </c>
      <c r="BL891" t="s">
        <v>262</v>
      </c>
      <c r="BM891" t="s">
        <v>17236</v>
      </c>
      <c r="BN891" t="s">
        <v>74</v>
      </c>
      <c r="BO891" t="s">
        <v>359</v>
      </c>
      <c r="BP891" t="s">
        <v>74</v>
      </c>
      <c r="BQ891" t="s">
        <v>74</v>
      </c>
      <c r="BR891" t="s">
        <v>106</v>
      </c>
      <c r="BS891" t="s">
        <v>17237</v>
      </c>
      <c r="BT891" t="str">
        <f>HYPERLINK("https%3A%2F%2Fwww.webofscience.com%2Fwos%2Fwoscc%2Ffull-record%2FWOS:000935358400001","View Full Record in Web of Science")</f>
        <v>View Full Record in Web of Science</v>
      </c>
    </row>
    <row r="892" spans="1:72" x14ac:dyDescent="0.15">
      <c r="A892" t="s">
        <v>72</v>
      </c>
      <c r="B892" t="s">
        <v>17238</v>
      </c>
      <c r="C892" t="s">
        <v>74</v>
      </c>
      <c r="D892" t="s">
        <v>74</v>
      </c>
      <c r="E892" t="s">
        <v>74</v>
      </c>
      <c r="F892" t="s">
        <v>17239</v>
      </c>
      <c r="G892" t="s">
        <v>74</v>
      </c>
      <c r="H892" t="s">
        <v>74</v>
      </c>
      <c r="I892" t="s">
        <v>17240</v>
      </c>
      <c r="J892" t="s">
        <v>17241</v>
      </c>
      <c r="K892" t="s">
        <v>74</v>
      </c>
      <c r="L892" t="s">
        <v>74</v>
      </c>
      <c r="M892" t="s">
        <v>78</v>
      </c>
      <c r="N892" t="s">
        <v>365</v>
      </c>
      <c r="O892" t="s">
        <v>74</v>
      </c>
      <c r="P892" t="s">
        <v>74</v>
      </c>
      <c r="Q892" t="s">
        <v>74</v>
      </c>
      <c r="R892" t="s">
        <v>74</v>
      </c>
      <c r="S892" t="s">
        <v>74</v>
      </c>
      <c r="T892" t="s">
        <v>17242</v>
      </c>
      <c r="U892" t="s">
        <v>17243</v>
      </c>
      <c r="V892" t="s">
        <v>17244</v>
      </c>
      <c r="W892" t="s">
        <v>17245</v>
      </c>
      <c r="X892" t="s">
        <v>17246</v>
      </c>
      <c r="Y892" t="s">
        <v>17247</v>
      </c>
      <c r="Z892" t="s">
        <v>17248</v>
      </c>
      <c r="AA892" t="s">
        <v>17249</v>
      </c>
      <c r="AB892" t="s">
        <v>17250</v>
      </c>
      <c r="AC892" t="s">
        <v>74</v>
      </c>
      <c r="AD892" t="s">
        <v>74</v>
      </c>
      <c r="AE892" t="s">
        <v>74</v>
      </c>
      <c r="AF892" t="s">
        <v>74</v>
      </c>
      <c r="AG892">
        <v>229</v>
      </c>
      <c r="AH892">
        <v>8</v>
      </c>
      <c r="AI892">
        <v>8</v>
      </c>
      <c r="AJ892">
        <v>8</v>
      </c>
      <c r="AK892">
        <v>29</v>
      </c>
      <c r="AL892" t="s">
        <v>9567</v>
      </c>
      <c r="AM892" t="s">
        <v>204</v>
      </c>
      <c r="AN892" t="s">
        <v>9568</v>
      </c>
      <c r="AO892" t="s">
        <v>17251</v>
      </c>
      <c r="AP892" t="s">
        <v>17252</v>
      </c>
      <c r="AQ892" t="s">
        <v>74</v>
      </c>
      <c r="AR892" t="s">
        <v>17253</v>
      </c>
      <c r="AS892" t="s">
        <v>17254</v>
      </c>
      <c r="AT892" t="s">
        <v>12237</v>
      </c>
      <c r="AU892">
        <v>2023</v>
      </c>
      <c r="AV892">
        <v>66</v>
      </c>
      <c r="AW892">
        <v>1</v>
      </c>
      <c r="AX892" t="s">
        <v>74</v>
      </c>
      <c r="AY892" t="s">
        <v>74</v>
      </c>
      <c r="AZ892" t="s">
        <v>74</v>
      </c>
      <c r="BA892" t="s">
        <v>74</v>
      </c>
      <c r="BB892">
        <v>1</v>
      </c>
      <c r="BC892">
        <v>36</v>
      </c>
      <c r="BD892" t="s">
        <v>74</v>
      </c>
      <c r="BE892" t="s">
        <v>17255</v>
      </c>
      <c r="BF892" t="str">
        <f>HYPERLINK("http://dx.doi.org/10.1515/bot-2022-0061","http://dx.doi.org/10.1515/bot-2022-0061")</f>
        <v>http://dx.doi.org/10.1515/bot-2022-0061</v>
      </c>
      <c r="BG892" t="s">
        <v>74</v>
      </c>
      <c r="BH892" t="s">
        <v>16484</v>
      </c>
      <c r="BI892">
        <v>36</v>
      </c>
      <c r="BJ892" t="s">
        <v>13935</v>
      </c>
      <c r="BK892" t="s">
        <v>103</v>
      </c>
      <c r="BL892" t="s">
        <v>13935</v>
      </c>
      <c r="BM892" t="s">
        <v>17256</v>
      </c>
      <c r="BN892" t="s">
        <v>74</v>
      </c>
      <c r="BO892" t="s">
        <v>334</v>
      </c>
      <c r="BP892" t="s">
        <v>74</v>
      </c>
      <c r="BQ892" t="s">
        <v>74</v>
      </c>
      <c r="BR892" t="s">
        <v>106</v>
      </c>
      <c r="BS892" t="s">
        <v>17257</v>
      </c>
      <c r="BT892" t="str">
        <f>HYPERLINK("https%3A%2F%2Fwww.webofscience.com%2Fwos%2Fwoscc%2Ffull-record%2FWOS:000922672800001","View Full Record in Web of Science")</f>
        <v>View Full Record in Web of Science</v>
      </c>
    </row>
    <row r="893" spans="1:72" x14ac:dyDescent="0.15">
      <c r="A893" t="s">
        <v>72</v>
      </c>
      <c r="B893" t="s">
        <v>17258</v>
      </c>
      <c r="C893" t="s">
        <v>74</v>
      </c>
      <c r="D893" t="s">
        <v>74</v>
      </c>
      <c r="E893" t="s">
        <v>74</v>
      </c>
      <c r="F893" t="s">
        <v>17259</v>
      </c>
      <c r="G893" t="s">
        <v>74</v>
      </c>
      <c r="H893" t="s">
        <v>74</v>
      </c>
      <c r="I893" t="s">
        <v>17260</v>
      </c>
      <c r="J893" t="s">
        <v>2058</v>
      </c>
      <c r="K893" t="s">
        <v>74</v>
      </c>
      <c r="L893" t="s">
        <v>74</v>
      </c>
      <c r="M893" t="s">
        <v>78</v>
      </c>
      <c r="N893" t="s">
        <v>112</v>
      </c>
      <c r="O893" t="s">
        <v>74</v>
      </c>
      <c r="P893" t="s">
        <v>74</v>
      </c>
      <c r="Q893" t="s">
        <v>74</v>
      </c>
      <c r="R893" t="s">
        <v>74</v>
      </c>
      <c r="S893" t="s">
        <v>74</v>
      </c>
      <c r="T893" t="s">
        <v>74</v>
      </c>
      <c r="U893" t="s">
        <v>17261</v>
      </c>
      <c r="V893" t="s">
        <v>17262</v>
      </c>
      <c r="W893" t="s">
        <v>17263</v>
      </c>
      <c r="X893" t="s">
        <v>17264</v>
      </c>
      <c r="Y893" t="s">
        <v>17265</v>
      </c>
      <c r="Z893" t="s">
        <v>17266</v>
      </c>
      <c r="AA893" t="s">
        <v>17267</v>
      </c>
      <c r="AB893" t="s">
        <v>17268</v>
      </c>
      <c r="AC893" t="s">
        <v>17269</v>
      </c>
      <c r="AD893" t="s">
        <v>17270</v>
      </c>
      <c r="AE893" t="s">
        <v>17271</v>
      </c>
      <c r="AF893" t="s">
        <v>74</v>
      </c>
      <c r="AG893">
        <v>61</v>
      </c>
      <c r="AH893">
        <v>3</v>
      </c>
      <c r="AI893">
        <v>3</v>
      </c>
      <c r="AJ893">
        <v>2</v>
      </c>
      <c r="AK893">
        <v>12</v>
      </c>
      <c r="AL893" t="s">
        <v>794</v>
      </c>
      <c r="AM893" t="s">
        <v>795</v>
      </c>
      <c r="AN893" t="s">
        <v>796</v>
      </c>
      <c r="AO893" t="s">
        <v>2069</v>
      </c>
      <c r="AP893" t="s">
        <v>2070</v>
      </c>
      <c r="AQ893" t="s">
        <v>74</v>
      </c>
      <c r="AR893" t="s">
        <v>2071</v>
      </c>
      <c r="AS893" t="s">
        <v>2072</v>
      </c>
      <c r="AT893" t="s">
        <v>17272</v>
      </c>
      <c r="AU893">
        <v>2023</v>
      </c>
      <c r="AV893">
        <v>15</v>
      </c>
      <c r="AW893">
        <v>1</v>
      </c>
      <c r="AX893" t="s">
        <v>74</v>
      </c>
      <c r="AY893" t="s">
        <v>74</v>
      </c>
      <c r="AZ893" t="s">
        <v>74</v>
      </c>
      <c r="BA893" t="s">
        <v>74</v>
      </c>
      <c r="BB893">
        <v>411</v>
      </c>
      <c r="BC893">
        <v>429</v>
      </c>
      <c r="BD893" t="s">
        <v>74</v>
      </c>
      <c r="BE893" t="s">
        <v>17273</v>
      </c>
      <c r="BF893" t="str">
        <f>HYPERLINK("http://dx.doi.org/10.5194/essd-15-411-2023","http://dx.doi.org/10.5194/essd-15-411-2023")</f>
        <v>http://dx.doi.org/10.5194/essd-15-411-2023</v>
      </c>
      <c r="BG893" t="s">
        <v>74</v>
      </c>
      <c r="BH893" t="s">
        <v>74</v>
      </c>
      <c r="BI893">
        <v>19</v>
      </c>
      <c r="BJ893" t="s">
        <v>1041</v>
      </c>
      <c r="BK893" t="s">
        <v>103</v>
      </c>
      <c r="BL893" t="s">
        <v>1042</v>
      </c>
      <c r="BM893" t="s">
        <v>17274</v>
      </c>
      <c r="BN893" t="s">
        <v>74</v>
      </c>
      <c r="BO893" t="s">
        <v>2989</v>
      </c>
      <c r="BP893" t="s">
        <v>74</v>
      </c>
      <c r="BQ893" t="s">
        <v>74</v>
      </c>
      <c r="BR893" t="s">
        <v>106</v>
      </c>
      <c r="BS893" t="s">
        <v>17275</v>
      </c>
      <c r="BT893" t="str">
        <f>HYPERLINK("https%3A%2F%2Fwww.webofscience.com%2Fwos%2Fwoscc%2Ffull-record%2FWOS:000921875400001","View Full Record in Web of Science")</f>
        <v>View Full Record in Web of Science</v>
      </c>
    </row>
    <row r="894" spans="1:72" x14ac:dyDescent="0.15">
      <c r="A894" t="s">
        <v>72</v>
      </c>
      <c r="B894" t="s">
        <v>17276</v>
      </c>
      <c r="C894" t="s">
        <v>74</v>
      </c>
      <c r="D894" t="s">
        <v>74</v>
      </c>
      <c r="E894" t="s">
        <v>74</v>
      </c>
      <c r="F894" t="s">
        <v>17277</v>
      </c>
      <c r="G894" t="s">
        <v>74</v>
      </c>
      <c r="H894" t="s">
        <v>74</v>
      </c>
      <c r="I894" t="s">
        <v>17278</v>
      </c>
      <c r="J894" t="s">
        <v>17279</v>
      </c>
      <c r="K894" t="s">
        <v>74</v>
      </c>
      <c r="L894" t="s">
        <v>74</v>
      </c>
      <c r="M894" t="s">
        <v>78</v>
      </c>
      <c r="N894" t="s">
        <v>112</v>
      </c>
      <c r="O894" t="s">
        <v>74</v>
      </c>
      <c r="P894" t="s">
        <v>74</v>
      </c>
      <c r="Q894" t="s">
        <v>74</v>
      </c>
      <c r="R894" t="s">
        <v>74</v>
      </c>
      <c r="S894" t="s">
        <v>74</v>
      </c>
      <c r="T894" t="s">
        <v>74</v>
      </c>
      <c r="U894" t="s">
        <v>17280</v>
      </c>
      <c r="V894" t="s">
        <v>17281</v>
      </c>
      <c r="W894" t="s">
        <v>17282</v>
      </c>
      <c r="X894" t="s">
        <v>17283</v>
      </c>
      <c r="Y894" t="s">
        <v>17284</v>
      </c>
      <c r="Z894" t="s">
        <v>17285</v>
      </c>
      <c r="AA894" t="s">
        <v>17286</v>
      </c>
      <c r="AB894" t="s">
        <v>17287</v>
      </c>
      <c r="AC894" t="s">
        <v>17288</v>
      </c>
      <c r="AD894" t="s">
        <v>17289</v>
      </c>
      <c r="AE894" t="s">
        <v>17290</v>
      </c>
      <c r="AF894" t="s">
        <v>74</v>
      </c>
      <c r="AG894">
        <v>55</v>
      </c>
      <c r="AH894">
        <v>1</v>
      </c>
      <c r="AI894">
        <v>1</v>
      </c>
      <c r="AJ894">
        <v>2</v>
      </c>
      <c r="AK894">
        <v>3</v>
      </c>
      <c r="AL894" t="s">
        <v>794</v>
      </c>
      <c r="AM894" t="s">
        <v>795</v>
      </c>
      <c r="AN894" t="s">
        <v>796</v>
      </c>
      <c r="AO894" t="s">
        <v>17291</v>
      </c>
      <c r="AP894" t="s">
        <v>17292</v>
      </c>
      <c r="AQ894" t="s">
        <v>74</v>
      </c>
      <c r="AR894" t="s">
        <v>17293</v>
      </c>
      <c r="AS894" t="s">
        <v>17294</v>
      </c>
      <c r="AT894" t="s">
        <v>17272</v>
      </c>
      <c r="AU894">
        <v>2023</v>
      </c>
      <c r="AV894">
        <v>16</v>
      </c>
      <c r="AW894">
        <v>2</v>
      </c>
      <c r="AX894" t="s">
        <v>74</v>
      </c>
      <c r="AY894" t="s">
        <v>74</v>
      </c>
      <c r="AZ894" t="s">
        <v>74</v>
      </c>
      <c r="BA894" t="s">
        <v>74</v>
      </c>
      <c r="BB894">
        <v>355</v>
      </c>
      <c r="BC894">
        <v>372</v>
      </c>
      <c r="BD894" t="s">
        <v>74</v>
      </c>
      <c r="BE894" t="s">
        <v>17295</v>
      </c>
      <c r="BF894" t="str">
        <f>HYPERLINK("http://dx.doi.org/10.5194/amt-16-355-2023","http://dx.doi.org/10.5194/amt-16-355-2023")</f>
        <v>http://dx.doi.org/10.5194/amt-16-355-2023</v>
      </c>
      <c r="BG894" t="s">
        <v>74</v>
      </c>
      <c r="BH894" t="s">
        <v>74</v>
      </c>
      <c r="BI894">
        <v>18</v>
      </c>
      <c r="BJ894" t="s">
        <v>102</v>
      </c>
      <c r="BK894" t="s">
        <v>103</v>
      </c>
      <c r="BL894" t="s">
        <v>102</v>
      </c>
      <c r="BM894" t="s">
        <v>17296</v>
      </c>
      <c r="BN894" t="s">
        <v>74</v>
      </c>
      <c r="BO894" t="s">
        <v>9287</v>
      </c>
      <c r="BP894" t="s">
        <v>74</v>
      </c>
      <c r="BQ894" t="s">
        <v>74</v>
      </c>
      <c r="BR894" t="s">
        <v>106</v>
      </c>
      <c r="BS894" t="s">
        <v>17297</v>
      </c>
      <c r="BT894" t="str">
        <f>HYPERLINK("https%3A%2F%2Fwww.webofscience.com%2Fwos%2Fwoscc%2Ffull-record%2FWOS:000921883200001","View Full Record in Web of Science")</f>
        <v>View Full Record in Web of Science</v>
      </c>
    </row>
    <row r="895" spans="1:72" x14ac:dyDescent="0.15">
      <c r="A895" t="s">
        <v>72</v>
      </c>
      <c r="B895" t="s">
        <v>17298</v>
      </c>
      <c r="C895" t="s">
        <v>74</v>
      </c>
      <c r="D895" t="s">
        <v>74</v>
      </c>
      <c r="E895" t="s">
        <v>74</v>
      </c>
      <c r="F895" t="s">
        <v>17299</v>
      </c>
      <c r="G895" t="s">
        <v>74</v>
      </c>
      <c r="H895" t="s">
        <v>74</v>
      </c>
      <c r="I895" t="s">
        <v>17300</v>
      </c>
      <c r="J895" t="s">
        <v>17301</v>
      </c>
      <c r="K895" t="s">
        <v>74</v>
      </c>
      <c r="L895" t="s">
        <v>74</v>
      </c>
      <c r="M895" t="s">
        <v>78</v>
      </c>
      <c r="N895" t="s">
        <v>79</v>
      </c>
      <c r="O895" t="s">
        <v>74</v>
      </c>
      <c r="P895" t="s">
        <v>74</v>
      </c>
      <c r="Q895" t="s">
        <v>74</v>
      </c>
      <c r="R895" t="s">
        <v>74</v>
      </c>
      <c r="S895" t="s">
        <v>74</v>
      </c>
      <c r="T895" t="s">
        <v>74</v>
      </c>
      <c r="U895" t="s">
        <v>74</v>
      </c>
      <c r="V895" t="s">
        <v>74</v>
      </c>
      <c r="W895" t="s">
        <v>17302</v>
      </c>
      <c r="X895" t="s">
        <v>17303</v>
      </c>
      <c r="Y895" t="s">
        <v>17304</v>
      </c>
      <c r="Z895" t="s">
        <v>74</v>
      </c>
      <c r="AA895" t="s">
        <v>17305</v>
      </c>
      <c r="AB895" t="s">
        <v>17306</v>
      </c>
      <c r="AC895" t="s">
        <v>74</v>
      </c>
      <c r="AD895" t="s">
        <v>74</v>
      </c>
      <c r="AE895" t="s">
        <v>74</v>
      </c>
      <c r="AF895" t="s">
        <v>74</v>
      </c>
      <c r="AG895">
        <v>8</v>
      </c>
      <c r="AH895">
        <v>1</v>
      </c>
      <c r="AI895">
        <v>1</v>
      </c>
      <c r="AJ895">
        <v>2</v>
      </c>
      <c r="AK895">
        <v>4</v>
      </c>
      <c r="AL895" t="s">
        <v>17307</v>
      </c>
      <c r="AM895" t="s">
        <v>17308</v>
      </c>
      <c r="AN895" t="s">
        <v>17309</v>
      </c>
      <c r="AO895" t="s">
        <v>17310</v>
      </c>
      <c r="AP895" t="s">
        <v>17311</v>
      </c>
      <c r="AQ895" t="s">
        <v>74</v>
      </c>
      <c r="AR895" t="s">
        <v>17312</v>
      </c>
      <c r="AS895" t="s">
        <v>17313</v>
      </c>
      <c r="AT895" t="s">
        <v>17272</v>
      </c>
      <c r="AU895">
        <v>2023</v>
      </c>
      <c r="AV895">
        <v>24</v>
      </c>
      <c r="AW895">
        <v>2</v>
      </c>
      <c r="AX895" t="s">
        <v>74</v>
      </c>
      <c r="AY895" t="s">
        <v>74</v>
      </c>
      <c r="AZ895" t="s">
        <v>185</v>
      </c>
      <c r="BA895" t="s">
        <v>74</v>
      </c>
      <c r="BB895">
        <v>233</v>
      </c>
      <c r="BC895">
        <v>234</v>
      </c>
      <c r="BD895" t="s">
        <v>74</v>
      </c>
      <c r="BE895" t="s">
        <v>17314</v>
      </c>
      <c r="BF895" t="str">
        <f>HYPERLINK("http://dx.doi.org/10.1108/IJSHE-02-2023-523","http://dx.doi.org/10.1108/IJSHE-02-2023-523")</f>
        <v>http://dx.doi.org/10.1108/IJSHE-02-2023-523</v>
      </c>
      <c r="BG895" t="s">
        <v>74</v>
      </c>
      <c r="BH895" t="s">
        <v>74</v>
      </c>
      <c r="BI895">
        <v>2</v>
      </c>
      <c r="BJ895" t="s">
        <v>17315</v>
      </c>
      <c r="BK895" t="s">
        <v>1440</v>
      </c>
      <c r="BL895" t="s">
        <v>17316</v>
      </c>
      <c r="BM895" t="s">
        <v>17317</v>
      </c>
      <c r="BN895" t="s">
        <v>74</v>
      </c>
      <c r="BO895" t="s">
        <v>334</v>
      </c>
      <c r="BP895" t="s">
        <v>74</v>
      </c>
      <c r="BQ895" t="s">
        <v>74</v>
      </c>
      <c r="BR895" t="s">
        <v>106</v>
      </c>
      <c r="BS895" t="s">
        <v>17318</v>
      </c>
      <c r="BT895" t="str">
        <f>HYPERLINK("https%3A%2F%2Fwww.webofscience.com%2Fwos%2Fwoscc%2Ffull-record%2FWOS:000919462500001","View Full Record in Web of Science")</f>
        <v>View Full Record in Web of Science</v>
      </c>
    </row>
    <row r="896" spans="1:72" x14ac:dyDescent="0.15">
      <c r="A896" t="s">
        <v>72</v>
      </c>
      <c r="B896" t="s">
        <v>17319</v>
      </c>
      <c r="C896" t="s">
        <v>74</v>
      </c>
      <c r="D896" t="s">
        <v>74</v>
      </c>
      <c r="E896" t="s">
        <v>74</v>
      </c>
      <c r="F896" t="s">
        <v>17320</v>
      </c>
      <c r="G896" t="s">
        <v>74</v>
      </c>
      <c r="H896" t="s">
        <v>74</v>
      </c>
      <c r="I896" t="s">
        <v>17321</v>
      </c>
      <c r="J896" t="s">
        <v>2262</v>
      </c>
      <c r="K896" t="s">
        <v>74</v>
      </c>
      <c r="L896" t="s">
        <v>74</v>
      </c>
      <c r="M896" t="s">
        <v>78</v>
      </c>
      <c r="N896" t="s">
        <v>112</v>
      </c>
      <c r="O896" t="s">
        <v>74</v>
      </c>
      <c r="P896" t="s">
        <v>74</v>
      </c>
      <c r="Q896" t="s">
        <v>74</v>
      </c>
      <c r="R896" t="s">
        <v>74</v>
      </c>
      <c r="S896" t="s">
        <v>74</v>
      </c>
      <c r="T896" t="s">
        <v>74</v>
      </c>
      <c r="U896" t="s">
        <v>17322</v>
      </c>
      <c r="V896" t="s">
        <v>17323</v>
      </c>
      <c r="W896" t="s">
        <v>17324</v>
      </c>
      <c r="X896" t="s">
        <v>17325</v>
      </c>
      <c r="Y896" t="s">
        <v>17326</v>
      </c>
      <c r="Z896" t="s">
        <v>17327</v>
      </c>
      <c r="AA896" t="s">
        <v>17328</v>
      </c>
      <c r="AB896" t="s">
        <v>17329</v>
      </c>
      <c r="AC896" t="s">
        <v>17330</v>
      </c>
      <c r="AD896" t="s">
        <v>17331</v>
      </c>
      <c r="AE896" t="s">
        <v>17332</v>
      </c>
      <c r="AF896" t="s">
        <v>74</v>
      </c>
      <c r="AG896">
        <v>82</v>
      </c>
      <c r="AH896">
        <v>5</v>
      </c>
      <c r="AI896">
        <v>6</v>
      </c>
      <c r="AJ896">
        <v>4</v>
      </c>
      <c r="AK896">
        <v>20</v>
      </c>
      <c r="AL896" t="s">
        <v>2092</v>
      </c>
      <c r="AM896" t="s">
        <v>2093</v>
      </c>
      <c r="AN896" t="s">
        <v>2094</v>
      </c>
      <c r="AO896" t="s">
        <v>2274</v>
      </c>
      <c r="AP896" t="s">
        <v>2275</v>
      </c>
      <c r="AQ896" t="s">
        <v>74</v>
      </c>
      <c r="AR896" t="s">
        <v>2276</v>
      </c>
      <c r="AS896" t="s">
        <v>2277</v>
      </c>
      <c r="AT896" t="s">
        <v>8042</v>
      </c>
      <c r="AU896">
        <v>2023</v>
      </c>
      <c r="AV896">
        <v>68</v>
      </c>
      <c r="AW896">
        <v>3</v>
      </c>
      <c r="AX896" t="s">
        <v>74</v>
      </c>
      <c r="AY896" t="s">
        <v>74</v>
      </c>
      <c r="AZ896" t="s">
        <v>74</v>
      </c>
      <c r="BA896" t="s">
        <v>74</v>
      </c>
      <c r="BB896">
        <v>525</v>
      </c>
      <c r="BC896">
        <v>543</v>
      </c>
      <c r="BD896" t="s">
        <v>74</v>
      </c>
      <c r="BE896" t="s">
        <v>17333</v>
      </c>
      <c r="BF896" t="str">
        <f>HYPERLINK("http://dx.doi.org/10.1002/lno.12290","http://dx.doi.org/10.1002/lno.12290")</f>
        <v>http://dx.doi.org/10.1002/lno.12290</v>
      </c>
      <c r="BG896" t="s">
        <v>74</v>
      </c>
      <c r="BH896" t="s">
        <v>16484</v>
      </c>
      <c r="BI896">
        <v>19</v>
      </c>
      <c r="BJ896" t="s">
        <v>552</v>
      </c>
      <c r="BK896" t="s">
        <v>103</v>
      </c>
      <c r="BL896" t="s">
        <v>553</v>
      </c>
      <c r="BM896" t="s">
        <v>17334</v>
      </c>
      <c r="BN896" t="s">
        <v>74</v>
      </c>
      <c r="BO896" t="s">
        <v>1748</v>
      </c>
      <c r="BP896" t="s">
        <v>74</v>
      </c>
      <c r="BQ896" t="s">
        <v>74</v>
      </c>
      <c r="BR896" t="s">
        <v>106</v>
      </c>
      <c r="BS896" t="s">
        <v>17335</v>
      </c>
      <c r="BT896" t="str">
        <f>HYPERLINK("https%3A%2F%2Fwww.webofscience.com%2Fwos%2Fwoscc%2Ffull-record%2FWOS:000919802900001","View Full Record in Web of Science")</f>
        <v>View Full Record in Web of Science</v>
      </c>
    </row>
    <row r="897" spans="1:72" x14ac:dyDescent="0.15">
      <c r="A897" t="s">
        <v>72</v>
      </c>
      <c r="B897" t="s">
        <v>17336</v>
      </c>
      <c r="C897" t="s">
        <v>74</v>
      </c>
      <c r="D897" t="s">
        <v>74</v>
      </c>
      <c r="E897" t="s">
        <v>74</v>
      </c>
      <c r="F897" t="s">
        <v>17337</v>
      </c>
      <c r="G897" t="s">
        <v>74</v>
      </c>
      <c r="H897" t="s">
        <v>74</v>
      </c>
      <c r="I897" t="s">
        <v>17338</v>
      </c>
      <c r="J897" t="s">
        <v>782</v>
      </c>
      <c r="K897" t="s">
        <v>74</v>
      </c>
      <c r="L897" t="s">
        <v>74</v>
      </c>
      <c r="M897" t="s">
        <v>78</v>
      </c>
      <c r="N897" t="s">
        <v>112</v>
      </c>
      <c r="O897" t="s">
        <v>74</v>
      </c>
      <c r="P897" t="s">
        <v>74</v>
      </c>
      <c r="Q897" t="s">
        <v>74</v>
      </c>
      <c r="R897" t="s">
        <v>74</v>
      </c>
      <c r="S897" t="s">
        <v>74</v>
      </c>
      <c r="T897" t="s">
        <v>74</v>
      </c>
      <c r="U897" t="s">
        <v>17339</v>
      </c>
      <c r="V897" t="s">
        <v>17340</v>
      </c>
      <c r="W897" t="s">
        <v>17341</v>
      </c>
      <c r="X897" t="s">
        <v>17342</v>
      </c>
      <c r="Y897" t="s">
        <v>17343</v>
      </c>
      <c r="Z897" t="s">
        <v>17344</v>
      </c>
      <c r="AA897" t="s">
        <v>17345</v>
      </c>
      <c r="AB897" t="s">
        <v>17346</v>
      </c>
      <c r="AC897" t="s">
        <v>74</v>
      </c>
      <c r="AD897" t="s">
        <v>74</v>
      </c>
      <c r="AE897" t="s">
        <v>74</v>
      </c>
      <c r="AF897" t="s">
        <v>74</v>
      </c>
      <c r="AG897">
        <v>86</v>
      </c>
      <c r="AH897">
        <v>0</v>
      </c>
      <c r="AI897">
        <v>0</v>
      </c>
      <c r="AJ897">
        <v>0</v>
      </c>
      <c r="AK897">
        <v>6</v>
      </c>
      <c r="AL897" t="s">
        <v>794</v>
      </c>
      <c r="AM897" t="s">
        <v>795</v>
      </c>
      <c r="AN897" t="s">
        <v>796</v>
      </c>
      <c r="AO897" t="s">
        <v>797</v>
      </c>
      <c r="AP897" t="s">
        <v>798</v>
      </c>
      <c r="AQ897" t="s">
        <v>74</v>
      </c>
      <c r="AR897" t="s">
        <v>782</v>
      </c>
      <c r="AS897" t="s">
        <v>799</v>
      </c>
      <c r="AT897" t="s">
        <v>17272</v>
      </c>
      <c r="AU897">
        <v>2023</v>
      </c>
      <c r="AV897">
        <v>17</v>
      </c>
      <c r="AW897">
        <v>1</v>
      </c>
      <c r="AX897" t="s">
        <v>74</v>
      </c>
      <c r="AY897" t="s">
        <v>74</v>
      </c>
      <c r="AZ897" t="s">
        <v>74</v>
      </c>
      <c r="BA897" t="s">
        <v>74</v>
      </c>
      <c r="BB897">
        <v>327</v>
      </c>
      <c r="BC897">
        <v>348</v>
      </c>
      <c r="BD897" t="s">
        <v>74</v>
      </c>
      <c r="BE897" t="s">
        <v>17347</v>
      </c>
      <c r="BF897" t="str">
        <f>HYPERLINK("http://dx.doi.org/10.5194/tc-17-327-2023","http://dx.doi.org/10.5194/tc-17-327-2023")</f>
        <v>http://dx.doi.org/10.5194/tc-17-327-2023</v>
      </c>
      <c r="BG897" t="s">
        <v>74</v>
      </c>
      <c r="BH897" t="s">
        <v>74</v>
      </c>
      <c r="BI897">
        <v>22</v>
      </c>
      <c r="BJ897" t="s">
        <v>801</v>
      </c>
      <c r="BK897" t="s">
        <v>103</v>
      </c>
      <c r="BL897" t="s">
        <v>802</v>
      </c>
      <c r="BM897" t="s">
        <v>17348</v>
      </c>
      <c r="BN897" t="s">
        <v>74</v>
      </c>
      <c r="BO897" t="s">
        <v>3241</v>
      </c>
      <c r="BP897" t="s">
        <v>74</v>
      </c>
      <c r="BQ897" t="s">
        <v>74</v>
      </c>
      <c r="BR897" t="s">
        <v>106</v>
      </c>
      <c r="BS897" t="s">
        <v>17349</v>
      </c>
      <c r="BT897" t="str">
        <f>HYPERLINK("https%3A%2F%2Fwww.webofscience.com%2Fwos%2Fwoscc%2Ffull-record%2FWOS:000917643800001","View Full Record in Web of Science")</f>
        <v>View Full Record in Web of Science</v>
      </c>
    </row>
    <row r="898" spans="1:72" x14ac:dyDescent="0.15">
      <c r="A898" t="s">
        <v>72</v>
      </c>
      <c r="B898" t="s">
        <v>17350</v>
      </c>
      <c r="C898" t="s">
        <v>74</v>
      </c>
      <c r="D898" t="s">
        <v>74</v>
      </c>
      <c r="E898" t="s">
        <v>74</v>
      </c>
      <c r="F898" t="s">
        <v>17351</v>
      </c>
      <c r="G898" t="s">
        <v>74</v>
      </c>
      <c r="H898" t="s">
        <v>74</v>
      </c>
      <c r="I898" t="s">
        <v>17352</v>
      </c>
      <c r="J898" t="s">
        <v>16760</v>
      </c>
      <c r="K898" t="s">
        <v>74</v>
      </c>
      <c r="L898" t="s">
        <v>74</v>
      </c>
      <c r="M898" t="s">
        <v>78</v>
      </c>
      <c r="N898" t="s">
        <v>112</v>
      </c>
      <c r="O898" t="s">
        <v>74</v>
      </c>
      <c r="P898" t="s">
        <v>74</v>
      </c>
      <c r="Q898" t="s">
        <v>74</v>
      </c>
      <c r="R898" t="s">
        <v>74</v>
      </c>
      <c r="S898" t="s">
        <v>74</v>
      </c>
      <c r="T898" t="s">
        <v>74</v>
      </c>
      <c r="U898" t="s">
        <v>17353</v>
      </c>
      <c r="V898" t="s">
        <v>17354</v>
      </c>
      <c r="W898" t="s">
        <v>17355</v>
      </c>
      <c r="X898" t="s">
        <v>17356</v>
      </c>
      <c r="Y898" t="s">
        <v>17357</v>
      </c>
      <c r="Z898" t="s">
        <v>17358</v>
      </c>
      <c r="AA898" t="s">
        <v>17359</v>
      </c>
      <c r="AB898" t="s">
        <v>17360</v>
      </c>
      <c r="AC898" t="s">
        <v>17361</v>
      </c>
      <c r="AD898" t="s">
        <v>17362</v>
      </c>
      <c r="AE898" t="s">
        <v>17363</v>
      </c>
      <c r="AF898" t="s">
        <v>74</v>
      </c>
      <c r="AG898">
        <v>85</v>
      </c>
      <c r="AH898">
        <v>3</v>
      </c>
      <c r="AI898">
        <v>3</v>
      </c>
      <c r="AJ898">
        <v>3</v>
      </c>
      <c r="AK898">
        <v>5</v>
      </c>
      <c r="AL898" t="s">
        <v>1357</v>
      </c>
      <c r="AM898" t="s">
        <v>525</v>
      </c>
      <c r="AN898" t="s">
        <v>1358</v>
      </c>
      <c r="AO898" t="s">
        <v>74</v>
      </c>
      <c r="AP898" t="s">
        <v>16772</v>
      </c>
      <c r="AQ898" t="s">
        <v>74</v>
      </c>
      <c r="AR898" t="s">
        <v>16773</v>
      </c>
      <c r="AS898" t="s">
        <v>16774</v>
      </c>
      <c r="AT898" t="s">
        <v>17364</v>
      </c>
      <c r="AU898">
        <v>2023</v>
      </c>
      <c r="AV898">
        <v>3</v>
      </c>
      <c r="AW898">
        <v>1</v>
      </c>
      <c r="AX898" t="s">
        <v>74</v>
      </c>
      <c r="AY898" t="s">
        <v>74</v>
      </c>
      <c r="AZ898" t="s">
        <v>74</v>
      </c>
      <c r="BA898" t="s">
        <v>74</v>
      </c>
      <c r="BB898" t="s">
        <v>74</v>
      </c>
      <c r="BC898" t="s">
        <v>74</v>
      </c>
      <c r="BD898">
        <v>3</v>
      </c>
      <c r="BE898" t="s">
        <v>17365</v>
      </c>
      <c r="BF898" t="str">
        <f>HYPERLINK("http://dx.doi.org/10.1038/s43705-022-00202-8","http://dx.doi.org/10.1038/s43705-022-00202-8")</f>
        <v>http://dx.doi.org/10.1038/s43705-022-00202-8</v>
      </c>
      <c r="BG898" t="s">
        <v>74</v>
      </c>
      <c r="BH898" t="s">
        <v>74</v>
      </c>
      <c r="BI898">
        <v>11</v>
      </c>
      <c r="BJ898" t="s">
        <v>16776</v>
      </c>
      <c r="BK898" t="s">
        <v>160</v>
      </c>
      <c r="BL898" t="s">
        <v>12706</v>
      </c>
      <c r="BM898" t="s">
        <v>17366</v>
      </c>
      <c r="BN898">
        <v>36690784</v>
      </c>
      <c r="BO898" t="s">
        <v>136</v>
      </c>
      <c r="BP898" t="s">
        <v>74</v>
      </c>
      <c r="BQ898" t="s">
        <v>74</v>
      </c>
      <c r="BR898" t="s">
        <v>106</v>
      </c>
      <c r="BS898" t="s">
        <v>17367</v>
      </c>
      <c r="BT898" t="str">
        <f>HYPERLINK("https%3A%2F%2Fwww.webofscience.com%2Fwos%2Fwoscc%2Ffull-record%2FWOS:001052227300002","View Full Record in Web of Science")</f>
        <v>View Full Record in Web of Science</v>
      </c>
    </row>
    <row r="899" spans="1:72" x14ac:dyDescent="0.15">
      <c r="A899" t="s">
        <v>72</v>
      </c>
      <c r="B899" t="s">
        <v>17368</v>
      </c>
      <c r="C899" t="s">
        <v>74</v>
      </c>
      <c r="D899" t="s">
        <v>74</v>
      </c>
      <c r="E899" t="s">
        <v>74</v>
      </c>
      <c r="F899" t="s">
        <v>17369</v>
      </c>
      <c r="G899" t="s">
        <v>74</v>
      </c>
      <c r="H899" t="s">
        <v>74</v>
      </c>
      <c r="I899" t="s">
        <v>17370</v>
      </c>
      <c r="J899" t="s">
        <v>17371</v>
      </c>
      <c r="K899" t="s">
        <v>74</v>
      </c>
      <c r="L899" t="s">
        <v>74</v>
      </c>
      <c r="M899" t="s">
        <v>78</v>
      </c>
      <c r="N899" t="s">
        <v>112</v>
      </c>
      <c r="O899" t="s">
        <v>74</v>
      </c>
      <c r="P899" t="s">
        <v>74</v>
      </c>
      <c r="Q899" t="s">
        <v>74</v>
      </c>
      <c r="R899" t="s">
        <v>74</v>
      </c>
      <c r="S899" t="s">
        <v>74</v>
      </c>
      <c r="T899" t="s">
        <v>17372</v>
      </c>
      <c r="U899" t="s">
        <v>17373</v>
      </c>
      <c r="V899" t="s">
        <v>17374</v>
      </c>
      <c r="W899" t="s">
        <v>17375</v>
      </c>
      <c r="X899" t="s">
        <v>17376</v>
      </c>
      <c r="Y899" t="s">
        <v>17377</v>
      </c>
      <c r="Z899" t="s">
        <v>17378</v>
      </c>
      <c r="AA899" t="s">
        <v>17379</v>
      </c>
      <c r="AB899" t="s">
        <v>17380</v>
      </c>
      <c r="AC899" t="s">
        <v>17381</v>
      </c>
      <c r="AD899" t="s">
        <v>17382</v>
      </c>
      <c r="AE899" t="s">
        <v>17383</v>
      </c>
      <c r="AF899" t="s">
        <v>74</v>
      </c>
      <c r="AG899">
        <v>28</v>
      </c>
      <c r="AH899">
        <v>0</v>
      </c>
      <c r="AI899">
        <v>0</v>
      </c>
      <c r="AJ899">
        <v>2</v>
      </c>
      <c r="AK899">
        <v>6</v>
      </c>
      <c r="AL899" t="s">
        <v>447</v>
      </c>
      <c r="AM899" t="s">
        <v>448</v>
      </c>
      <c r="AN899" t="s">
        <v>449</v>
      </c>
      <c r="AO899" t="s">
        <v>17384</v>
      </c>
      <c r="AP899" t="s">
        <v>17385</v>
      </c>
      <c r="AQ899" t="s">
        <v>74</v>
      </c>
      <c r="AR899" t="s">
        <v>17386</v>
      </c>
      <c r="AS899" t="s">
        <v>17387</v>
      </c>
      <c r="AT899" t="s">
        <v>8210</v>
      </c>
      <c r="AU899">
        <v>2023</v>
      </c>
      <c r="AV899">
        <v>118</v>
      </c>
      <c r="AW899" t="s">
        <v>74</v>
      </c>
      <c r="AX899" t="s">
        <v>74</v>
      </c>
      <c r="AY899" t="s">
        <v>74</v>
      </c>
      <c r="AZ899" t="s">
        <v>74</v>
      </c>
      <c r="BA899" t="s">
        <v>74</v>
      </c>
      <c r="BB899" t="s">
        <v>74</v>
      </c>
      <c r="BC899" t="s">
        <v>74</v>
      </c>
      <c r="BD899">
        <v>106522</v>
      </c>
      <c r="BE899" t="s">
        <v>17388</v>
      </c>
      <c r="BF899" t="str">
        <f>HYPERLINK("http://dx.doi.org/10.1016/j.eneco.2023.106522","http://dx.doi.org/10.1016/j.eneco.2023.106522")</f>
        <v>http://dx.doi.org/10.1016/j.eneco.2023.106522</v>
      </c>
      <c r="BG899" t="s">
        <v>74</v>
      </c>
      <c r="BH899" t="s">
        <v>16484</v>
      </c>
      <c r="BI899">
        <v>20</v>
      </c>
      <c r="BJ899" t="s">
        <v>17389</v>
      </c>
      <c r="BK899" t="s">
        <v>1440</v>
      </c>
      <c r="BL899" t="s">
        <v>17390</v>
      </c>
      <c r="BM899" t="s">
        <v>17391</v>
      </c>
      <c r="BN899" t="s">
        <v>74</v>
      </c>
      <c r="BO899" t="s">
        <v>7413</v>
      </c>
      <c r="BP899" t="s">
        <v>74</v>
      </c>
      <c r="BQ899" t="s">
        <v>74</v>
      </c>
      <c r="BR899" t="s">
        <v>106</v>
      </c>
      <c r="BS899" t="s">
        <v>17392</v>
      </c>
      <c r="BT899" t="str">
        <f>HYPERLINK("https%3A%2F%2Fwww.webofscience.com%2Fwos%2Fwoscc%2Ffull-record%2FWOS:000927297700001","View Full Record in Web of Science")</f>
        <v>View Full Record in Web of Science</v>
      </c>
    </row>
    <row r="900" spans="1:72" x14ac:dyDescent="0.15">
      <c r="A900" t="s">
        <v>72</v>
      </c>
      <c r="B900" t="s">
        <v>17393</v>
      </c>
      <c r="C900" t="s">
        <v>74</v>
      </c>
      <c r="D900" t="s">
        <v>74</v>
      </c>
      <c r="E900" t="s">
        <v>74</v>
      </c>
      <c r="F900" t="s">
        <v>17394</v>
      </c>
      <c r="G900" t="s">
        <v>74</v>
      </c>
      <c r="H900" t="s">
        <v>74</v>
      </c>
      <c r="I900" t="s">
        <v>17395</v>
      </c>
      <c r="J900" t="s">
        <v>17396</v>
      </c>
      <c r="K900" t="s">
        <v>74</v>
      </c>
      <c r="L900" t="s">
        <v>74</v>
      </c>
      <c r="M900" t="s">
        <v>78</v>
      </c>
      <c r="N900" t="s">
        <v>112</v>
      </c>
      <c r="O900" t="s">
        <v>74</v>
      </c>
      <c r="P900" t="s">
        <v>74</v>
      </c>
      <c r="Q900" t="s">
        <v>74</v>
      </c>
      <c r="R900" t="s">
        <v>74</v>
      </c>
      <c r="S900" t="s">
        <v>74</v>
      </c>
      <c r="T900" t="s">
        <v>17397</v>
      </c>
      <c r="U900" t="s">
        <v>17398</v>
      </c>
      <c r="V900" t="s">
        <v>17399</v>
      </c>
      <c r="W900" t="s">
        <v>17400</v>
      </c>
      <c r="X900" t="s">
        <v>17401</v>
      </c>
      <c r="Y900" t="s">
        <v>17402</v>
      </c>
      <c r="Z900" t="s">
        <v>17403</v>
      </c>
      <c r="AA900" t="s">
        <v>17404</v>
      </c>
      <c r="AB900" t="s">
        <v>17405</v>
      </c>
      <c r="AC900" t="s">
        <v>17406</v>
      </c>
      <c r="AD900" t="s">
        <v>17407</v>
      </c>
      <c r="AE900" t="s">
        <v>17408</v>
      </c>
      <c r="AF900" t="s">
        <v>74</v>
      </c>
      <c r="AG900">
        <v>75</v>
      </c>
      <c r="AH900">
        <v>7</v>
      </c>
      <c r="AI900">
        <v>8</v>
      </c>
      <c r="AJ900">
        <v>0</v>
      </c>
      <c r="AK900">
        <v>2</v>
      </c>
      <c r="AL900" t="s">
        <v>1673</v>
      </c>
      <c r="AM900" t="s">
        <v>1674</v>
      </c>
      <c r="AN900" t="s">
        <v>1675</v>
      </c>
      <c r="AO900" t="s">
        <v>17409</v>
      </c>
      <c r="AP900" t="s">
        <v>17410</v>
      </c>
      <c r="AQ900" t="s">
        <v>74</v>
      </c>
      <c r="AR900" t="s">
        <v>17411</v>
      </c>
      <c r="AS900" t="s">
        <v>17412</v>
      </c>
      <c r="AT900" t="s">
        <v>8042</v>
      </c>
      <c r="AU900">
        <v>2023</v>
      </c>
      <c r="AV900">
        <v>180</v>
      </c>
      <c r="AW900" t="s">
        <v>74</v>
      </c>
      <c r="AX900" t="s">
        <v>74</v>
      </c>
      <c r="AY900" t="s">
        <v>74</v>
      </c>
      <c r="AZ900" t="s">
        <v>74</v>
      </c>
      <c r="BA900" t="s">
        <v>74</v>
      </c>
      <c r="BB900" t="s">
        <v>74</v>
      </c>
      <c r="BC900" t="s">
        <v>74</v>
      </c>
      <c r="BD900">
        <v>107707</v>
      </c>
      <c r="BE900" t="s">
        <v>17413</v>
      </c>
      <c r="BF900" t="str">
        <f>HYPERLINK("http://dx.doi.org/10.1016/j.ympev.2023.107707","http://dx.doi.org/10.1016/j.ympev.2023.107707")</f>
        <v>http://dx.doi.org/10.1016/j.ympev.2023.107707</v>
      </c>
      <c r="BG900" t="s">
        <v>74</v>
      </c>
      <c r="BH900" t="s">
        <v>16484</v>
      </c>
      <c r="BI900">
        <v>18</v>
      </c>
      <c r="BJ900" t="s">
        <v>4217</v>
      </c>
      <c r="BK900" t="s">
        <v>103</v>
      </c>
      <c r="BL900" t="s">
        <v>4217</v>
      </c>
      <c r="BM900" t="s">
        <v>17414</v>
      </c>
      <c r="BN900">
        <v>36681365</v>
      </c>
      <c r="BO900" t="s">
        <v>1748</v>
      </c>
      <c r="BP900" t="s">
        <v>74</v>
      </c>
      <c r="BQ900" t="s">
        <v>74</v>
      </c>
      <c r="BR900" t="s">
        <v>106</v>
      </c>
      <c r="BS900" t="s">
        <v>17415</v>
      </c>
      <c r="BT900" t="str">
        <f>HYPERLINK("https%3A%2F%2Fwww.webofscience.com%2Fwos%2Fwoscc%2Ffull-record%2FWOS:000925915600001","View Full Record in Web of Science")</f>
        <v>View Full Record in Web of Science</v>
      </c>
    </row>
    <row r="901" spans="1:72" x14ac:dyDescent="0.15">
      <c r="A901" t="s">
        <v>72</v>
      </c>
      <c r="B901" t="s">
        <v>17416</v>
      </c>
      <c r="C901" t="s">
        <v>74</v>
      </c>
      <c r="D901" t="s">
        <v>74</v>
      </c>
      <c r="E901" t="s">
        <v>74</v>
      </c>
      <c r="F901" t="s">
        <v>17417</v>
      </c>
      <c r="G901" t="s">
        <v>74</v>
      </c>
      <c r="H901" t="s">
        <v>74</v>
      </c>
      <c r="I901" t="s">
        <v>17418</v>
      </c>
      <c r="J901" t="s">
        <v>3987</v>
      </c>
      <c r="K901" t="s">
        <v>74</v>
      </c>
      <c r="L901" t="s">
        <v>74</v>
      </c>
      <c r="M901" t="s">
        <v>78</v>
      </c>
      <c r="N901" t="s">
        <v>112</v>
      </c>
      <c r="O901" t="s">
        <v>74</v>
      </c>
      <c r="P901" t="s">
        <v>74</v>
      </c>
      <c r="Q901" t="s">
        <v>74</v>
      </c>
      <c r="R901" t="s">
        <v>74</v>
      </c>
      <c r="S901" t="s">
        <v>74</v>
      </c>
      <c r="T901" t="s">
        <v>17419</v>
      </c>
      <c r="U901" t="s">
        <v>17420</v>
      </c>
      <c r="V901" t="s">
        <v>17421</v>
      </c>
      <c r="W901" t="s">
        <v>17422</v>
      </c>
      <c r="X901" t="s">
        <v>17423</v>
      </c>
      <c r="Y901" t="s">
        <v>17424</v>
      </c>
      <c r="Z901" t="s">
        <v>17425</v>
      </c>
      <c r="AA901" t="s">
        <v>17426</v>
      </c>
      <c r="AB901" t="s">
        <v>17427</v>
      </c>
      <c r="AC901" t="s">
        <v>17428</v>
      </c>
      <c r="AD901" t="s">
        <v>17429</v>
      </c>
      <c r="AE901" t="s">
        <v>17430</v>
      </c>
      <c r="AF901" t="s">
        <v>74</v>
      </c>
      <c r="AG901">
        <v>230</v>
      </c>
      <c r="AH901">
        <v>6</v>
      </c>
      <c r="AI901">
        <v>6</v>
      </c>
      <c r="AJ901">
        <v>12</v>
      </c>
      <c r="AK901">
        <v>33</v>
      </c>
      <c r="AL901" t="s">
        <v>700</v>
      </c>
      <c r="AM901" t="s">
        <v>701</v>
      </c>
      <c r="AN901" t="s">
        <v>702</v>
      </c>
      <c r="AO901" t="s">
        <v>3997</v>
      </c>
      <c r="AP901" t="s">
        <v>74</v>
      </c>
      <c r="AQ901" t="s">
        <v>74</v>
      </c>
      <c r="AR901" t="s">
        <v>3998</v>
      </c>
      <c r="AS901" t="s">
        <v>3999</v>
      </c>
      <c r="AT901" t="s">
        <v>17364</v>
      </c>
      <c r="AU901">
        <v>2023</v>
      </c>
      <c r="AV901">
        <v>10</v>
      </c>
      <c r="AW901" t="s">
        <v>74</v>
      </c>
      <c r="AX901" t="s">
        <v>74</v>
      </c>
      <c r="AY901" t="s">
        <v>74</v>
      </c>
      <c r="AZ901" t="s">
        <v>74</v>
      </c>
      <c r="BA901" t="s">
        <v>74</v>
      </c>
      <c r="BB901" t="s">
        <v>74</v>
      </c>
      <c r="BC901" t="s">
        <v>74</v>
      </c>
      <c r="BD901">
        <v>1073823</v>
      </c>
      <c r="BE901" t="s">
        <v>17431</v>
      </c>
      <c r="BF901" t="str">
        <f>HYPERLINK("http://dx.doi.org/10.3389/fevo.2022.1073823","http://dx.doi.org/10.3389/fevo.2022.1073823")</f>
        <v>http://dx.doi.org/10.3389/fevo.2022.1073823</v>
      </c>
      <c r="BG901" t="s">
        <v>74</v>
      </c>
      <c r="BH901" t="s">
        <v>74</v>
      </c>
      <c r="BI901">
        <v>25</v>
      </c>
      <c r="BJ901" t="s">
        <v>2101</v>
      </c>
      <c r="BK901" t="s">
        <v>103</v>
      </c>
      <c r="BL901" t="s">
        <v>1164</v>
      </c>
      <c r="BM901" t="s">
        <v>17432</v>
      </c>
      <c r="BN901" t="s">
        <v>74</v>
      </c>
      <c r="BO901" t="s">
        <v>7702</v>
      </c>
      <c r="BP901" t="s">
        <v>74</v>
      </c>
      <c r="BQ901" t="s">
        <v>74</v>
      </c>
      <c r="BR901" t="s">
        <v>106</v>
      </c>
      <c r="BS901" t="s">
        <v>17433</v>
      </c>
      <c r="BT901" t="str">
        <f>HYPERLINK("https%3A%2F%2Fwww.webofscience.com%2Fwos%2Fwoscc%2Ffull-record%2FWOS:000926094800001","View Full Record in Web of Science")</f>
        <v>View Full Record in Web of Science</v>
      </c>
    </row>
    <row r="902" spans="1:72" x14ac:dyDescent="0.15">
      <c r="A902" t="s">
        <v>72</v>
      </c>
      <c r="B902" t="s">
        <v>17434</v>
      </c>
      <c r="C902" t="s">
        <v>74</v>
      </c>
      <c r="D902" t="s">
        <v>74</v>
      </c>
      <c r="E902" t="s">
        <v>74</v>
      </c>
      <c r="F902" t="s">
        <v>17435</v>
      </c>
      <c r="G902" t="s">
        <v>74</v>
      </c>
      <c r="H902" t="s">
        <v>74</v>
      </c>
      <c r="I902" t="s">
        <v>17436</v>
      </c>
      <c r="J902" t="s">
        <v>12479</v>
      </c>
      <c r="K902" t="s">
        <v>74</v>
      </c>
      <c r="L902" t="s">
        <v>74</v>
      </c>
      <c r="M902" t="s">
        <v>78</v>
      </c>
      <c r="N902" t="s">
        <v>112</v>
      </c>
      <c r="O902" t="s">
        <v>74</v>
      </c>
      <c r="P902" t="s">
        <v>74</v>
      </c>
      <c r="Q902" t="s">
        <v>74</v>
      </c>
      <c r="R902" t="s">
        <v>74</v>
      </c>
      <c r="S902" t="s">
        <v>74</v>
      </c>
      <c r="T902" t="s">
        <v>74</v>
      </c>
      <c r="U902" t="s">
        <v>74</v>
      </c>
      <c r="V902" t="s">
        <v>17437</v>
      </c>
      <c r="W902" t="s">
        <v>17438</v>
      </c>
      <c r="X902" t="s">
        <v>222</v>
      </c>
      <c r="Y902" t="s">
        <v>17439</v>
      </c>
      <c r="Z902" t="s">
        <v>12483</v>
      </c>
      <c r="AA902" t="s">
        <v>17440</v>
      </c>
      <c r="AB902" t="s">
        <v>17441</v>
      </c>
      <c r="AC902" t="s">
        <v>12486</v>
      </c>
      <c r="AD902" t="s">
        <v>251</v>
      </c>
      <c r="AE902" t="s">
        <v>17442</v>
      </c>
      <c r="AF902" t="s">
        <v>74</v>
      </c>
      <c r="AG902">
        <v>9</v>
      </c>
      <c r="AH902">
        <v>0</v>
      </c>
      <c r="AI902">
        <v>0</v>
      </c>
      <c r="AJ902">
        <v>0</v>
      </c>
      <c r="AK902">
        <v>2</v>
      </c>
      <c r="AL902" t="s">
        <v>1599</v>
      </c>
      <c r="AM902" t="s">
        <v>306</v>
      </c>
      <c r="AN902" t="s">
        <v>1600</v>
      </c>
      <c r="AO902" t="s">
        <v>12488</v>
      </c>
      <c r="AP902" t="s">
        <v>74</v>
      </c>
      <c r="AQ902" t="s">
        <v>74</v>
      </c>
      <c r="AR902" t="s">
        <v>12489</v>
      </c>
      <c r="AS902" t="s">
        <v>12490</v>
      </c>
      <c r="AT902" t="s">
        <v>13018</v>
      </c>
      <c r="AU902">
        <v>2023</v>
      </c>
      <c r="AV902">
        <v>12</v>
      </c>
      <c r="AW902">
        <v>2</v>
      </c>
      <c r="AX902" t="s">
        <v>74</v>
      </c>
      <c r="AY902" t="s">
        <v>74</v>
      </c>
      <c r="AZ902" t="s">
        <v>74</v>
      </c>
      <c r="BA902" t="s">
        <v>74</v>
      </c>
      <c r="BB902" t="s">
        <v>74</v>
      </c>
      <c r="BC902" t="s">
        <v>74</v>
      </c>
      <c r="BD902" t="s">
        <v>74</v>
      </c>
      <c r="BE902" t="s">
        <v>17443</v>
      </c>
      <c r="BF902" t="str">
        <f>HYPERLINK("http://dx.doi.org/10.1128/mra.01120-22","http://dx.doi.org/10.1128/mra.01120-22")</f>
        <v>http://dx.doi.org/10.1128/mra.01120-22</v>
      </c>
      <c r="BG902" t="s">
        <v>74</v>
      </c>
      <c r="BH902" t="s">
        <v>16484</v>
      </c>
      <c r="BI902">
        <v>2</v>
      </c>
      <c r="BJ902" t="s">
        <v>1387</v>
      </c>
      <c r="BK902" t="s">
        <v>160</v>
      </c>
      <c r="BL902" t="s">
        <v>1387</v>
      </c>
      <c r="BM902" t="s">
        <v>17444</v>
      </c>
      <c r="BN902">
        <v>36688677</v>
      </c>
      <c r="BO902" t="s">
        <v>136</v>
      </c>
      <c r="BP902" t="s">
        <v>74</v>
      </c>
      <c r="BQ902" t="s">
        <v>74</v>
      </c>
      <c r="BR902" t="s">
        <v>106</v>
      </c>
      <c r="BS902" t="s">
        <v>17445</v>
      </c>
      <c r="BT902" t="str">
        <f>HYPERLINK("https%3A%2F%2Fwww.webofscience.com%2Fwos%2Fwoscc%2Ffull-record%2FWOS:000928929100001","View Full Record in Web of Science")</f>
        <v>View Full Record in Web of Science</v>
      </c>
    </row>
    <row r="903" spans="1:72" x14ac:dyDescent="0.15">
      <c r="A903" t="s">
        <v>72</v>
      </c>
      <c r="B903" t="s">
        <v>17446</v>
      </c>
      <c r="C903" t="s">
        <v>74</v>
      </c>
      <c r="D903" t="s">
        <v>74</v>
      </c>
      <c r="E903" t="s">
        <v>74</v>
      </c>
      <c r="F903" t="s">
        <v>17447</v>
      </c>
      <c r="G903" t="s">
        <v>74</v>
      </c>
      <c r="H903" t="s">
        <v>74</v>
      </c>
      <c r="I903" t="s">
        <v>17448</v>
      </c>
      <c r="J903" t="s">
        <v>17449</v>
      </c>
      <c r="K903" t="s">
        <v>74</v>
      </c>
      <c r="L903" t="s">
        <v>74</v>
      </c>
      <c r="M903" t="s">
        <v>78</v>
      </c>
      <c r="N903" t="s">
        <v>112</v>
      </c>
      <c r="O903" t="s">
        <v>74</v>
      </c>
      <c r="P903" t="s">
        <v>74</v>
      </c>
      <c r="Q903" t="s">
        <v>74</v>
      </c>
      <c r="R903" t="s">
        <v>74</v>
      </c>
      <c r="S903" t="s">
        <v>74</v>
      </c>
      <c r="T903" t="s">
        <v>74</v>
      </c>
      <c r="U903" t="s">
        <v>17450</v>
      </c>
      <c r="V903" t="s">
        <v>17451</v>
      </c>
      <c r="W903" t="s">
        <v>17452</v>
      </c>
      <c r="X903" t="s">
        <v>17453</v>
      </c>
      <c r="Y903" t="s">
        <v>17454</v>
      </c>
      <c r="Z903" t="s">
        <v>17455</v>
      </c>
      <c r="AA903" t="s">
        <v>17456</v>
      </c>
      <c r="AB903" t="s">
        <v>17457</v>
      </c>
      <c r="AC903" t="s">
        <v>17458</v>
      </c>
      <c r="AD903" t="s">
        <v>17459</v>
      </c>
      <c r="AE903" t="s">
        <v>17460</v>
      </c>
      <c r="AF903" t="s">
        <v>74</v>
      </c>
      <c r="AG903">
        <v>51</v>
      </c>
      <c r="AH903">
        <v>0</v>
      </c>
      <c r="AI903">
        <v>0</v>
      </c>
      <c r="AJ903">
        <v>8</v>
      </c>
      <c r="AK903">
        <v>23</v>
      </c>
      <c r="AL903" t="s">
        <v>1357</v>
      </c>
      <c r="AM903" t="s">
        <v>525</v>
      </c>
      <c r="AN903" t="s">
        <v>1358</v>
      </c>
      <c r="AO903" t="s">
        <v>17461</v>
      </c>
      <c r="AP903" t="s">
        <v>17462</v>
      </c>
      <c r="AQ903" t="s">
        <v>74</v>
      </c>
      <c r="AR903" t="s">
        <v>17463</v>
      </c>
      <c r="AS903" t="s">
        <v>17464</v>
      </c>
      <c r="AT903" t="s">
        <v>1437</v>
      </c>
      <c r="AU903">
        <v>2023</v>
      </c>
      <c r="AV903">
        <v>17</v>
      </c>
      <c r="AW903">
        <v>4</v>
      </c>
      <c r="AX903" t="s">
        <v>74</v>
      </c>
      <c r="AY903" t="s">
        <v>74</v>
      </c>
      <c r="AZ903" t="s">
        <v>74</v>
      </c>
      <c r="BA903" t="s">
        <v>74</v>
      </c>
      <c r="BB903">
        <v>537</v>
      </c>
      <c r="BC903">
        <v>548</v>
      </c>
      <c r="BD903" t="s">
        <v>74</v>
      </c>
      <c r="BE903" t="s">
        <v>17465</v>
      </c>
      <c r="BF903" t="str">
        <f>HYPERLINK("http://dx.doi.org/10.1038/s41396-023-01364-6","http://dx.doi.org/10.1038/s41396-023-01364-6")</f>
        <v>http://dx.doi.org/10.1038/s41396-023-01364-6</v>
      </c>
      <c r="BG903" t="s">
        <v>74</v>
      </c>
      <c r="BH903" t="s">
        <v>16484</v>
      </c>
      <c r="BI903">
        <v>12</v>
      </c>
      <c r="BJ903" t="s">
        <v>16776</v>
      </c>
      <c r="BK903" t="s">
        <v>103</v>
      </c>
      <c r="BL903" t="s">
        <v>12706</v>
      </c>
      <c r="BM903" t="s">
        <v>17466</v>
      </c>
      <c r="BN903">
        <v>36690779</v>
      </c>
      <c r="BO903" t="s">
        <v>10585</v>
      </c>
      <c r="BP903" t="s">
        <v>74</v>
      </c>
      <c r="BQ903" t="s">
        <v>74</v>
      </c>
      <c r="BR903" t="s">
        <v>106</v>
      </c>
      <c r="BS903" t="s">
        <v>17467</v>
      </c>
      <c r="BT903" t="str">
        <f>HYPERLINK("https%3A%2F%2Fwww.webofscience.com%2Fwos%2Fwoscc%2Ffull-record%2FWOS:000919717900002","View Full Record in Web of Science")</f>
        <v>View Full Record in Web of Science</v>
      </c>
    </row>
    <row r="904" spans="1:72" x14ac:dyDescent="0.15">
      <c r="A904" t="s">
        <v>72</v>
      </c>
      <c r="B904" t="s">
        <v>17468</v>
      </c>
      <c r="C904" t="s">
        <v>74</v>
      </c>
      <c r="D904" t="s">
        <v>74</v>
      </c>
      <c r="E904" t="s">
        <v>74</v>
      </c>
      <c r="F904" t="s">
        <v>17469</v>
      </c>
      <c r="G904" t="s">
        <v>74</v>
      </c>
      <c r="H904" t="s">
        <v>74</v>
      </c>
      <c r="I904" t="s">
        <v>17470</v>
      </c>
      <c r="J904" t="s">
        <v>14401</v>
      </c>
      <c r="K904" t="s">
        <v>74</v>
      </c>
      <c r="L904" t="s">
        <v>74</v>
      </c>
      <c r="M904" t="s">
        <v>78</v>
      </c>
      <c r="N904" t="s">
        <v>112</v>
      </c>
      <c r="O904" t="s">
        <v>74</v>
      </c>
      <c r="P904" t="s">
        <v>74</v>
      </c>
      <c r="Q904" t="s">
        <v>74</v>
      </c>
      <c r="R904" t="s">
        <v>74</v>
      </c>
      <c r="S904" t="s">
        <v>74</v>
      </c>
      <c r="T904" t="s">
        <v>17471</v>
      </c>
      <c r="U904" t="s">
        <v>17472</v>
      </c>
      <c r="V904" t="s">
        <v>17473</v>
      </c>
      <c r="W904" t="s">
        <v>17474</v>
      </c>
      <c r="X904" t="s">
        <v>17475</v>
      </c>
      <c r="Y904" t="s">
        <v>17476</v>
      </c>
      <c r="Z904" t="s">
        <v>17477</v>
      </c>
      <c r="AA904" t="s">
        <v>74</v>
      </c>
      <c r="AB904" t="s">
        <v>17478</v>
      </c>
      <c r="AC904" t="s">
        <v>17479</v>
      </c>
      <c r="AD904" t="s">
        <v>17479</v>
      </c>
      <c r="AE904" t="s">
        <v>17480</v>
      </c>
      <c r="AF904" t="s">
        <v>74</v>
      </c>
      <c r="AG904">
        <v>47</v>
      </c>
      <c r="AH904">
        <v>1</v>
      </c>
      <c r="AI904">
        <v>1</v>
      </c>
      <c r="AJ904">
        <v>0</v>
      </c>
      <c r="AK904">
        <v>2</v>
      </c>
      <c r="AL904" t="s">
        <v>14413</v>
      </c>
      <c r="AM904" t="s">
        <v>14414</v>
      </c>
      <c r="AN904" t="s">
        <v>14415</v>
      </c>
      <c r="AO904" t="s">
        <v>14416</v>
      </c>
      <c r="AP904" t="s">
        <v>14417</v>
      </c>
      <c r="AQ904" t="s">
        <v>74</v>
      </c>
      <c r="AR904" t="s">
        <v>14418</v>
      </c>
      <c r="AS904" t="s">
        <v>14419</v>
      </c>
      <c r="AT904" t="s">
        <v>14420</v>
      </c>
      <c r="AU904">
        <v>2023</v>
      </c>
      <c r="AV904">
        <v>123</v>
      </c>
      <c r="AW904">
        <v>1</v>
      </c>
      <c r="AX904" t="s">
        <v>74</v>
      </c>
      <c r="AY904" t="s">
        <v>74</v>
      </c>
      <c r="AZ904" t="s">
        <v>74</v>
      </c>
      <c r="BA904" t="s">
        <v>74</v>
      </c>
      <c r="BB904">
        <v>60</v>
      </c>
      <c r="BC904">
        <v>70</v>
      </c>
      <c r="BD904" t="s">
        <v>74</v>
      </c>
      <c r="BE904" t="s">
        <v>17481</v>
      </c>
      <c r="BF904" t="str">
        <f>HYPERLINK("http://dx.doi.org/10.1080/01584197.2022.2161915","http://dx.doi.org/10.1080/01584197.2022.2161915")</f>
        <v>http://dx.doi.org/10.1080/01584197.2022.2161915</v>
      </c>
      <c r="BG904" t="s">
        <v>74</v>
      </c>
      <c r="BH904" t="s">
        <v>16484</v>
      </c>
      <c r="BI904">
        <v>11</v>
      </c>
      <c r="BJ904" t="s">
        <v>13055</v>
      </c>
      <c r="BK904" t="s">
        <v>103</v>
      </c>
      <c r="BL904" t="s">
        <v>2582</v>
      </c>
      <c r="BM904" t="s">
        <v>14422</v>
      </c>
      <c r="BN904" t="s">
        <v>74</v>
      </c>
      <c r="BO904" t="s">
        <v>74</v>
      </c>
      <c r="BP904" t="s">
        <v>74</v>
      </c>
      <c r="BQ904" t="s">
        <v>74</v>
      </c>
      <c r="BR904" t="s">
        <v>106</v>
      </c>
      <c r="BS904" t="s">
        <v>17482</v>
      </c>
      <c r="BT904" t="str">
        <f>HYPERLINK("https%3A%2F%2Fwww.webofscience.com%2Fwos%2Fwoscc%2Ffull-record%2FWOS:000921427500001","View Full Record in Web of Science")</f>
        <v>View Full Record in Web of Science</v>
      </c>
    </row>
    <row r="905" spans="1:72" x14ac:dyDescent="0.15">
      <c r="A905" t="s">
        <v>72</v>
      </c>
      <c r="B905" t="s">
        <v>17483</v>
      </c>
      <c r="C905" t="s">
        <v>74</v>
      </c>
      <c r="D905" t="s">
        <v>74</v>
      </c>
      <c r="E905" t="s">
        <v>74</v>
      </c>
      <c r="F905" t="s">
        <v>17484</v>
      </c>
      <c r="G905" t="s">
        <v>74</v>
      </c>
      <c r="H905" t="s">
        <v>74</v>
      </c>
      <c r="I905" t="s">
        <v>17485</v>
      </c>
      <c r="J905" t="s">
        <v>17486</v>
      </c>
      <c r="K905" t="s">
        <v>74</v>
      </c>
      <c r="L905" t="s">
        <v>74</v>
      </c>
      <c r="M905" t="s">
        <v>78</v>
      </c>
      <c r="N905" t="s">
        <v>112</v>
      </c>
      <c r="O905" t="s">
        <v>74</v>
      </c>
      <c r="P905" t="s">
        <v>74</v>
      </c>
      <c r="Q905" t="s">
        <v>74</v>
      </c>
      <c r="R905" t="s">
        <v>74</v>
      </c>
      <c r="S905" t="s">
        <v>74</v>
      </c>
      <c r="T905" t="s">
        <v>17487</v>
      </c>
      <c r="U905" t="s">
        <v>17488</v>
      </c>
      <c r="V905" t="s">
        <v>17489</v>
      </c>
      <c r="W905" t="s">
        <v>17490</v>
      </c>
      <c r="X905" t="s">
        <v>17491</v>
      </c>
      <c r="Y905" t="s">
        <v>17492</v>
      </c>
      <c r="Z905" t="s">
        <v>17493</v>
      </c>
      <c r="AA905" t="s">
        <v>17494</v>
      </c>
      <c r="AB905" t="s">
        <v>17495</v>
      </c>
      <c r="AC905" t="s">
        <v>17496</v>
      </c>
      <c r="AD905" t="s">
        <v>17497</v>
      </c>
      <c r="AE905" t="s">
        <v>17498</v>
      </c>
      <c r="AF905" t="s">
        <v>74</v>
      </c>
      <c r="AG905">
        <v>67</v>
      </c>
      <c r="AH905">
        <v>3</v>
      </c>
      <c r="AI905">
        <v>3</v>
      </c>
      <c r="AJ905">
        <v>8</v>
      </c>
      <c r="AK905">
        <v>24</v>
      </c>
      <c r="AL905" t="s">
        <v>17499</v>
      </c>
      <c r="AM905" t="s">
        <v>3407</v>
      </c>
      <c r="AN905" t="s">
        <v>17500</v>
      </c>
      <c r="AO905" t="s">
        <v>17501</v>
      </c>
      <c r="AP905" t="s">
        <v>74</v>
      </c>
      <c r="AQ905" t="s">
        <v>74</v>
      </c>
      <c r="AR905" t="s">
        <v>17502</v>
      </c>
      <c r="AS905" t="s">
        <v>17503</v>
      </c>
      <c r="AT905" t="s">
        <v>570</v>
      </c>
      <c r="AU905">
        <v>2023</v>
      </c>
      <c r="AV905">
        <v>196</v>
      </c>
      <c r="AW905" t="s">
        <v>7071</v>
      </c>
      <c r="AX905" t="s">
        <v>74</v>
      </c>
      <c r="AY905" t="s">
        <v>74</v>
      </c>
      <c r="AZ905" t="s">
        <v>74</v>
      </c>
      <c r="BA905" t="s">
        <v>74</v>
      </c>
      <c r="BB905">
        <v>229</v>
      </c>
      <c r="BC905">
        <v>249</v>
      </c>
      <c r="BD905" t="s">
        <v>74</v>
      </c>
      <c r="BE905" t="s">
        <v>17504</v>
      </c>
      <c r="BF905" t="str">
        <f>HYPERLINK("http://dx.doi.org/10.1127/fal/2023/1466","http://dx.doi.org/10.1127/fal/2023/1466")</f>
        <v>http://dx.doi.org/10.1127/fal/2023/1466</v>
      </c>
      <c r="BG905" t="s">
        <v>74</v>
      </c>
      <c r="BH905" t="s">
        <v>16484</v>
      </c>
      <c r="BI905">
        <v>21</v>
      </c>
      <c r="BJ905" t="s">
        <v>17505</v>
      </c>
      <c r="BK905" t="s">
        <v>103</v>
      </c>
      <c r="BL905" t="s">
        <v>385</v>
      </c>
      <c r="BM905" t="s">
        <v>17506</v>
      </c>
      <c r="BN905" t="s">
        <v>74</v>
      </c>
      <c r="BO905" t="s">
        <v>1303</v>
      </c>
      <c r="BP905" t="s">
        <v>74</v>
      </c>
      <c r="BQ905" t="s">
        <v>74</v>
      </c>
      <c r="BR905" t="s">
        <v>106</v>
      </c>
      <c r="BS905" t="s">
        <v>17507</v>
      </c>
      <c r="BT905" t="str">
        <f>HYPERLINK("https%3A%2F%2Fwww.webofscience.com%2Fwos%2Fwoscc%2Ffull-record%2FWOS:000911914800001","View Full Record in Web of Science")</f>
        <v>View Full Record in Web of Science</v>
      </c>
    </row>
    <row r="906" spans="1:72" x14ac:dyDescent="0.15">
      <c r="A906" t="s">
        <v>72</v>
      </c>
      <c r="B906" t="s">
        <v>17508</v>
      </c>
      <c r="C906" t="s">
        <v>74</v>
      </c>
      <c r="D906" t="s">
        <v>74</v>
      </c>
      <c r="E906" t="s">
        <v>74</v>
      </c>
      <c r="F906" t="s">
        <v>17509</v>
      </c>
      <c r="G906" t="s">
        <v>74</v>
      </c>
      <c r="H906" t="s">
        <v>74</v>
      </c>
      <c r="I906" t="s">
        <v>17510</v>
      </c>
      <c r="J906" t="s">
        <v>9724</v>
      </c>
      <c r="K906" t="s">
        <v>74</v>
      </c>
      <c r="L906" t="s">
        <v>74</v>
      </c>
      <c r="M906" t="s">
        <v>78</v>
      </c>
      <c r="N906" t="s">
        <v>112</v>
      </c>
      <c r="O906" t="s">
        <v>74</v>
      </c>
      <c r="P906" t="s">
        <v>74</v>
      </c>
      <c r="Q906" t="s">
        <v>74</v>
      </c>
      <c r="R906" t="s">
        <v>74</v>
      </c>
      <c r="S906" t="s">
        <v>74</v>
      </c>
      <c r="T906" t="s">
        <v>17511</v>
      </c>
      <c r="U906" t="s">
        <v>17512</v>
      </c>
      <c r="V906" t="s">
        <v>17513</v>
      </c>
      <c r="W906" t="s">
        <v>17514</v>
      </c>
      <c r="X906" t="s">
        <v>17515</v>
      </c>
      <c r="Y906" t="s">
        <v>17516</v>
      </c>
      <c r="Z906" t="s">
        <v>17517</v>
      </c>
      <c r="AA906" t="s">
        <v>17518</v>
      </c>
      <c r="AB906" t="s">
        <v>17519</v>
      </c>
      <c r="AC906" t="s">
        <v>17520</v>
      </c>
      <c r="AD906" t="s">
        <v>17520</v>
      </c>
      <c r="AE906" t="s">
        <v>17521</v>
      </c>
      <c r="AF906" t="s">
        <v>74</v>
      </c>
      <c r="AG906">
        <v>66</v>
      </c>
      <c r="AH906">
        <v>0</v>
      </c>
      <c r="AI906">
        <v>0</v>
      </c>
      <c r="AJ906">
        <v>1</v>
      </c>
      <c r="AK906">
        <v>11</v>
      </c>
      <c r="AL906" t="s">
        <v>768</v>
      </c>
      <c r="AM906" t="s">
        <v>2866</v>
      </c>
      <c r="AN906" t="s">
        <v>2867</v>
      </c>
      <c r="AO906" t="s">
        <v>9734</v>
      </c>
      <c r="AP906" t="s">
        <v>9735</v>
      </c>
      <c r="AQ906" t="s">
        <v>74</v>
      </c>
      <c r="AR906" t="s">
        <v>9736</v>
      </c>
      <c r="AS906" t="s">
        <v>9737</v>
      </c>
      <c r="AT906" t="s">
        <v>8042</v>
      </c>
      <c r="AU906">
        <v>2023</v>
      </c>
      <c r="AV906">
        <v>32</v>
      </c>
      <c r="AW906">
        <v>4</v>
      </c>
      <c r="AX906" t="s">
        <v>74</v>
      </c>
      <c r="AY906" t="s">
        <v>74</v>
      </c>
      <c r="AZ906" t="s">
        <v>74</v>
      </c>
      <c r="BA906" t="s">
        <v>74</v>
      </c>
      <c r="BB906">
        <v>1165</v>
      </c>
      <c r="BC906">
        <v>1187</v>
      </c>
      <c r="BD906" t="s">
        <v>74</v>
      </c>
      <c r="BE906" t="s">
        <v>17522</v>
      </c>
      <c r="BF906" t="str">
        <f>HYPERLINK("http://dx.doi.org/10.1007/s10531-023-02544-8","http://dx.doi.org/10.1007/s10531-023-02544-8")</f>
        <v>http://dx.doi.org/10.1007/s10531-023-02544-8</v>
      </c>
      <c r="BG906" t="s">
        <v>74</v>
      </c>
      <c r="BH906" t="s">
        <v>16484</v>
      </c>
      <c r="BI906">
        <v>23</v>
      </c>
      <c r="BJ906" t="s">
        <v>7496</v>
      </c>
      <c r="BK906" t="s">
        <v>103</v>
      </c>
      <c r="BL906" t="s">
        <v>776</v>
      </c>
      <c r="BM906" t="s">
        <v>17523</v>
      </c>
      <c r="BN906" t="s">
        <v>74</v>
      </c>
      <c r="BO906" t="s">
        <v>1389</v>
      </c>
      <c r="BP906" t="s">
        <v>74</v>
      </c>
      <c r="BQ906" t="s">
        <v>74</v>
      </c>
      <c r="BR906" t="s">
        <v>106</v>
      </c>
      <c r="BS906" t="s">
        <v>17524</v>
      </c>
      <c r="BT906" t="str">
        <f>HYPERLINK("https%3A%2F%2Fwww.webofscience.com%2Fwos%2Fwoscc%2Ffull-record%2FWOS:000922729900001","View Full Record in Web of Science")</f>
        <v>View Full Record in Web of Science</v>
      </c>
    </row>
    <row r="907" spans="1:72" x14ac:dyDescent="0.15">
      <c r="A907" t="s">
        <v>72</v>
      </c>
      <c r="B907" t="s">
        <v>17525</v>
      </c>
      <c r="C907" t="s">
        <v>74</v>
      </c>
      <c r="D907" t="s">
        <v>74</v>
      </c>
      <c r="E907" t="s">
        <v>74</v>
      </c>
      <c r="F907" t="s">
        <v>17526</v>
      </c>
      <c r="G907" t="s">
        <v>74</v>
      </c>
      <c r="H907" t="s">
        <v>74</v>
      </c>
      <c r="I907" t="s">
        <v>17527</v>
      </c>
      <c r="J907" t="s">
        <v>4138</v>
      </c>
      <c r="K907" t="s">
        <v>74</v>
      </c>
      <c r="L907" t="s">
        <v>74</v>
      </c>
      <c r="M907" t="s">
        <v>78</v>
      </c>
      <c r="N907" t="s">
        <v>365</v>
      </c>
      <c r="O907" t="s">
        <v>74</v>
      </c>
      <c r="P907" t="s">
        <v>74</v>
      </c>
      <c r="Q907" t="s">
        <v>74</v>
      </c>
      <c r="R907" t="s">
        <v>74</v>
      </c>
      <c r="S907" t="s">
        <v>74</v>
      </c>
      <c r="T907" t="s">
        <v>17528</v>
      </c>
      <c r="U907" t="s">
        <v>17529</v>
      </c>
      <c r="V907" t="s">
        <v>17530</v>
      </c>
      <c r="W907" t="s">
        <v>17531</v>
      </c>
      <c r="X907" t="s">
        <v>2036</v>
      </c>
      <c r="Y907" t="s">
        <v>17532</v>
      </c>
      <c r="Z907" t="s">
        <v>17533</v>
      </c>
      <c r="AA907" t="s">
        <v>17534</v>
      </c>
      <c r="AB907" t="s">
        <v>17535</v>
      </c>
      <c r="AC907" t="s">
        <v>17536</v>
      </c>
      <c r="AD907" t="s">
        <v>17537</v>
      </c>
      <c r="AE907" t="s">
        <v>17538</v>
      </c>
      <c r="AF907" t="s">
        <v>74</v>
      </c>
      <c r="AG907">
        <v>104</v>
      </c>
      <c r="AH907">
        <v>3</v>
      </c>
      <c r="AI907">
        <v>3</v>
      </c>
      <c r="AJ907">
        <v>4</v>
      </c>
      <c r="AK907">
        <v>19</v>
      </c>
      <c r="AL907" t="s">
        <v>2092</v>
      </c>
      <c r="AM907" t="s">
        <v>2093</v>
      </c>
      <c r="AN907" t="s">
        <v>2094</v>
      </c>
      <c r="AO907" t="s">
        <v>4148</v>
      </c>
      <c r="AP907" t="s">
        <v>4149</v>
      </c>
      <c r="AQ907" t="s">
        <v>74</v>
      </c>
      <c r="AR907" t="s">
        <v>4150</v>
      </c>
      <c r="AS907" t="s">
        <v>4151</v>
      </c>
      <c r="AT907" t="s">
        <v>1108</v>
      </c>
      <c r="AU907">
        <v>2023</v>
      </c>
      <c r="AV907">
        <v>15</v>
      </c>
      <c r="AW907">
        <v>4</v>
      </c>
      <c r="AX907" t="s">
        <v>74</v>
      </c>
      <c r="AY907" t="s">
        <v>74</v>
      </c>
      <c r="AZ907" t="s">
        <v>74</v>
      </c>
      <c r="BA907" t="s">
        <v>74</v>
      </c>
      <c r="BB907">
        <v>1467</v>
      </c>
      <c r="BC907">
        <v>1479</v>
      </c>
      <c r="BD907" t="s">
        <v>74</v>
      </c>
      <c r="BE907" t="s">
        <v>17539</v>
      </c>
      <c r="BF907" t="str">
        <f>HYPERLINK("http://dx.doi.org/10.1111/raq.12788","http://dx.doi.org/10.1111/raq.12788")</f>
        <v>http://dx.doi.org/10.1111/raq.12788</v>
      </c>
      <c r="BG907" t="s">
        <v>74</v>
      </c>
      <c r="BH907" t="s">
        <v>16484</v>
      </c>
      <c r="BI907">
        <v>13</v>
      </c>
      <c r="BJ907" t="s">
        <v>3222</v>
      </c>
      <c r="BK907" t="s">
        <v>103</v>
      </c>
      <c r="BL907" t="s">
        <v>3222</v>
      </c>
      <c r="BM907" t="s">
        <v>17540</v>
      </c>
      <c r="BN907" t="s">
        <v>74</v>
      </c>
      <c r="BO907" t="s">
        <v>430</v>
      </c>
      <c r="BP907" t="s">
        <v>74</v>
      </c>
      <c r="BQ907" t="s">
        <v>74</v>
      </c>
      <c r="BR907" t="s">
        <v>106</v>
      </c>
      <c r="BS907" t="s">
        <v>17541</v>
      </c>
      <c r="BT907" t="str">
        <f>HYPERLINK("https%3A%2F%2Fwww.webofscience.com%2Fwos%2Fwoscc%2Ffull-record%2FWOS:000919061300001","View Full Record in Web of Science")</f>
        <v>View Full Record in Web of Science</v>
      </c>
    </row>
    <row r="908" spans="1:72" x14ac:dyDescent="0.15">
      <c r="A908" t="s">
        <v>72</v>
      </c>
      <c r="B908" t="s">
        <v>17542</v>
      </c>
      <c r="C908" t="s">
        <v>74</v>
      </c>
      <c r="D908" t="s">
        <v>74</v>
      </c>
      <c r="E908" t="s">
        <v>74</v>
      </c>
      <c r="F908" t="s">
        <v>17543</v>
      </c>
      <c r="G908" t="s">
        <v>74</v>
      </c>
      <c r="H908" t="s">
        <v>74</v>
      </c>
      <c r="I908" t="s">
        <v>17544</v>
      </c>
      <c r="J908" t="s">
        <v>759</v>
      </c>
      <c r="K908" t="s">
        <v>74</v>
      </c>
      <c r="L908" t="s">
        <v>74</v>
      </c>
      <c r="M908" t="s">
        <v>78</v>
      </c>
      <c r="N908" t="s">
        <v>112</v>
      </c>
      <c r="O908" t="s">
        <v>74</v>
      </c>
      <c r="P908" t="s">
        <v>74</v>
      </c>
      <c r="Q908" t="s">
        <v>74</v>
      </c>
      <c r="R908" t="s">
        <v>74</v>
      </c>
      <c r="S908" t="s">
        <v>74</v>
      </c>
      <c r="T908" t="s">
        <v>17545</v>
      </c>
      <c r="U908" t="s">
        <v>17546</v>
      </c>
      <c r="V908" t="s">
        <v>17547</v>
      </c>
      <c r="W908" t="s">
        <v>17548</v>
      </c>
      <c r="X908" t="s">
        <v>17549</v>
      </c>
      <c r="Y908" t="s">
        <v>17550</v>
      </c>
      <c r="Z908" t="s">
        <v>17551</v>
      </c>
      <c r="AA908" t="s">
        <v>74</v>
      </c>
      <c r="AB908" t="s">
        <v>17552</v>
      </c>
      <c r="AC908" t="s">
        <v>17553</v>
      </c>
      <c r="AD908" t="s">
        <v>17553</v>
      </c>
      <c r="AE908" t="s">
        <v>17553</v>
      </c>
      <c r="AF908" t="s">
        <v>74</v>
      </c>
      <c r="AG908">
        <v>38</v>
      </c>
      <c r="AH908">
        <v>0</v>
      </c>
      <c r="AI908">
        <v>0</v>
      </c>
      <c r="AJ908">
        <v>4</v>
      </c>
      <c r="AK908">
        <v>8</v>
      </c>
      <c r="AL908" t="s">
        <v>768</v>
      </c>
      <c r="AM908" t="s">
        <v>179</v>
      </c>
      <c r="AN908" t="s">
        <v>769</v>
      </c>
      <c r="AO908" t="s">
        <v>770</v>
      </c>
      <c r="AP908" t="s">
        <v>771</v>
      </c>
      <c r="AQ908" t="s">
        <v>74</v>
      </c>
      <c r="AR908" t="s">
        <v>772</v>
      </c>
      <c r="AS908" t="s">
        <v>773</v>
      </c>
      <c r="AT908" t="s">
        <v>8210</v>
      </c>
      <c r="AU908">
        <v>2023</v>
      </c>
      <c r="AV908">
        <v>46</v>
      </c>
      <c r="AW908">
        <v>2</v>
      </c>
      <c r="AX908" t="s">
        <v>74</v>
      </c>
      <c r="AY908" t="s">
        <v>74</v>
      </c>
      <c r="AZ908" t="s">
        <v>74</v>
      </c>
      <c r="BA908" t="s">
        <v>74</v>
      </c>
      <c r="BB908">
        <v>123</v>
      </c>
      <c r="BC908">
        <v>132</v>
      </c>
      <c r="BD908" t="s">
        <v>74</v>
      </c>
      <c r="BE908" t="s">
        <v>17554</v>
      </c>
      <c r="BF908" t="str">
        <f>HYPERLINK("http://dx.doi.org/10.1007/s00300-022-03109-1","http://dx.doi.org/10.1007/s00300-022-03109-1")</f>
        <v>http://dx.doi.org/10.1007/s00300-022-03109-1</v>
      </c>
      <c r="BG908" t="s">
        <v>74</v>
      </c>
      <c r="BH908" t="s">
        <v>16484</v>
      </c>
      <c r="BI908">
        <v>10</v>
      </c>
      <c r="BJ908" t="s">
        <v>775</v>
      </c>
      <c r="BK908" t="s">
        <v>103</v>
      </c>
      <c r="BL908" t="s">
        <v>776</v>
      </c>
      <c r="BM908" t="s">
        <v>17555</v>
      </c>
      <c r="BN908" t="s">
        <v>74</v>
      </c>
      <c r="BO908" t="s">
        <v>430</v>
      </c>
      <c r="BP908" t="s">
        <v>74</v>
      </c>
      <c r="BQ908" t="s">
        <v>74</v>
      </c>
      <c r="BR908" t="s">
        <v>106</v>
      </c>
      <c r="BS908" t="s">
        <v>17556</v>
      </c>
      <c r="BT908" t="str">
        <f>HYPERLINK("https%3A%2F%2Fwww.webofscience.com%2Fwos%2Fwoscc%2Ffull-record%2FWOS:000919057300001","View Full Record in Web of Science")</f>
        <v>View Full Record in Web of Science</v>
      </c>
    </row>
    <row r="909" spans="1:72" x14ac:dyDescent="0.15">
      <c r="A909" t="s">
        <v>72</v>
      </c>
      <c r="B909" t="s">
        <v>17557</v>
      </c>
      <c r="C909" t="s">
        <v>74</v>
      </c>
      <c r="D909" t="s">
        <v>74</v>
      </c>
      <c r="E909" t="s">
        <v>74</v>
      </c>
      <c r="F909" t="s">
        <v>17558</v>
      </c>
      <c r="G909" t="s">
        <v>74</v>
      </c>
      <c r="H909" t="s">
        <v>74</v>
      </c>
      <c r="I909" t="s">
        <v>17559</v>
      </c>
      <c r="J909" t="s">
        <v>619</v>
      </c>
      <c r="K909" t="s">
        <v>74</v>
      </c>
      <c r="L909" t="s">
        <v>74</v>
      </c>
      <c r="M909" t="s">
        <v>78</v>
      </c>
      <c r="N909" t="s">
        <v>112</v>
      </c>
      <c r="O909" t="s">
        <v>74</v>
      </c>
      <c r="P909" t="s">
        <v>74</v>
      </c>
      <c r="Q909" t="s">
        <v>74</v>
      </c>
      <c r="R909" t="s">
        <v>74</v>
      </c>
      <c r="S909" t="s">
        <v>74</v>
      </c>
      <c r="T909" t="s">
        <v>17560</v>
      </c>
      <c r="U909" t="s">
        <v>17561</v>
      </c>
      <c r="V909" t="s">
        <v>17562</v>
      </c>
      <c r="W909" t="s">
        <v>17563</v>
      </c>
      <c r="X909" t="s">
        <v>17564</v>
      </c>
      <c r="Y909" t="s">
        <v>17565</v>
      </c>
      <c r="Z909" t="s">
        <v>17566</v>
      </c>
      <c r="AA909" t="s">
        <v>17567</v>
      </c>
      <c r="AB909" t="s">
        <v>17568</v>
      </c>
      <c r="AC909" t="s">
        <v>17569</v>
      </c>
      <c r="AD909" t="s">
        <v>17570</v>
      </c>
      <c r="AE909" t="s">
        <v>17571</v>
      </c>
      <c r="AF909" t="s">
        <v>74</v>
      </c>
      <c r="AG909">
        <v>23</v>
      </c>
      <c r="AH909">
        <v>0</v>
      </c>
      <c r="AI909">
        <v>0</v>
      </c>
      <c r="AJ909">
        <v>9</v>
      </c>
      <c r="AK909">
        <v>26</v>
      </c>
      <c r="AL909" t="s">
        <v>225</v>
      </c>
      <c r="AM909" t="s">
        <v>226</v>
      </c>
      <c r="AN909" t="s">
        <v>227</v>
      </c>
      <c r="AO909" t="s">
        <v>631</v>
      </c>
      <c r="AP909" t="s">
        <v>632</v>
      </c>
      <c r="AQ909" t="s">
        <v>74</v>
      </c>
      <c r="AR909" t="s">
        <v>633</v>
      </c>
      <c r="AS909" t="s">
        <v>634</v>
      </c>
      <c r="AT909" t="s">
        <v>8042</v>
      </c>
      <c r="AU909">
        <v>2023</v>
      </c>
      <c r="AV909">
        <v>188</v>
      </c>
      <c r="AW909" t="s">
        <v>74</v>
      </c>
      <c r="AX909" t="s">
        <v>74</v>
      </c>
      <c r="AY909" t="s">
        <v>74</v>
      </c>
      <c r="AZ909" t="s">
        <v>74</v>
      </c>
      <c r="BA909" t="s">
        <v>74</v>
      </c>
      <c r="BB909" t="s">
        <v>74</v>
      </c>
      <c r="BC909" t="s">
        <v>74</v>
      </c>
      <c r="BD909">
        <v>114577</v>
      </c>
      <c r="BE909" t="s">
        <v>17572</v>
      </c>
      <c r="BF909" t="str">
        <f>HYPERLINK("http://dx.doi.org/10.1016/j.marpolbul.2023.114577","http://dx.doi.org/10.1016/j.marpolbul.2023.114577")</f>
        <v>http://dx.doi.org/10.1016/j.marpolbul.2023.114577</v>
      </c>
      <c r="BG909" t="s">
        <v>74</v>
      </c>
      <c r="BH909" t="s">
        <v>16484</v>
      </c>
      <c r="BI909">
        <v>4</v>
      </c>
      <c r="BJ909" t="s">
        <v>636</v>
      </c>
      <c r="BK909" t="s">
        <v>103</v>
      </c>
      <c r="BL909" t="s">
        <v>637</v>
      </c>
      <c r="BM909" t="s">
        <v>17573</v>
      </c>
      <c r="BN909">
        <v>36689872</v>
      </c>
      <c r="BO909" t="s">
        <v>74</v>
      </c>
      <c r="BP909" t="s">
        <v>74</v>
      </c>
      <c r="BQ909" t="s">
        <v>74</v>
      </c>
      <c r="BR909" t="s">
        <v>106</v>
      </c>
      <c r="BS909" t="s">
        <v>17574</v>
      </c>
      <c r="BT909" t="str">
        <f>HYPERLINK("https%3A%2F%2Fwww.webofscience.com%2Fwos%2Fwoscc%2Ffull-record%2FWOS:000925643600001","View Full Record in Web of Science")</f>
        <v>View Full Record in Web of Science</v>
      </c>
    </row>
    <row r="910" spans="1:72" x14ac:dyDescent="0.15">
      <c r="A910" t="s">
        <v>72</v>
      </c>
      <c r="B910" t="s">
        <v>17575</v>
      </c>
      <c r="C910" t="s">
        <v>74</v>
      </c>
      <c r="D910" t="s">
        <v>74</v>
      </c>
      <c r="E910" t="s">
        <v>74</v>
      </c>
      <c r="F910" t="s">
        <v>17576</v>
      </c>
      <c r="G910" t="s">
        <v>74</v>
      </c>
      <c r="H910" t="s">
        <v>74</v>
      </c>
      <c r="I910" t="s">
        <v>17577</v>
      </c>
      <c r="J910" t="s">
        <v>1753</v>
      </c>
      <c r="K910" t="s">
        <v>74</v>
      </c>
      <c r="L910" t="s">
        <v>74</v>
      </c>
      <c r="M910" t="s">
        <v>78</v>
      </c>
      <c r="N910" t="s">
        <v>112</v>
      </c>
      <c r="O910" t="s">
        <v>74</v>
      </c>
      <c r="P910" t="s">
        <v>74</v>
      </c>
      <c r="Q910" t="s">
        <v>74</v>
      </c>
      <c r="R910" t="s">
        <v>74</v>
      </c>
      <c r="S910" t="s">
        <v>74</v>
      </c>
      <c r="T910" t="s">
        <v>17578</v>
      </c>
      <c r="U910" t="s">
        <v>17579</v>
      </c>
      <c r="V910" t="s">
        <v>17580</v>
      </c>
      <c r="W910" t="s">
        <v>17581</v>
      </c>
      <c r="X910" t="s">
        <v>17582</v>
      </c>
      <c r="Y910" t="s">
        <v>17583</v>
      </c>
      <c r="Z910" t="s">
        <v>17584</v>
      </c>
      <c r="AA910" t="s">
        <v>74</v>
      </c>
      <c r="AB910" t="s">
        <v>17585</v>
      </c>
      <c r="AC910" t="s">
        <v>17586</v>
      </c>
      <c r="AD910" t="s">
        <v>17587</v>
      </c>
      <c r="AE910" t="s">
        <v>17588</v>
      </c>
      <c r="AF910" t="s">
        <v>74</v>
      </c>
      <c r="AG910">
        <v>108</v>
      </c>
      <c r="AH910">
        <v>2</v>
      </c>
      <c r="AI910">
        <v>2</v>
      </c>
      <c r="AJ910">
        <v>6</v>
      </c>
      <c r="AK910">
        <v>12</v>
      </c>
      <c r="AL910" t="s">
        <v>768</v>
      </c>
      <c r="AM910" t="s">
        <v>179</v>
      </c>
      <c r="AN910" t="s">
        <v>769</v>
      </c>
      <c r="AO910" t="s">
        <v>1766</v>
      </c>
      <c r="AP910" t="s">
        <v>1767</v>
      </c>
      <c r="AQ910" t="s">
        <v>74</v>
      </c>
      <c r="AR910" t="s">
        <v>1768</v>
      </c>
      <c r="AS910" t="s">
        <v>1769</v>
      </c>
      <c r="AT910" t="s">
        <v>1108</v>
      </c>
      <c r="AU910">
        <v>2023</v>
      </c>
      <c r="AV910">
        <v>61</v>
      </c>
      <c r="AW910" t="s">
        <v>13676</v>
      </c>
      <c r="AX910" t="s">
        <v>74</v>
      </c>
      <c r="AY910" t="s">
        <v>74</v>
      </c>
      <c r="AZ910" t="s">
        <v>74</v>
      </c>
      <c r="BA910" t="s">
        <v>74</v>
      </c>
      <c r="BB910">
        <v>2229</v>
      </c>
      <c r="BC910">
        <v>2252</v>
      </c>
      <c r="BD910" t="s">
        <v>74</v>
      </c>
      <c r="BE910" t="s">
        <v>17589</v>
      </c>
      <c r="BF910" t="str">
        <f>HYPERLINK("http://dx.doi.org/10.1007/s00382-023-06676-z","http://dx.doi.org/10.1007/s00382-023-06676-z")</f>
        <v>http://dx.doi.org/10.1007/s00382-023-06676-z</v>
      </c>
      <c r="BG910" t="s">
        <v>74</v>
      </c>
      <c r="BH910" t="s">
        <v>16484</v>
      </c>
      <c r="BI910">
        <v>24</v>
      </c>
      <c r="BJ910" t="s">
        <v>102</v>
      </c>
      <c r="BK910" t="s">
        <v>103</v>
      </c>
      <c r="BL910" t="s">
        <v>102</v>
      </c>
      <c r="BM910" t="s">
        <v>17590</v>
      </c>
      <c r="BN910" t="s">
        <v>74</v>
      </c>
      <c r="BO910" t="s">
        <v>74</v>
      </c>
      <c r="BP910" t="s">
        <v>74</v>
      </c>
      <c r="BQ910" t="s">
        <v>74</v>
      </c>
      <c r="BR910" t="s">
        <v>106</v>
      </c>
      <c r="BS910" t="s">
        <v>17591</v>
      </c>
      <c r="BT910" t="str">
        <f>HYPERLINK("https%3A%2F%2Fwww.webofscience.com%2Fwos%2Fwoscc%2Ffull-record%2FWOS:000919326100001","View Full Record in Web of Science")</f>
        <v>View Full Record in Web of Science</v>
      </c>
    </row>
    <row r="911" spans="1:72" x14ac:dyDescent="0.15">
      <c r="A911" t="s">
        <v>72</v>
      </c>
      <c r="B911" t="s">
        <v>17592</v>
      </c>
      <c r="C911" t="s">
        <v>74</v>
      </c>
      <c r="D911" t="s">
        <v>74</v>
      </c>
      <c r="E911" t="s">
        <v>74</v>
      </c>
      <c r="F911" t="s">
        <v>17593</v>
      </c>
      <c r="G911" t="s">
        <v>74</v>
      </c>
      <c r="H911" t="s">
        <v>74</v>
      </c>
      <c r="I911" t="s">
        <v>17594</v>
      </c>
      <c r="J911" t="s">
        <v>17595</v>
      </c>
      <c r="K911" t="s">
        <v>74</v>
      </c>
      <c r="L911" t="s">
        <v>74</v>
      </c>
      <c r="M911" t="s">
        <v>78</v>
      </c>
      <c r="N911" t="s">
        <v>112</v>
      </c>
      <c r="O911" t="s">
        <v>74</v>
      </c>
      <c r="P911" t="s">
        <v>74</v>
      </c>
      <c r="Q911" t="s">
        <v>74</v>
      </c>
      <c r="R911" t="s">
        <v>74</v>
      </c>
      <c r="S911" t="s">
        <v>74</v>
      </c>
      <c r="T911" t="s">
        <v>17596</v>
      </c>
      <c r="U911" t="s">
        <v>17597</v>
      </c>
      <c r="V911" t="s">
        <v>17598</v>
      </c>
      <c r="W911" t="s">
        <v>17599</v>
      </c>
      <c r="X911" t="s">
        <v>17600</v>
      </c>
      <c r="Y911" t="s">
        <v>17601</v>
      </c>
      <c r="Z911" t="s">
        <v>17602</v>
      </c>
      <c r="AA911" t="s">
        <v>17603</v>
      </c>
      <c r="AB911" t="s">
        <v>17604</v>
      </c>
      <c r="AC911" t="s">
        <v>74</v>
      </c>
      <c r="AD911" t="s">
        <v>74</v>
      </c>
      <c r="AE911" t="s">
        <v>74</v>
      </c>
      <c r="AF911" t="s">
        <v>74</v>
      </c>
      <c r="AG911">
        <v>50</v>
      </c>
      <c r="AH911">
        <v>6</v>
      </c>
      <c r="AI911">
        <v>6</v>
      </c>
      <c r="AJ911">
        <v>6</v>
      </c>
      <c r="AK911">
        <v>22</v>
      </c>
      <c r="AL911" t="s">
        <v>17605</v>
      </c>
      <c r="AM911" t="s">
        <v>17606</v>
      </c>
      <c r="AN911" t="s">
        <v>17607</v>
      </c>
      <c r="AO911" t="s">
        <v>17608</v>
      </c>
      <c r="AP911" t="s">
        <v>17609</v>
      </c>
      <c r="AQ911" t="s">
        <v>74</v>
      </c>
      <c r="AR911" t="s">
        <v>17610</v>
      </c>
      <c r="AS911" t="s">
        <v>17611</v>
      </c>
      <c r="AT911" t="s">
        <v>17612</v>
      </c>
      <c r="AU911">
        <v>2023</v>
      </c>
      <c r="AV911">
        <v>30</v>
      </c>
      <c r="AW911">
        <v>5</v>
      </c>
      <c r="AX911" t="s">
        <v>74</v>
      </c>
      <c r="AY911" t="s">
        <v>74</v>
      </c>
      <c r="AZ911" t="s">
        <v>74</v>
      </c>
      <c r="BA911" t="s">
        <v>74</v>
      </c>
      <c r="BB911">
        <v>564</v>
      </c>
      <c r="BC911">
        <v>575</v>
      </c>
      <c r="BD911" t="s">
        <v>74</v>
      </c>
      <c r="BE911" t="s">
        <v>17613</v>
      </c>
      <c r="BF911" t="str">
        <f>HYPERLINK("http://dx.doi.org/10.1080/13504509.2023.2167884","http://dx.doi.org/10.1080/13504509.2023.2167884")</f>
        <v>http://dx.doi.org/10.1080/13504509.2023.2167884</v>
      </c>
      <c r="BG911" t="s">
        <v>74</v>
      </c>
      <c r="BH911" t="s">
        <v>16484</v>
      </c>
      <c r="BI911">
        <v>12</v>
      </c>
      <c r="BJ911" t="s">
        <v>17614</v>
      </c>
      <c r="BK911" t="s">
        <v>103</v>
      </c>
      <c r="BL911" t="s">
        <v>596</v>
      </c>
      <c r="BM911" t="s">
        <v>17615</v>
      </c>
      <c r="BN911" t="s">
        <v>74</v>
      </c>
      <c r="BO911" t="s">
        <v>1303</v>
      </c>
      <c r="BP911" t="s">
        <v>74</v>
      </c>
      <c r="BQ911" t="s">
        <v>74</v>
      </c>
      <c r="BR911" t="s">
        <v>106</v>
      </c>
      <c r="BS911" t="s">
        <v>17616</v>
      </c>
      <c r="BT911" t="str">
        <f>HYPERLINK("https%3A%2F%2Fwww.webofscience.com%2Fwos%2Fwoscc%2Ffull-record%2FWOS:000917773500001","View Full Record in Web of Science")</f>
        <v>View Full Record in Web of Science</v>
      </c>
    </row>
    <row r="912" spans="1:72" x14ac:dyDescent="0.15">
      <c r="A912" t="s">
        <v>72</v>
      </c>
      <c r="B912" t="s">
        <v>17617</v>
      </c>
      <c r="C912" t="s">
        <v>74</v>
      </c>
      <c r="D912" t="s">
        <v>74</v>
      </c>
      <c r="E912" t="s">
        <v>74</v>
      </c>
      <c r="F912" t="s">
        <v>17618</v>
      </c>
      <c r="G912" t="s">
        <v>74</v>
      </c>
      <c r="H912" t="s">
        <v>74</v>
      </c>
      <c r="I912" t="s">
        <v>17619</v>
      </c>
      <c r="J912" t="s">
        <v>17620</v>
      </c>
      <c r="K912" t="s">
        <v>74</v>
      </c>
      <c r="L912" t="s">
        <v>74</v>
      </c>
      <c r="M912" t="s">
        <v>78</v>
      </c>
      <c r="N912" t="s">
        <v>112</v>
      </c>
      <c r="O912" t="s">
        <v>74</v>
      </c>
      <c r="P912" t="s">
        <v>74</v>
      </c>
      <c r="Q912" t="s">
        <v>74</v>
      </c>
      <c r="R912" t="s">
        <v>74</v>
      </c>
      <c r="S912" t="s">
        <v>74</v>
      </c>
      <c r="T912" t="s">
        <v>17621</v>
      </c>
      <c r="U912" t="s">
        <v>17622</v>
      </c>
      <c r="V912" t="s">
        <v>17623</v>
      </c>
      <c r="W912" t="s">
        <v>17624</v>
      </c>
      <c r="X912" t="s">
        <v>17625</v>
      </c>
      <c r="Y912" t="s">
        <v>17626</v>
      </c>
      <c r="Z912" t="s">
        <v>17627</v>
      </c>
      <c r="AA912" t="s">
        <v>17628</v>
      </c>
      <c r="AB912" t="s">
        <v>17629</v>
      </c>
      <c r="AC912" t="s">
        <v>17630</v>
      </c>
      <c r="AD912" t="s">
        <v>17631</v>
      </c>
      <c r="AE912" t="s">
        <v>17632</v>
      </c>
      <c r="AF912" t="s">
        <v>74</v>
      </c>
      <c r="AG912">
        <v>63</v>
      </c>
      <c r="AH912">
        <v>6</v>
      </c>
      <c r="AI912">
        <v>6</v>
      </c>
      <c r="AJ912">
        <v>11</v>
      </c>
      <c r="AK912">
        <v>23</v>
      </c>
      <c r="AL912" t="s">
        <v>447</v>
      </c>
      <c r="AM912" t="s">
        <v>448</v>
      </c>
      <c r="AN912" t="s">
        <v>449</v>
      </c>
      <c r="AO912" t="s">
        <v>17633</v>
      </c>
      <c r="AP912" t="s">
        <v>17634</v>
      </c>
      <c r="AQ912" t="s">
        <v>74</v>
      </c>
      <c r="AR912" t="s">
        <v>17635</v>
      </c>
      <c r="AS912" t="s">
        <v>17636</v>
      </c>
      <c r="AT912" t="s">
        <v>8042</v>
      </c>
      <c r="AU912">
        <v>2023</v>
      </c>
      <c r="AV912">
        <v>117</v>
      </c>
      <c r="AW912" t="s">
        <v>74</v>
      </c>
      <c r="AX912" t="s">
        <v>74</v>
      </c>
      <c r="AY912" t="s">
        <v>74</v>
      </c>
      <c r="AZ912" t="s">
        <v>74</v>
      </c>
      <c r="BA912" t="s">
        <v>74</v>
      </c>
      <c r="BB912" t="s">
        <v>74</v>
      </c>
      <c r="BC912" t="s">
        <v>74</v>
      </c>
      <c r="BD912">
        <v>103186</v>
      </c>
      <c r="BE912" t="s">
        <v>17637</v>
      </c>
      <c r="BF912" t="str">
        <f>HYPERLINK("http://dx.doi.org/10.1016/j.jag.2023.103186","http://dx.doi.org/10.1016/j.jag.2023.103186")</f>
        <v>http://dx.doi.org/10.1016/j.jag.2023.103186</v>
      </c>
      <c r="BG912" t="s">
        <v>74</v>
      </c>
      <c r="BH912" t="s">
        <v>16484</v>
      </c>
      <c r="BI912">
        <v>16</v>
      </c>
      <c r="BJ912" t="s">
        <v>5464</v>
      </c>
      <c r="BK912" t="s">
        <v>103</v>
      </c>
      <c r="BL912" t="s">
        <v>5464</v>
      </c>
      <c r="BM912" t="s">
        <v>17638</v>
      </c>
      <c r="BN912" t="s">
        <v>74</v>
      </c>
      <c r="BO912" t="s">
        <v>359</v>
      </c>
      <c r="BP912" t="s">
        <v>74</v>
      </c>
      <c r="BQ912" t="s">
        <v>74</v>
      </c>
      <c r="BR912" t="s">
        <v>106</v>
      </c>
      <c r="BS912" t="s">
        <v>17639</v>
      </c>
      <c r="BT912" t="str">
        <f>HYPERLINK("https%3A%2F%2Fwww.webofscience.com%2Fwos%2Fwoscc%2Ffull-record%2FWOS:000964796800001","View Full Record in Web of Science")</f>
        <v>View Full Record in Web of Science</v>
      </c>
    </row>
    <row r="913" spans="1:72" x14ac:dyDescent="0.15">
      <c r="A913" t="s">
        <v>72</v>
      </c>
      <c r="B913" t="s">
        <v>17640</v>
      </c>
      <c r="C913" t="s">
        <v>74</v>
      </c>
      <c r="D913" t="s">
        <v>74</v>
      </c>
      <c r="E913" t="s">
        <v>74</v>
      </c>
      <c r="F913" t="s">
        <v>17641</v>
      </c>
      <c r="G913" t="s">
        <v>74</v>
      </c>
      <c r="H913" t="s">
        <v>74</v>
      </c>
      <c r="I913" t="s">
        <v>17642</v>
      </c>
      <c r="J913" t="s">
        <v>1707</v>
      </c>
      <c r="K913" t="s">
        <v>74</v>
      </c>
      <c r="L913" t="s">
        <v>74</v>
      </c>
      <c r="M913" t="s">
        <v>78</v>
      </c>
      <c r="N913" t="s">
        <v>365</v>
      </c>
      <c r="O913" t="s">
        <v>74</v>
      </c>
      <c r="P913" t="s">
        <v>74</v>
      </c>
      <c r="Q913" t="s">
        <v>74</v>
      </c>
      <c r="R913" t="s">
        <v>74</v>
      </c>
      <c r="S913" t="s">
        <v>74</v>
      </c>
      <c r="T913" t="s">
        <v>74</v>
      </c>
      <c r="U913" t="s">
        <v>17643</v>
      </c>
      <c r="V913" t="s">
        <v>17644</v>
      </c>
      <c r="W913" t="s">
        <v>17645</v>
      </c>
      <c r="X913" t="s">
        <v>17646</v>
      </c>
      <c r="Y913" t="s">
        <v>17647</v>
      </c>
      <c r="Z913" t="s">
        <v>17648</v>
      </c>
      <c r="AA913" t="s">
        <v>17649</v>
      </c>
      <c r="AB913" t="s">
        <v>17650</v>
      </c>
      <c r="AC913" t="s">
        <v>17651</v>
      </c>
      <c r="AD913" t="s">
        <v>17651</v>
      </c>
      <c r="AE913" t="s">
        <v>17652</v>
      </c>
      <c r="AF913" t="s">
        <v>74</v>
      </c>
      <c r="AG913">
        <v>99</v>
      </c>
      <c r="AH913">
        <v>1</v>
      </c>
      <c r="AI913">
        <v>1</v>
      </c>
      <c r="AJ913">
        <v>3</v>
      </c>
      <c r="AK913">
        <v>6</v>
      </c>
      <c r="AL913" t="s">
        <v>225</v>
      </c>
      <c r="AM913" t="s">
        <v>226</v>
      </c>
      <c r="AN913" t="s">
        <v>227</v>
      </c>
      <c r="AO913" t="s">
        <v>1719</v>
      </c>
      <c r="AP913" t="s">
        <v>1720</v>
      </c>
      <c r="AQ913" t="s">
        <v>74</v>
      </c>
      <c r="AR913" t="s">
        <v>1721</v>
      </c>
      <c r="AS913" t="s">
        <v>1722</v>
      </c>
      <c r="AT913" t="s">
        <v>8210</v>
      </c>
      <c r="AU913">
        <v>2023</v>
      </c>
      <c r="AV913">
        <v>211</v>
      </c>
      <c r="AW913" t="s">
        <v>74</v>
      </c>
      <c r="AX913" t="s">
        <v>74</v>
      </c>
      <c r="AY913" t="s">
        <v>74</v>
      </c>
      <c r="AZ913" t="s">
        <v>74</v>
      </c>
      <c r="BA913" t="s">
        <v>74</v>
      </c>
      <c r="BB913" t="s">
        <v>74</v>
      </c>
      <c r="BC913" t="s">
        <v>74</v>
      </c>
      <c r="BD913">
        <v>102967</v>
      </c>
      <c r="BE913" t="s">
        <v>17653</v>
      </c>
      <c r="BF913" t="str">
        <f>HYPERLINK("http://dx.doi.org/10.1016/j.pocean.2023.102967","http://dx.doi.org/10.1016/j.pocean.2023.102967")</f>
        <v>http://dx.doi.org/10.1016/j.pocean.2023.102967</v>
      </c>
      <c r="BG913" t="s">
        <v>74</v>
      </c>
      <c r="BH913" t="s">
        <v>16484</v>
      </c>
      <c r="BI913">
        <v>15</v>
      </c>
      <c r="BJ913" t="s">
        <v>863</v>
      </c>
      <c r="BK913" t="s">
        <v>103</v>
      </c>
      <c r="BL913" t="s">
        <v>863</v>
      </c>
      <c r="BM913" t="s">
        <v>17654</v>
      </c>
      <c r="BN913" t="s">
        <v>74</v>
      </c>
      <c r="BO913" t="s">
        <v>387</v>
      </c>
      <c r="BP913" t="s">
        <v>74</v>
      </c>
      <c r="BQ913" t="s">
        <v>74</v>
      </c>
      <c r="BR913" t="s">
        <v>106</v>
      </c>
      <c r="BS913" t="s">
        <v>17655</v>
      </c>
      <c r="BT913" t="str">
        <f>HYPERLINK("https%3A%2F%2Fwww.webofscience.com%2Fwos%2Fwoscc%2Ffull-record%2FWOS:000963212900001","View Full Record in Web of Science")</f>
        <v>View Full Record in Web of Science</v>
      </c>
    </row>
    <row r="914" spans="1:72" x14ac:dyDescent="0.15">
      <c r="A914" t="s">
        <v>72</v>
      </c>
      <c r="B914" t="s">
        <v>17656</v>
      </c>
      <c r="C914" t="s">
        <v>74</v>
      </c>
      <c r="D914" t="s">
        <v>74</v>
      </c>
      <c r="E914" t="s">
        <v>74</v>
      </c>
      <c r="F914" t="s">
        <v>17657</v>
      </c>
      <c r="G914" t="s">
        <v>74</v>
      </c>
      <c r="H914" t="s">
        <v>74</v>
      </c>
      <c r="I914" t="s">
        <v>17658</v>
      </c>
      <c r="J914" t="s">
        <v>3148</v>
      </c>
      <c r="K914" t="s">
        <v>74</v>
      </c>
      <c r="L914" t="s">
        <v>74</v>
      </c>
      <c r="M914" t="s">
        <v>78</v>
      </c>
      <c r="N914" t="s">
        <v>112</v>
      </c>
      <c r="O914" t="s">
        <v>74</v>
      </c>
      <c r="P914" t="s">
        <v>74</v>
      </c>
      <c r="Q914" t="s">
        <v>74</v>
      </c>
      <c r="R914" t="s">
        <v>74</v>
      </c>
      <c r="S914" t="s">
        <v>74</v>
      </c>
      <c r="T914" t="s">
        <v>74</v>
      </c>
      <c r="U914" t="s">
        <v>17659</v>
      </c>
      <c r="V914" t="s">
        <v>17660</v>
      </c>
      <c r="W914" t="s">
        <v>17661</v>
      </c>
      <c r="X914" t="s">
        <v>17662</v>
      </c>
      <c r="Y914" t="s">
        <v>17663</v>
      </c>
      <c r="Z914" t="s">
        <v>74</v>
      </c>
      <c r="AA914" t="s">
        <v>74</v>
      </c>
      <c r="AB914" t="s">
        <v>17664</v>
      </c>
      <c r="AC914" t="s">
        <v>74</v>
      </c>
      <c r="AD914" t="s">
        <v>74</v>
      </c>
      <c r="AE914" t="s">
        <v>74</v>
      </c>
      <c r="AF914" t="s">
        <v>74</v>
      </c>
      <c r="AG914">
        <v>34</v>
      </c>
      <c r="AH914">
        <v>1</v>
      </c>
      <c r="AI914">
        <v>1</v>
      </c>
      <c r="AJ914">
        <v>6</v>
      </c>
      <c r="AK914">
        <v>13</v>
      </c>
      <c r="AL914" t="s">
        <v>3160</v>
      </c>
      <c r="AM914" t="s">
        <v>3161</v>
      </c>
      <c r="AN914" t="s">
        <v>3162</v>
      </c>
      <c r="AO914" t="s">
        <v>3163</v>
      </c>
      <c r="AP914" t="s">
        <v>3164</v>
      </c>
      <c r="AQ914" t="s">
        <v>74</v>
      </c>
      <c r="AR914" t="s">
        <v>3148</v>
      </c>
      <c r="AS914" t="s">
        <v>262</v>
      </c>
      <c r="AT914" t="s">
        <v>10271</v>
      </c>
      <c r="AU914">
        <v>2023</v>
      </c>
      <c r="AV914">
        <v>51</v>
      </c>
      <c r="AW914">
        <v>3</v>
      </c>
      <c r="AX914" t="s">
        <v>74</v>
      </c>
      <c r="AY914" t="s">
        <v>74</v>
      </c>
      <c r="AZ914" t="s">
        <v>74</v>
      </c>
      <c r="BA914" t="s">
        <v>74</v>
      </c>
      <c r="BB914">
        <v>268</v>
      </c>
      <c r="BC914">
        <v>272</v>
      </c>
      <c r="BD914" t="s">
        <v>74</v>
      </c>
      <c r="BE914" t="s">
        <v>17665</v>
      </c>
      <c r="BF914" t="str">
        <f>HYPERLINK("http://dx.doi.org/10.1130/G50687.1","http://dx.doi.org/10.1130/G50687.1")</f>
        <v>http://dx.doi.org/10.1130/G50687.1</v>
      </c>
      <c r="BG914" t="s">
        <v>74</v>
      </c>
      <c r="BH914" t="s">
        <v>16484</v>
      </c>
      <c r="BI914">
        <v>5</v>
      </c>
      <c r="BJ914" t="s">
        <v>262</v>
      </c>
      <c r="BK914" t="s">
        <v>103</v>
      </c>
      <c r="BL914" t="s">
        <v>262</v>
      </c>
      <c r="BM914" t="s">
        <v>17666</v>
      </c>
      <c r="BN914" t="s">
        <v>74</v>
      </c>
      <c r="BO914" t="s">
        <v>4015</v>
      </c>
      <c r="BP914" t="s">
        <v>74</v>
      </c>
      <c r="BQ914" t="s">
        <v>74</v>
      </c>
      <c r="BR914" t="s">
        <v>106</v>
      </c>
      <c r="BS914" t="s">
        <v>17667</v>
      </c>
      <c r="BT914" t="str">
        <f>HYPERLINK("https%3A%2F%2Fwww.webofscience.com%2Fwos%2Fwoscc%2Ffull-record%2FWOS:000928910200001","View Full Record in Web of Science")</f>
        <v>View Full Record in Web of Science</v>
      </c>
    </row>
    <row r="915" spans="1:72" x14ac:dyDescent="0.15">
      <c r="A915" t="s">
        <v>72</v>
      </c>
      <c r="B915" t="s">
        <v>17668</v>
      </c>
      <c r="C915" t="s">
        <v>74</v>
      </c>
      <c r="D915" t="s">
        <v>74</v>
      </c>
      <c r="E915" t="s">
        <v>74</v>
      </c>
      <c r="F915" t="s">
        <v>17669</v>
      </c>
      <c r="G915" t="s">
        <v>74</v>
      </c>
      <c r="H915" t="s">
        <v>74</v>
      </c>
      <c r="I915" t="s">
        <v>17670</v>
      </c>
      <c r="J915" t="s">
        <v>9514</v>
      </c>
      <c r="K915" t="s">
        <v>74</v>
      </c>
      <c r="L915" t="s">
        <v>74</v>
      </c>
      <c r="M915" t="s">
        <v>78</v>
      </c>
      <c r="N915" t="s">
        <v>112</v>
      </c>
      <c r="O915" t="s">
        <v>74</v>
      </c>
      <c r="P915" t="s">
        <v>74</v>
      </c>
      <c r="Q915" t="s">
        <v>74</v>
      </c>
      <c r="R915" t="s">
        <v>74</v>
      </c>
      <c r="S915" t="s">
        <v>74</v>
      </c>
      <c r="T915" t="s">
        <v>17671</v>
      </c>
      <c r="U915" t="s">
        <v>17672</v>
      </c>
      <c r="V915" t="s">
        <v>74</v>
      </c>
      <c r="W915" t="s">
        <v>17673</v>
      </c>
      <c r="X915" t="s">
        <v>17674</v>
      </c>
      <c r="Y915" t="s">
        <v>17675</v>
      </c>
      <c r="Z915" t="s">
        <v>17676</v>
      </c>
      <c r="AA915" t="s">
        <v>17677</v>
      </c>
      <c r="AB915" t="s">
        <v>17678</v>
      </c>
      <c r="AC915" t="s">
        <v>17679</v>
      </c>
      <c r="AD915" t="s">
        <v>17680</v>
      </c>
      <c r="AE915" t="s">
        <v>17681</v>
      </c>
      <c r="AF915" t="s">
        <v>74</v>
      </c>
      <c r="AG915">
        <v>46</v>
      </c>
      <c r="AH915">
        <v>3</v>
      </c>
      <c r="AI915">
        <v>3</v>
      </c>
      <c r="AJ915">
        <v>12</v>
      </c>
      <c r="AK915">
        <v>33</v>
      </c>
      <c r="AL915" t="s">
        <v>2092</v>
      </c>
      <c r="AM915" t="s">
        <v>2093</v>
      </c>
      <c r="AN915" t="s">
        <v>2094</v>
      </c>
      <c r="AO915" t="s">
        <v>9526</v>
      </c>
      <c r="AP915" t="s">
        <v>9527</v>
      </c>
      <c r="AQ915" t="s">
        <v>74</v>
      </c>
      <c r="AR915" t="s">
        <v>9514</v>
      </c>
      <c r="AS915" t="s">
        <v>2101</v>
      </c>
      <c r="AT915" t="s">
        <v>8042</v>
      </c>
      <c r="AU915">
        <v>2023</v>
      </c>
      <c r="AV915">
        <v>104</v>
      </c>
      <c r="AW915">
        <v>3</v>
      </c>
      <c r="AX915" t="s">
        <v>74</v>
      </c>
      <c r="AY915" t="s">
        <v>74</v>
      </c>
      <c r="AZ915" t="s">
        <v>74</v>
      </c>
      <c r="BA915" t="s">
        <v>74</v>
      </c>
      <c r="BB915" t="s">
        <v>74</v>
      </c>
      <c r="BC915" t="s">
        <v>74</v>
      </c>
      <c r="BD915" t="s">
        <v>74</v>
      </c>
      <c r="BE915" t="s">
        <v>17682</v>
      </c>
      <c r="BF915" t="str">
        <f>HYPERLINK("http://dx.doi.org/10.1002/ecy.3964","http://dx.doi.org/10.1002/ecy.3964")</f>
        <v>http://dx.doi.org/10.1002/ecy.3964</v>
      </c>
      <c r="BG915" t="s">
        <v>74</v>
      </c>
      <c r="BH915" t="s">
        <v>16484</v>
      </c>
      <c r="BI915">
        <v>9</v>
      </c>
      <c r="BJ915" t="s">
        <v>2101</v>
      </c>
      <c r="BK915" t="s">
        <v>103</v>
      </c>
      <c r="BL915" t="s">
        <v>1164</v>
      </c>
      <c r="BM915" t="s">
        <v>17683</v>
      </c>
      <c r="BN915">
        <v>36565174</v>
      </c>
      <c r="BO915" t="s">
        <v>387</v>
      </c>
      <c r="BP915" t="s">
        <v>74</v>
      </c>
      <c r="BQ915" t="s">
        <v>74</v>
      </c>
      <c r="BR915" t="s">
        <v>106</v>
      </c>
      <c r="BS915" t="s">
        <v>17684</v>
      </c>
      <c r="BT915" t="str">
        <f>HYPERLINK("https%3A%2F%2Fwww.webofscience.com%2Fwos%2Fwoscc%2Ffull-record%2FWOS:000920702700001","View Full Record in Web of Science")</f>
        <v>View Full Record in Web of Science</v>
      </c>
    </row>
    <row r="916" spans="1:72" x14ac:dyDescent="0.15">
      <c r="A916" t="s">
        <v>72</v>
      </c>
      <c r="B916" t="s">
        <v>17685</v>
      </c>
      <c r="C916" t="s">
        <v>74</v>
      </c>
      <c r="D916" t="s">
        <v>74</v>
      </c>
      <c r="E916" t="s">
        <v>74</v>
      </c>
      <c r="F916" t="s">
        <v>17686</v>
      </c>
      <c r="G916" t="s">
        <v>74</v>
      </c>
      <c r="H916" t="s">
        <v>74</v>
      </c>
      <c r="I916" t="s">
        <v>17687</v>
      </c>
      <c r="J916" t="s">
        <v>17688</v>
      </c>
      <c r="K916" t="s">
        <v>74</v>
      </c>
      <c r="L916" t="s">
        <v>74</v>
      </c>
      <c r="M916" t="s">
        <v>78</v>
      </c>
      <c r="N916" t="s">
        <v>1754</v>
      </c>
      <c r="O916" t="s">
        <v>74</v>
      </c>
      <c r="P916" t="s">
        <v>74</v>
      </c>
      <c r="Q916" t="s">
        <v>74</v>
      </c>
      <c r="R916" t="s">
        <v>74</v>
      </c>
      <c r="S916" t="s">
        <v>74</v>
      </c>
      <c r="T916" t="s">
        <v>17689</v>
      </c>
      <c r="U916" t="s">
        <v>17690</v>
      </c>
      <c r="V916" t="s">
        <v>17691</v>
      </c>
      <c r="W916" t="s">
        <v>17692</v>
      </c>
      <c r="X916" t="s">
        <v>17693</v>
      </c>
      <c r="Y916" t="s">
        <v>17694</v>
      </c>
      <c r="Z916" t="s">
        <v>17695</v>
      </c>
      <c r="AA916" t="s">
        <v>17696</v>
      </c>
      <c r="AB916" t="s">
        <v>17697</v>
      </c>
      <c r="AC916" t="s">
        <v>17698</v>
      </c>
      <c r="AD916" t="s">
        <v>17699</v>
      </c>
      <c r="AE916" t="s">
        <v>17700</v>
      </c>
      <c r="AF916" t="s">
        <v>74</v>
      </c>
      <c r="AG916">
        <v>81</v>
      </c>
      <c r="AH916">
        <v>2</v>
      </c>
      <c r="AI916">
        <v>2</v>
      </c>
      <c r="AJ916">
        <v>2</v>
      </c>
      <c r="AK916">
        <v>15</v>
      </c>
      <c r="AL916" t="s">
        <v>2116</v>
      </c>
      <c r="AM916" t="s">
        <v>226</v>
      </c>
      <c r="AN916" t="s">
        <v>2117</v>
      </c>
      <c r="AO916" t="s">
        <v>17701</v>
      </c>
      <c r="AP916" t="s">
        <v>17702</v>
      </c>
      <c r="AQ916" t="s">
        <v>74</v>
      </c>
      <c r="AR916" t="s">
        <v>17703</v>
      </c>
      <c r="AS916" t="s">
        <v>17704</v>
      </c>
      <c r="AT916" t="s">
        <v>17705</v>
      </c>
      <c r="AU916">
        <v>2023</v>
      </c>
      <c r="AV916" t="s">
        <v>74</v>
      </c>
      <c r="AW916" t="s">
        <v>74</v>
      </c>
      <c r="AX916" t="s">
        <v>74</v>
      </c>
      <c r="AY916" t="s">
        <v>74</v>
      </c>
      <c r="AZ916" t="s">
        <v>74</v>
      </c>
      <c r="BA916" t="s">
        <v>74</v>
      </c>
      <c r="BB916" t="s">
        <v>74</v>
      </c>
      <c r="BC916" t="s">
        <v>74</v>
      </c>
      <c r="BD916" t="s">
        <v>74</v>
      </c>
      <c r="BE916" t="s">
        <v>17706</v>
      </c>
      <c r="BF916" t="str">
        <f>HYPERLINK("http://dx.doi.org/10.1093/jambio/lxac073","http://dx.doi.org/10.1093/jambio/lxac073")</f>
        <v>http://dx.doi.org/10.1093/jambio/lxac073</v>
      </c>
      <c r="BG916" t="s">
        <v>74</v>
      </c>
      <c r="BH916" t="s">
        <v>16484</v>
      </c>
      <c r="BI916">
        <v>12</v>
      </c>
      <c r="BJ916" t="s">
        <v>6865</v>
      </c>
      <c r="BK916" t="s">
        <v>103</v>
      </c>
      <c r="BL916" t="s">
        <v>6865</v>
      </c>
      <c r="BM916" t="s">
        <v>17707</v>
      </c>
      <c r="BN916">
        <v>36662028</v>
      </c>
      <c r="BO916" t="s">
        <v>74</v>
      </c>
      <c r="BP916" t="s">
        <v>74</v>
      </c>
      <c r="BQ916" t="s">
        <v>74</v>
      </c>
      <c r="BR916" t="s">
        <v>106</v>
      </c>
      <c r="BS916" t="s">
        <v>17708</v>
      </c>
      <c r="BT916" t="str">
        <f>HYPERLINK("https%3A%2F%2Fwww.webofscience.com%2Fwos%2Fwoscc%2Ffull-record%2FWOS:000925155600001","View Full Record in Web of Science")</f>
        <v>View Full Record in Web of Science</v>
      </c>
    </row>
    <row r="917" spans="1:72" x14ac:dyDescent="0.15">
      <c r="A917" t="s">
        <v>72</v>
      </c>
      <c r="B917" t="s">
        <v>17709</v>
      </c>
      <c r="C917" t="s">
        <v>74</v>
      </c>
      <c r="D917" t="s">
        <v>74</v>
      </c>
      <c r="E917" t="s">
        <v>74</v>
      </c>
      <c r="F917" t="s">
        <v>17710</v>
      </c>
      <c r="G917" t="s">
        <v>74</v>
      </c>
      <c r="H917" t="s">
        <v>74</v>
      </c>
      <c r="I917" t="s">
        <v>17711</v>
      </c>
      <c r="J917" t="s">
        <v>3148</v>
      </c>
      <c r="K917" t="s">
        <v>74</v>
      </c>
      <c r="L917" t="s">
        <v>74</v>
      </c>
      <c r="M917" t="s">
        <v>78</v>
      </c>
      <c r="N917" t="s">
        <v>112</v>
      </c>
      <c r="O917" t="s">
        <v>74</v>
      </c>
      <c r="P917" t="s">
        <v>74</v>
      </c>
      <c r="Q917" t="s">
        <v>74</v>
      </c>
      <c r="R917" t="s">
        <v>74</v>
      </c>
      <c r="S917" t="s">
        <v>74</v>
      </c>
      <c r="T917" t="s">
        <v>74</v>
      </c>
      <c r="U917" t="s">
        <v>17712</v>
      </c>
      <c r="V917" t="s">
        <v>17713</v>
      </c>
      <c r="W917" t="s">
        <v>17714</v>
      </c>
      <c r="X917" t="s">
        <v>17715</v>
      </c>
      <c r="Y917" t="s">
        <v>17716</v>
      </c>
      <c r="Z917" t="s">
        <v>74</v>
      </c>
      <c r="AA917" t="s">
        <v>17717</v>
      </c>
      <c r="AB917" t="s">
        <v>17718</v>
      </c>
      <c r="AC917" t="s">
        <v>17719</v>
      </c>
      <c r="AD917" t="s">
        <v>17720</v>
      </c>
      <c r="AE917" t="s">
        <v>17721</v>
      </c>
      <c r="AF917" t="s">
        <v>74</v>
      </c>
      <c r="AG917">
        <v>33</v>
      </c>
      <c r="AH917">
        <v>3</v>
      </c>
      <c r="AI917">
        <v>3</v>
      </c>
      <c r="AJ917">
        <v>6</v>
      </c>
      <c r="AK917">
        <v>12</v>
      </c>
      <c r="AL917" t="s">
        <v>3160</v>
      </c>
      <c r="AM917" t="s">
        <v>3161</v>
      </c>
      <c r="AN917" t="s">
        <v>3162</v>
      </c>
      <c r="AO917" t="s">
        <v>3163</v>
      </c>
      <c r="AP917" t="s">
        <v>3164</v>
      </c>
      <c r="AQ917" t="s">
        <v>74</v>
      </c>
      <c r="AR917" t="s">
        <v>3148</v>
      </c>
      <c r="AS917" t="s">
        <v>262</v>
      </c>
      <c r="AT917" t="s">
        <v>8042</v>
      </c>
      <c r="AU917">
        <v>2023</v>
      </c>
      <c r="AV917">
        <v>51</v>
      </c>
      <c r="AW917">
        <v>3</v>
      </c>
      <c r="AX917" t="s">
        <v>74</v>
      </c>
      <c r="AY917" t="s">
        <v>74</v>
      </c>
      <c r="AZ917" t="s">
        <v>74</v>
      </c>
      <c r="BA917" t="s">
        <v>74</v>
      </c>
      <c r="BB917">
        <v>257</v>
      </c>
      <c r="BC917">
        <v>261</v>
      </c>
      <c r="BD917" t="s">
        <v>74</v>
      </c>
      <c r="BE917" t="s">
        <v>17722</v>
      </c>
      <c r="BF917" t="str">
        <f>HYPERLINK("http://dx.doi.org/10.1130/G50314.1","http://dx.doi.org/10.1130/G50314.1")</f>
        <v>http://dx.doi.org/10.1130/G50314.1</v>
      </c>
      <c r="BG917" t="s">
        <v>74</v>
      </c>
      <c r="BH917" t="s">
        <v>16484</v>
      </c>
      <c r="BI917">
        <v>5</v>
      </c>
      <c r="BJ917" t="s">
        <v>262</v>
      </c>
      <c r="BK917" t="s">
        <v>103</v>
      </c>
      <c r="BL917" t="s">
        <v>262</v>
      </c>
      <c r="BM917" t="s">
        <v>17723</v>
      </c>
      <c r="BN917" t="s">
        <v>74</v>
      </c>
      <c r="BO917" t="s">
        <v>7454</v>
      </c>
      <c r="BP917" t="s">
        <v>74</v>
      </c>
      <c r="BQ917" t="s">
        <v>74</v>
      </c>
      <c r="BR917" t="s">
        <v>106</v>
      </c>
      <c r="BS917" t="s">
        <v>17724</v>
      </c>
      <c r="BT917" t="str">
        <f>HYPERLINK("https%3A%2F%2Fwww.webofscience.com%2Fwos%2Fwoscc%2Ffull-record%2FWOS:000923917200001","View Full Record in Web of Science")</f>
        <v>View Full Record in Web of Science</v>
      </c>
    </row>
    <row r="918" spans="1:72" x14ac:dyDescent="0.15">
      <c r="A918" t="s">
        <v>72</v>
      </c>
      <c r="B918" t="s">
        <v>17725</v>
      </c>
      <c r="C918" t="s">
        <v>74</v>
      </c>
      <c r="D918" t="s">
        <v>74</v>
      </c>
      <c r="E918" t="s">
        <v>74</v>
      </c>
      <c r="F918" t="s">
        <v>17726</v>
      </c>
      <c r="G918" t="s">
        <v>74</v>
      </c>
      <c r="H918" t="s">
        <v>74</v>
      </c>
      <c r="I918" t="s">
        <v>17727</v>
      </c>
      <c r="J918" t="s">
        <v>8288</v>
      </c>
      <c r="K918" t="s">
        <v>74</v>
      </c>
      <c r="L918" t="s">
        <v>74</v>
      </c>
      <c r="M918" t="s">
        <v>78</v>
      </c>
      <c r="N918" t="s">
        <v>112</v>
      </c>
      <c r="O918" t="s">
        <v>74</v>
      </c>
      <c r="P918" t="s">
        <v>74</v>
      </c>
      <c r="Q918" t="s">
        <v>74</v>
      </c>
      <c r="R918" t="s">
        <v>74</v>
      </c>
      <c r="S918" t="s">
        <v>74</v>
      </c>
      <c r="T918" t="s">
        <v>17728</v>
      </c>
      <c r="U918" t="s">
        <v>17729</v>
      </c>
      <c r="V918" t="s">
        <v>17730</v>
      </c>
      <c r="W918" t="s">
        <v>17731</v>
      </c>
      <c r="X918" t="s">
        <v>17732</v>
      </c>
      <c r="Y918" t="s">
        <v>17733</v>
      </c>
      <c r="Z918" t="s">
        <v>17734</v>
      </c>
      <c r="AA918" t="s">
        <v>17735</v>
      </c>
      <c r="AB918" t="s">
        <v>17736</v>
      </c>
      <c r="AC918" t="s">
        <v>17737</v>
      </c>
      <c r="AD918" t="s">
        <v>17738</v>
      </c>
      <c r="AE918" t="s">
        <v>17739</v>
      </c>
      <c r="AF918" t="s">
        <v>74</v>
      </c>
      <c r="AG918">
        <v>61</v>
      </c>
      <c r="AH918">
        <v>2</v>
      </c>
      <c r="AI918">
        <v>2</v>
      </c>
      <c r="AJ918">
        <v>5</v>
      </c>
      <c r="AK918">
        <v>12</v>
      </c>
      <c r="AL918" t="s">
        <v>2092</v>
      </c>
      <c r="AM918" t="s">
        <v>2093</v>
      </c>
      <c r="AN918" t="s">
        <v>2094</v>
      </c>
      <c r="AO918" t="s">
        <v>8301</v>
      </c>
      <c r="AP918" t="s">
        <v>8302</v>
      </c>
      <c r="AQ918" t="s">
        <v>74</v>
      </c>
      <c r="AR918" t="s">
        <v>8303</v>
      </c>
      <c r="AS918" t="s">
        <v>8304</v>
      </c>
      <c r="AT918" t="s">
        <v>98</v>
      </c>
      <c r="AU918">
        <v>2023</v>
      </c>
      <c r="AV918">
        <v>43</v>
      </c>
      <c r="AW918">
        <v>6</v>
      </c>
      <c r="AX918" t="s">
        <v>74</v>
      </c>
      <c r="AY918" t="s">
        <v>74</v>
      </c>
      <c r="AZ918" t="s">
        <v>74</v>
      </c>
      <c r="BA918" t="s">
        <v>74</v>
      </c>
      <c r="BB918">
        <v>2953</v>
      </c>
      <c r="BC918">
        <v>2974</v>
      </c>
      <c r="BD918" t="s">
        <v>74</v>
      </c>
      <c r="BE918" t="s">
        <v>17740</v>
      </c>
      <c r="BF918" t="str">
        <f>HYPERLINK("http://dx.doi.org/10.1002/joc.8010","http://dx.doi.org/10.1002/joc.8010")</f>
        <v>http://dx.doi.org/10.1002/joc.8010</v>
      </c>
      <c r="BG918" t="s">
        <v>74</v>
      </c>
      <c r="BH918" t="s">
        <v>16484</v>
      </c>
      <c r="BI918">
        <v>22</v>
      </c>
      <c r="BJ918" t="s">
        <v>102</v>
      </c>
      <c r="BK918" t="s">
        <v>103</v>
      </c>
      <c r="BL918" t="s">
        <v>102</v>
      </c>
      <c r="BM918" t="s">
        <v>17741</v>
      </c>
      <c r="BN918" t="s">
        <v>74</v>
      </c>
      <c r="BO918" t="s">
        <v>74</v>
      </c>
      <c r="BP918" t="s">
        <v>74</v>
      </c>
      <c r="BQ918" t="s">
        <v>74</v>
      </c>
      <c r="BR918" t="s">
        <v>106</v>
      </c>
      <c r="BS918" t="s">
        <v>17742</v>
      </c>
      <c r="BT918" t="str">
        <f>HYPERLINK("https%3A%2F%2Fwww.webofscience.com%2Fwos%2Fwoscc%2Ffull-record%2FWOS:000920292100001","View Full Record in Web of Science")</f>
        <v>View Full Record in Web of Science</v>
      </c>
    </row>
    <row r="919" spans="1:72" x14ac:dyDescent="0.15">
      <c r="A919" t="s">
        <v>72</v>
      </c>
      <c r="B919" t="s">
        <v>3840</v>
      </c>
      <c r="C919" t="s">
        <v>74</v>
      </c>
      <c r="D919" t="s">
        <v>74</v>
      </c>
      <c r="E919" t="s">
        <v>74</v>
      </c>
      <c r="F919" t="s">
        <v>3841</v>
      </c>
      <c r="G919" t="s">
        <v>74</v>
      </c>
      <c r="H919" t="s">
        <v>74</v>
      </c>
      <c r="I919" t="s">
        <v>17743</v>
      </c>
      <c r="J919" t="s">
        <v>3843</v>
      </c>
      <c r="K919" t="s">
        <v>74</v>
      </c>
      <c r="L919" t="s">
        <v>74</v>
      </c>
      <c r="M919" t="s">
        <v>78</v>
      </c>
      <c r="N919" t="s">
        <v>112</v>
      </c>
      <c r="O919" t="s">
        <v>74</v>
      </c>
      <c r="P919" t="s">
        <v>74</v>
      </c>
      <c r="Q919" t="s">
        <v>74</v>
      </c>
      <c r="R919" t="s">
        <v>74</v>
      </c>
      <c r="S919" t="s">
        <v>74</v>
      </c>
      <c r="T919" t="s">
        <v>17744</v>
      </c>
      <c r="U919" t="s">
        <v>17745</v>
      </c>
      <c r="V919" t="s">
        <v>17746</v>
      </c>
      <c r="W919" t="s">
        <v>17747</v>
      </c>
      <c r="X919" t="s">
        <v>17748</v>
      </c>
      <c r="Y919" t="s">
        <v>17749</v>
      </c>
      <c r="Z919" t="s">
        <v>3848</v>
      </c>
      <c r="AA919" t="s">
        <v>17750</v>
      </c>
      <c r="AB919" t="s">
        <v>17751</v>
      </c>
      <c r="AC919" t="s">
        <v>17752</v>
      </c>
      <c r="AD919" t="s">
        <v>17753</v>
      </c>
      <c r="AE919" t="s">
        <v>17754</v>
      </c>
      <c r="AF919" t="s">
        <v>74</v>
      </c>
      <c r="AG919">
        <v>73</v>
      </c>
      <c r="AH919">
        <v>5</v>
      </c>
      <c r="AI919">
        <v>5</v>
      </c>
      <c r="AJ919">
        <v>13</v>
      </c>
      <c r="AK919">
        <v>31</v>
      </c>
      <c r="AL919" t="s">
        <v>1357</v>
      </c>
      <c r="AM919" t="s">
        <v>525</v>
      </c>
      <c r="AN919" t="s">
        <v>1358</v>
      </c>
      <c r="AO919" t="s">
        <v>3851</v>
      </c>
      <c r="AP919" t="s">
        <v>3852</v>
      </c>
      <c r="AQ919" t="s">
        <v>74</v>
      </c>
      <c r="AR919" t="s">
        <v>3853</v>
      </c>
      <c r="AS919" t="s">
        <v>3854</v>
      </c>
      <c r="AT919" t="s">
        <v>98</v>
      </c>
      <c r="AU919">
        <v>2023</v>
      </c>
      <c r="AV919">
        <v>5</v>
      </c>
      <c r="AW919">
        <v>2</v>
      </c>
      <c r="AX919" t="s">
        <v>74</v>
      </c>
      <c r="AY919" t="s">
        <v>74</v>
      </c>
      <c r="AZ919" t="s">
        <v>74</v>
      </c>
      <c r="BA919" t="s">
        <v>74</v>
      </c>
      <c r="BB919">
        <v>271</v>
      </c>
      <c r="BC919">
        <v>285</v>
      </c>
      <c r="BD919" t="s">
        <v>74</v>
      </c>
      <c r="BE919" t="s">
        <v>17755</v>
      </c>
      <c r="BF919" t="str">
        <f>HYPERLINK("http://dx.doi.org/10.1007/s42995-022-00160-z","http://dx.doi.org/10.1007/s42995-022-00160-z")</f>
        <v>http://dx.doi.org/10.1007/s42995-022-00160-z</v>
      </c>
      <c r="BG919" t="s">
        <v>74</v>
      </c>
      <c r="BH919" t="s">
        <v>16484</v>
      </c>
      <c r="BI919">
        <v>15</v>
      </c>
      <c r="BJ919" t="s">
        <v>385</v>
      </c>
      <c r="BK919" t="s">
        <v>103</v>
      </c>
      <c r="BL919" t="s">
        <v>385</v>
      </c>
      <c r="BM919" t="s">
        <v>3856</v>
      </c>
      <c r="BN919">
        <v>37275543</v>
      </c>
      <c r="BO919" t="s">
        <v>430</v>
      </c>
      <c r="BP919" t="s">
        <v>74</v>
      </c>
      <c r="BQ919" t="s">
        <v>74</v>
      </c>
      <c r="BR919" t="s">
        <v>106</v>
      </c>
      <c r="BS919" t="s">
        <v>17756</v>
      </c>
      <c r="BT919" t="str">
        <f>HYPERLINK("https%3A%2F%2Fwww.webofscience.com%2Fwos%2Fwoscc%2Ffull-record%2FWOS:000918274300001","View Full Record in Web of Science")</f>
        <v>View Full Record in Web of Science</v>
      </c>
    </row>
    <row r="920" spans="1:72" x14ac:dyDescent="0.15">
      <c r="A920" t="s">
        <v>72</v>
      </c>
      <c r="B920" t="s">
        <v>17757</v>
      </c>
      <c r="C920" t="s">
        <v>74</v>
      </c>
      <c r="D920" t="s">
        <v>74</v>
      </c>
      <c r="E920" t="s">
        <v>74</v>
      </c>
      <c r="F920" t="s">
        <v>17758</v>
      </c>
      <c r="G920" t="s">
        <v>74</v>
      </c>
      <c r="H920" t="s">
        <v>74</v>
      </c>
      <c r="I920" t="s">
        <v>17759</v>
      </c>
      <c r="J920" t="s">
        <v>9927</v>
      </c>
      <c r="K920" t="s">
        <v>74</v>
      </c>
      <c r="L920" t="s">
        <v>74</v>
      </c>
      <c r="M920" t="s">
        <v>78</v>
      </c>
      <c r="N920" t="s">
        <v>112</v>
      </c>
      <c r="O920" t="s">
        <v>74</v>
      </c>
      <c r="P920" t="s">
        <v>74</v>
      </c>
      <c r="Q920" t="s">
        <v>74</v>
      </c>
      <c r="R920" t="s">
        <v>74</v>
      </c>
      <c r="S920" t="s">
        <v>74</v>
      </c>
      <c r="T920" t="s">
        <v>17760</v>
      </c>
      <c r="U920" t="s">
        <v>17761</v>
      </c>
      <c r="V920" t="s">
        <v>17762</v>
      </c>
      <c r="W920" t="s">
        <v>17763</v>
      </c>
      <c r="X920" t="s">
        <v>17764</v>
      </c>
      <c r="Y920" t="s">
        <v>17765</v>
      </c>
      <c r="Z920" t="s">
        <v>17766</v>
      </c>
      <c r="AA920" t="s">
        <v>74</v>
      </c>
      <c r="AB920" t="s">
        <v>17767</v>
      </c>
      <c r="AC920" t="s">
        <v>17768</v>
      </c>
      <c r="AD920" t="s">
        <v>17769</v>
      </c>
      <c r="AE920" t="s">
        <v>17770</v>
      </c>
      <c r="AF920" t="s">
        <v>74</v>
      </c>
      <c r="AG920">
        <v>69</v>
      </c>
      <c r="AH920">
        <v>1</v>
      </c>
      <c r="AI920">
        <v>1</v>
      </c>
      <c r="AJ920">
        <v>5</v>
      </c>
      <c r="AK920">
        <v>9</v>
      </c>
      <c r="AL920" t="s">
        <v>768</v>
      </c>
      <c r="AM920" t="s">
        <v>2866</v>
      </c>
      <c r="AN920" t="s">
        <v>2867</v>
      </c>
      <c r="AO920" t="s">
        <v>9937</v>
      </c>
      <c r="AP920" t="s">
        <v>9938</v>
      </c>
      <c r="AQ920" t="s">
        <v>74</v>
      </c>
      <c r="AR920" t="s">
        <v>9939</v>
      </c>
      <c r="AS920" t="s">
        <v>9940</v>
      </c>
      <c r="AT920" t="s">
        <v>8042</v>
      </c>
      <c r="AU920">
        <v>2023</v>
      </c>
      <c r="AV920">
        <v>33</v>
      </c>
      <c r="AW920">
        <v>1</v>
      </c>
      <c r="AX920" t="s">
        <v>74</v>
      </c>
      <c r="AY920" t="s">
        <v>74</v>
      </c>
      <c r="AZ920" t="s">
        <v>74</v>
      </c>
      <c r="BA920" t="s">
        <v>74</v>
      </c>
      <c r="BB920">
        <v>295</v>
      </c>
      <c r="BC920">
        <v>310</v>
      </c>
      <c r="BD920" t="s">
        <v>74</v>
      </c>
      <c r="BE920" t="s">
        <v>17771</v>
      </c>
      <c r="BF920" t="str">
        <f>HYPERLINK("http://dx.doi.org/10.1007/s11160-023-09756-9","http://dx.doi.org/10.1007/s11160-023-09756-9")</f>
        <v>http://dx.doi.org/10.1007/s11160-023-09756-9</v>
      </c>
      <c r="BG920" t="s">
        <v>74</v>
      </c>
      <c r="BH920" t="s">
        <v>16484</v>
      </c>
      <c r="BI920">
        <v>16</v>
      </c>
      <c r="BJ920" t="s">
        <v>1065</v>
      </c>
      <c r="BK920" t="s">
        <v>103</v>
      </c>
      <c r="BL920" t="s">
        <v>1065</v>
      </c>
      <c r="BM920" t="s">
        <v>17772</v>
      </c>
      <c r="BN920" t="s">
        <v>74</v>
      </c>
      <c r="BO920" t="s">
        <v>1748</v>
      </c>
      <c r="BP920" t="s">
        <v>74</v>
      </c>
      <c r="BQ920" t="s">
        <v>74</v>
      </c>
      <c r="BR920" t="s">
        <v>106</v>
      </c>
      <c r="BS920" t="s">
        <v>17773</v>
      </c>
      <c r="BT920" t="str">
        <f>HYPERLINK("https%3A%2F%2Fwww.webofscience.com%2Fwos%2Fwoscc%2Ffull-record%2FWOS:000918017900001","View Full Record in Web of Science")</f>
        <v>View Full Record in Web of Science</v>
      </c>
    </row>
    <row r="921" spans="1:72" x14ac:dyDescent="0.15">
      <c r="A921" t="s">
        <v>72</v>
      </c>
      <c r="B921" t="s">
        <v>17774</v>
      </c>
      <c r="C921" t="s">
        <v>74</v>
      </c>
      <c r="D921" t="s">
        <v>74</v>
      </c>
      <c r="E921" t="s">
        <v>74</v>
      </c>
      <c r="F921" t="s">
        <v>17775</v>
      </c>
      <c r="G921" t="s">
        <v>74</v>
      </c>
      <c r="H921" t="s">
        <v>74</v>
      </c>
      <c r="I921" t="s">
        <v>17776</v>
      </c>
      <c r="J921" t="s">
        <v>17777</v>
      </c>
      <c r="K921" t="s">
        <v>74</v>
      </c>
      <c r="L921" t="s">
        <v>74</v>
      </c>
      <c r="M921" t="s">
        <v>78</v>
      </c>
      <c r="N921" t="s">
        <v>112</v>
      </c>
      <c r="O921" t="s">
        <v>74</v>
      </c>
      <c r="P921" t="s">
        <v>74</v>
      </c>
      <c r="Q921" t="s">
        <v>74</v>
      </c>
      <c r="R921" t="s">
        <v>74</v>
      </c>
      <c r="S921" t="s">
        <v>74</v>
      </c>
      <c r="T921" t="s">
        <v>17778</v>
      </c>
      <c r="U921" t="s">
        <v>17779</v>
      </c>
      <c r="V921" t="s">
        <v>17780</v>
      </c>
      <c r="W921" t="s">
        <v>17781</v>
      </c>
      <c r="X921" t="s">
        <v>17782</v>
      </c>
      <c r="Y921" t="s">
        <v>17783</v>
      </c>
      <c r="Z921" t="s">
        <v>17784</v>
      </c>
      <c r="AA921" t="s">
        <v>17785</v>
      </c>
      <c r="AB921" t="s">
        <v>17786</v>
      </c>
      <c r="AC921" t="s">
        <v>17787</v>
      </c>
      <c r="AD921" t="s">
        <v>17788</v>
      </c>
      <c r="AE921" t="s">
        <v>17789</v>
      </c>
      <c r="AF921" t="s">
        <v>74</v>
      </c>
      <c r="AG921">
        <v>57</v>
      </c>
      <c r="AH921">
        <v>0</v>
      </c>
      <c r="AI921">
        <v>0</v>
      </c>
      <c r="AJ921">
        <v>4</v>
      </c>
      <c r="AK921">
        <v>14</v>
      </c>
      <c r="AL921" t="s">
        <v>768</v>
      </c>
      <c r="AM921" t="s">
        <v>2866</v>
      </c>
      <c r="AN921" t="s">
        <v>2867</v>
      </c>
      <c r="AO921" t="s">
        <v>17790</v>
      </c>
      <c r="AP921" t="s">
        <v>17791</v>
      </c>
      <c r="AQ921" t="s">
        <v>74</v>
      </c>
      <c r="AR921" t="s">
        <v>17777</v>
      </c>
      <c r="AS921" t="s">
        <v>17792</v>
      </c>
      <c r="AT921" t="s">
        <v>8042</v>
      </c>
      <c r="AU921">
        <v>2023</v>
      </c>
      <c r="AV921">
        <v>89</v>
      </c>
      <c r="AW921">
        <v>2</v>
      </c>
      <c r="AX921" t="s">
        <v>74</v>
      </c>
      <c r="AY921" t="s">
        <v>74</v>
      </c>
      <c r="AZ921" t="s">
        <v>74</v>
      </c>
      <c r="BA921" t="s">
        <v>74</v>
      </c>
      <c r="BB921">
        <v>187</v>
      </c>
      <c r="BC921">
        <v>196</v>
      </c>
      <c r="BD921" t="s">
        <v>74</v>
      </c>
      <c r="BE921" t="s">
        <v>17793</v>
      </c>
      <c r="BF921" t="str">
        <f>HYPERLINK("http://dx.doi.org/10.1007/s13199-023-00899-8","http://dx.doi.org/10.1007/s13199-023-00899-8")</f>
        <v>http://dx.doi.org/10.1007/s13199-023-00899-8</v>
      </c>
      <c r="BG921" t="s">
        <v>74</v>
      </c>
      <c r="BH921" t="s">
        <v>16484</v>
      </c>
      <c r="BI921">
        <v>10</v>
      </c>
      <c r="BJ921" t="s">
        <v>1387</v>
      </c>
      <c r="BK921" t="s">
        <v>103</v>
      </c>
      <c r="BL921" t="s">
        <v>1387</v>
      </c>
      <c r="BM921" t="s">
        <v>17794</v>
      </c>
      <c r="BN921" t="s">
        <v>74</v>
      </c>
      <c r="BO921" t="s">
        <v>74</v>
      </c>
      <c r="BP921" t="s">
        <v>74</v>
      </c>
      <c r="BQ921" t="s">
        <v>74</v>
      </c>
      <c r="BR921" t="s">
        <v>106</v>
      </c>
      <c r="BS921" t="s">
        <v>17795</v>
      </c>
      <c r="BT921" t="str">
        <f>HYPERLINK("https%3A%2F%2Fwww.webofscience.com%2Fwos%2Fwoscc%2Ffull-record%2FWOS:000918086200002","View Full Record in Web of Science")</f>
        <v>View Full Record in Web of Science</v>
      </c>
    </row>
    <row r="922" spans="1:72" x14ac:dyDescent="0.15">
      <c r="A922" t="s">
        <v>72</v>
      </c>
      <c r="B922" t="s">
        <v>17796</v>
      </c>
      <c r="C922" t="s">
        <v>74</v>
      </c>
      <c r="D922" t="s">
        <v>74</v>
      </c>
      <c r="E922" t="s">
        <v>74</v>
      </c>
      <c r="F922" t="s">
        <v>17797</v>
      </c>
      <c r="G922" t="s">
        <v>74</v>
      </c>
      <c r="H922" t="s">
        <v>74</v>
      </c>
      <c r="I922" t="s">
        <v>17798</v>
      </c>
      <c r="J922" t="s">
        <v>1215</v>
      </c>
      <c r="K922" t="s">
        <v>74</v>
      </c>
      <c r="L922" t="s">
        <v>74</v>
      </c>
      <c r="M922" t="s">
        <v>78</v>
      </c>
      <c r="N922" t="s">
        <v>112</v>
      </c>
      <c r="O922" t="s">
        <v>74</v>
      </c>
      <c r="P922" t="s">
        <v>74</v>
      </c>
      <c r="Q922" t="s">
        <v>74</v>
      </c>
      <c r="R922" t="s">
        <v>74</v>
      </c>
      <c r="S922" t="s">
        <v>74</v>
      </c>
      <c r="T922" t="s">
        <v>17799</v>
      </c>
      <c r="U922" t="s">
        <v>17800</v>
      </c>
      <c r="V922" t="s">
        <v>17801</v>
      </c>
      <c r="W922" t="s">
        <v>17802</v>
      </c>
      <c r="X922" t="s">
        <v>17803</v>
      </c>
      <c r="Y922" t="s">
        <v>17804</v>
      </c>
      <c r="Z922" t="s">
        <v>17805</v>
      </c>
      <c r="AA922" t="s">
        <v>17806</v>
      </c>
      <c r="AB922" t="s">
        <v>17807</v>
      </c>
      <c r="AC922" t="s">
        <v>17808</v>
      </c>
      <c r="AD922" t="s">
        <v>17809</v>
      </c>
      <c r="AE922" t="s">
        <v>17810</v>
      </c>
      <c r="AF922" t="s">
        <v>74</v>
      </c>
      <c r="AG922">
        <v>149</v>
      </c>
      <c r="AH922">
        <v>5</v>
      </c>
      <c r="AI922">
        <v>5</v>
      </c>
      <c r="AJ922">
        <v>4</v>
      </c>
      <c r="AK922">
        <v>12</v>
      </c>
      <c r="AL922" t="s">
        <v>700</v>
      </c>
      <c r="AM922" t="s">
        <v>701</v>
      </c>
      <c r="AN922" t="s">
        <v>702</v>
      </c>
      <c r="AO922" t="s">
        <v>74</v>
      </c>
      <c r="AP922" t="s">
        <v>1228</v>
      </c>
      <c r="AQ922" t="s">
        <v>74</v>
      </c>
      <c r="AR922" t="s">
        <v>1229</v>
      </c>
      <c r="AS922" t="s">
        <v>1230</v>
      </c>
      <c r="AT922" t="s">
        <v>17811</v>
      </c>
      <c r="AU922">
        <v>2023</v>
      </c>
      <c r="AV922">
        <v>9</v>
      </c>
      <c r="AW922" t="s">
        <v>74</v>
      </c>
      <c r="AX922" t="s">
        <v>74</v>
      </c>
      <c r="AY922" t="s">
        <v>74</v>
      </c>
      <c r="AZ922" t="s">
        <v>74</v>
      </c>
      <c r="BA922" t="s">
        <v>74</v>
      </c>
      <c r="BB922" t="s">
        <v>74</v>
      </c>
      <c r="BC922" t="s">
        <v>74</v>
      </c>
      <c r="BD922">
        <v>1072696</v>
      </c>
      <c r="BE922" t="s">
        <v>17812</v>
      </c>
      <c r="BF922" t="str">
        <f>HYPERLINK("http://dx.doi.org/10.3389/fmars.2022.1072696","http://dx.doi.org/10.3389/fmars.2022.1072696")</f>
        <v>http://dx.doi.org/10.3389/fmars.2022.1072696</v>
      </c>
      <c r="BG922" t="s">
        <v>74</v>
      </c>
      <c r="BH922" t="s">
        <v>74</v>
      </c>
      <c r="BI922">
        <v>23</v>
      </c>
      <c r="BJ922" t="s">
        <v>636</v>
      </c>
      <c r="BK922" t="s">
        <v>103</v>
      </c>
      <c r="BL922" t="s">
        <v>637</v>
      </c>
      <c r="BM922" t="s">
        <v>17813</v>
      </c>
      <c r="BN922" t="s">
        <v>74</v>
      </c>
      <c r="BO922" t="s">
        <v>614</v>
      </c>
      <c r="BP922" t="s">
        <v>74</v>
      </c>
      <c r="BQ922" t="s">
        <v>74</v>
      </c>
      <c r="BR922" t="s">
        <v>106</v>
      </c>
      <c r="BS922" t="s">
        <v>17814</v>
      </c>
      <c r="BT922" t="str">
        <f>HYPERLINK("https%3A%2F%2Fwww.webofscience.com%2Fwos%2Fwoscc%2Ffull-record%2FWOS:000923940900001","View Full Record in Web of Science")</f>
        <v>View Full Record in Web of Science</v>
      </c>
    </row>
    <row r="923" spans="1:72" x14ac:dyDescent="0.15">
      <c r="A923" t="s">
        <v>72</v>
      </c>
      <c r="B923" t="s">
        <v>17815</v>
      </c>
      <c r="C923" t="s">
        <v>74</v>
      </c>
      <c r="D923" t="s">
        <v>74</v>
      </c>
      <c r="E923" t="s">
        <v>74</v>
      </c>
      <c r="F923" t="s">
        <v>17816</v>
      </c>
      <c r="G923" t="s">
        <v>74</v>
      </c>
      <c r="H923" t="s">
        <v>74</v>
      </c>
      <c r="I923" t="s">
        <v>17817</v>
      </c>
      <c r="J923" t="s">
        <v>4311</v>
      </c>
      <c r="K923" t="s">
        <v>74</v>
      </c>
      <c r="L923" t="s">
        <v>74</v>
      </c>
      <c r="M923" t="s">
        <v>78</v>
      </c>
      <c r="N923" t="s">
        <v>1754</v>
      </c>
      <c r="O923" t="s">
        <v>74</v>
      </c>
      <c r="P923" t="s">
        <v>74</v>
      </c>
      <c r="Q923" t="s">
        <v>74</v>
      </c>
      <c r="R923" t="s">
        <v>74</v>
      </c>
      <c r="S923" t="s">
        <v>74</v>
      </c>
      <c r="T923" t="s">
        <v>17818</v>
      </c>
      <c r="U923" t="s">
        <v>17819</v>
      </c>
      <c r="V923" t="s">
        <v>17820</v>
      </c>
      <c r="W923" t="s">
        <v>17821</v>
      </c>
      <c r="X923" t="s">
        <v>17822</v>
      </c>
      <c r="Y923" t="s">
        <v>17823</v>
      </c>
      <c r="Z923" t="s">
        <v>17824</v>
      </c>
      <c r="AA923" t="s">
        <v>17825</v>
      </c>
      <c r="AB923" t="s">
        <v>17826</v>
      </c>
      <c r="AC923" t="s">
        <v>17827</v>
      </c>
      <c r="AD923" t="s">
        <v>17828</v>
      </c>
      <c r="AE923" t="s">
        <v>17829</v>
      </c>
      <c r="AF923" t="s">
        <v>74</v>
      </c>
      <c r="AG923">
        <v>73</v>
      </c>
      <c r="AH923">
        <v>4</v>
      </c>
      <c r="AI923">
        <v>4</v>
      </c>
      <c r="AJ923">
        <v>24</v>
      </c>
      <c r="AK923">
        <v>55</v>
      </c>
      <c r="AL923" t="s">
        <v>3119</v>
      </c>
      <c r="AM923" t="s">
        <v>306</v>
      </c>
      <c r="AN923" t="s">
        <v>3120</v>
      </c>
      <c r="AO923" t="s">
        <v>4323</v>
      </c>
      <c r="AP923" t="s">
        <v>4324</v>
      </c>
      <c r="AQ923" t="s">
        <v>74</v>
      </c>
      <c r="AR923" t="s">
        <v>4325</v>
      </c>
      <c r="AS923" t="s">
        <v>4326</v>
      </c>
      <c r="AT923" t="s">
        <v>17830</v>
      </c>
      <c r="AU923">
        <v>2023</v>
      </c>
      <c r="AV923" t="s">
        <v>74</v>
      </c>
      <c r="AW923" t="s">
        <v>74</v>
      </c>
      <c r="AX923" t="s">
        <v>74</v>
      </c>
      <c r="AY923" t="s">
        <v>74</v>
      </c>
      <c r="AZ923" t="s">
        <v>74</v>
      </c>
      <c r="BA923" t="s">
        <v>74</v>
      </c>
      <c r="BB923" t="s">
        <v>74</v>
      </c>
      <c r="BC923" t="s">
        <v>74</v>
      </c>
      <c r="BD923" t="s">
        <v>74</v>
      </c>
      <c r="BE923" t="s">
        <v>17831</v>
      </c>
      <c r="BF923" t="str">
        <f>HYPERLINK("http://dx.doi.org/10.1021/acs.est.2c05583","http://dx.doi.org/10.1021/acs.est.2c05583")</f>
        <v>http://dx.doi.org/10.1021/acs.est.2c05583</v>
      </c>
      <c r="BG923" t="s">
        <v>74</v>
      </c>
      <c r="BH923" t="s">
        <v>16484</v>
      </c>
      <c r="BI923">
        <v>12</v>
      </c>
      <c r="BJ923" t="s">
        <v>1985</v>
      </c>
      <c r="BK923" t="s">
        <v>103</v>
      </c>
      <c r="BL923" t="s">
        <v>1986</v>
      </c>
      <c r="BM923" t="s">
        <v>17832</v>
      </c>
      <c r="BN923">
        <v>36655903</v>
      </c>
      <c r="BO923" t="s">
        <v>1748</v>
      </c>
      <c r="BP923" t="s">
        <v>74</v>
      </c>
      <c r="BQ923" t="s">
        <v>74</v>
      </c>
      <c r="BR923" t="s">
        <v>106</v>
      </c>
      <c r="BS923" t="s">
        <v>17833</v>
      </c>
      <c r="BT923" t="str">
        <f>HYPERLINK("https%3A%2F%2Fwww.webofscience.com%2Fwos%2Fwoscc%2Ffull-record%2FWOS:000926973000001","View Full Record in Web of Science")</f>
        <v>View Full Record in Web of Science</v>
      </c>
    </row>
    <row r="924" spans="1:72" x14ac:dyDescent="0.15">
      <c r="A924" t="s">
        <v>72</v>
      </c>
      <c r="B924" t="s">
        <v>17834</v>
      </c>
      <c r="C924" t="s">
        <v>74</v>
      </c>
      <c r="D924" t="s">
        <v>74</v>
      </c>
      <c r="E924" t="s">
        <v>74</v>
      </c>
      <c r="F924" t="s">
        <v>17835</v>
      </c>
      <c r="G924" t="s">
        <v>74</v>
      </c>
      <c r="H924" t="s">
        <v>74</v>
      </c>
      <c r="I924" t="s">
        <v>17836</v>
      </c>
      <c r="J924" t="s">
        <v>1215</v>
      </c>
      <c r="K924" t="s">
        <v>74</v>
      </c>
      <c r="L924" t="s">
        <v>74</v>
      </c>
      <c r="M924" t="s">
        <v>78</v>
      </c>
      <c r="N924" t="s">
        <v>112</v>
      </c>
      <c r="O924" t="s">
        <v>74</v>
      </c>
      <c r="P924" t="s">
        <v>74</v>
      </c>
      <c r="Q924" t="s">
        <v>74</v>
      </c>
      <c r="R924" t="s">
        <v>74</v>
      </c>
      <c r="S924" t="s">
        <v>74</v>
      </c>
      <c r="T924" t="s">
        <v>17837</v>
      </c>
      <c r="U924" t="s">
        <v>17838</v>
      </c>
      <c r="V924" t="s">
        <v>17839</v>
      </c>
      <c r="W924" t="s">
        <v>17840</v>
      </c>
      <c r="X924" t="s">
        <v>1996</v>
      </c>
      <c r="Y924" t="s">
        <v>17841</v>
      </c>
      <c r="Z924" t="s">
        <v>17842</v>
      </c>
      <c r="AA924" t="s">
        <v>17843</v>
      </c>
      <c r="AB924" t="s">
        <v>17844</v>
      </c>
      <c r="AC924" t="s">
        <v>17845</v>
      </c>
      <c r="AD924" t="s">
        <v>17846</v>
      </c>
      <c r="AE924" t="s">
        <v>17847</v>
      </c>
      <c r="AF924" t="s">
        <v>74</v>
      </c>
      <c r="AG924">
        <v>39</v>
      </c>
      <c r="AH924">
        <v>0</v>
      </c>
      <c r="AI924">
        <v>0</v>
      </c>
      <c r="AJ924">
        <v>1</v>
      </c>
      <c r="AK924">
        <v>9</v>
      </c>
      <c r="AL924" t="s">
        <v>700</v>
      </c>
      <c r="AM924" t="s">
        <v>701</v>
      </c>
      <c r="AN924" t="s">
        <v>702</v>
      </c>
      <c r="AO924" t="s">
        <v>74</v>
      </c>
      <c r="AP924" t="s">
        <v>1228</v>
      </c>
      <c r="AQ924" t="s">
        <v>74</v>
      </c>
      <c r="AR924" t="s">
        <v>1229</v>
      </c>
      <c r="AS924" t="s">
        <v>1230</v>
      </c>
      <c r="AT924" t="s">
        <v>17811</v>
      </c>
      <c r="AU924">
        <v>2023</v>
      </c>
      <c r="AV924">
        <v>9</v>
      </c>
      <c r="AW924" t="s">
        <v>74</v>
      </c>
      <c r="AX924" t="s">
        <v>74</v>
      </c>
      <c r="AY924" t="s">
        <v>74</v>
      </c>
      <c r="AZ924" t="s">
        <v>74</v>
      </c>
      <c r="BA924" t="s">
        <v>74</v>
      </c>
      <c r="BB924" t="s">
        <v>74</v>
      </c>
      <c r="BC924" t="s">
        <v>74</v>
      </c>
      <c r="BD924">
        <v>1093391</v>
      </c>
      <c r="BE924" t="s">
        <v>17848</v>
      </c>
      <c r="BF924" t="str">
        <f>HYPERLINK("http://dx.doi.org/10.3389/fmars.2022.1093391","http://dx.doi.org/10.3389/fmars.2022.1093391")</f>
        <v>http://dx.doi.org/10.3389/fmars.2022.1093391</v>
      </c>
      <c r="BG924" t="s">
        <v>74</v>
      </c>
      <c r="BH924" t="s">
        <v>74</v>
      </c>
      <c r="BI924">
        <v>16</v>
      </c>
      <c r="BJ924" t="s">
        <v>636</v>
      </c>
      <c r="BK924" t="s">
        <v>103</v>
      </c>
      <c r="BL924" t="s">
        <v>637</v>
      </c>
      <c r="BM924" t="s">
        <v>17849</v>
      </c>
      <c r="BN924" t="s">
        <v>74</v>
      </c>
      <c r="BO924" t="s">
        <v>136</v>
      </c>
      <c r="BP924" t="s">
        <v>74</v>
      </c>
      <c r="BQ924" t="s">
        <v>74</v>
      </c>
      <c r="BR924" t="s">
        <v>106</v>
      </c>
      <c r="BS924" t="s">
        <v>17850</v>
      </c>
      <c r="BT924" t="str">
        <f>HYPERLINK("https%3A%2F%2Fwww.webofscience.com%2Fwos%2Fwoscc%2Ffull-record%2FWOS:000924150100001","View Full Record in Web of Science")</f>
        <v>View Full Record in Web of Science</v>
      </c>
    </row>
    <row r="925" spans="1:72" x14ac:dyDescent="0.15">
      <c r="A925" t="s">
        <v>72</v>
      </c>
      <c r="B925" t="s">
        <v>17851</v>
      </c>
      <c r="C925" t="s">
        <v>74</v>
      </c>
      <c r="D925" t="s">
        <v>74</v>
      </c>
      <c r="E925" t="s">
        <v>74</v>
      </c>
      <c r="F925" t="s">
        <v>17852</v>
      </c>
      <c r="G925" t="s">
        <v>74</v>
      </c>
      <c r="H925" t="s">
        <v>74</v>
      </c>
      <c r="I925" t="s">
        <v>17853</v>
      </c>
      <c r="J925" t="s">
        <v>2461</v>
      </c>
      <c r="K925" t="s">
        <v>74</v>
      </c>
      <c r="L925" t="s">
        <v>74</v>
      </c>
      <c r="M925" t="s">
        <v>78</v>
      </c>
      <c r="N925" t="s">
        <v>365</v>
      </c>
      <c r="O925" t="s">
        <v>74</v>
      </c>
      <c r="P925" t="s">
        <v>74</v>
      </c>
      <c r="Q925" t="s">
        <v>74</v>
      </c>
      <c r="R925" t="s">
        <v>74</v>
      </c>
      <c r="S925" t="s">
        <v>74</v>
      </c>
      <c r="T925" t="s">
        <v>74</v>
      </c>
      <c r="U925" t="s">
        <v>17854</v>
      </c>
      <c r="V925" t="s">
        <v>17855</v>
      </c>
      <c r="W925" t="s">
        <v>17856</v>
      </c>
      <c r="X925" t="s">
        <v>17857</v>
      </c>
      <c r="Y925" t="s">
        <v>17858</v>
      </c>
      <c r="Z925" t="s">
        <v>17859</v>
      </c>
      <c r="AA925" t="s">
        <v>17860</v>
      </c>
      <c r="AB925" t="s">
        <v>17861</v>
      </c>
      <c r="AC925" t="s">
        <v>17862</v>
      </c>
      <c r="AD925" t="s">
        <v>17863</v>
      </c>
      <c r="AE925" t="s">
        <v>17864</v>
      </c>
      <c r="AF925" t="s">
        <v>74</v>
      </c>
      <c r="AG925">
        <v>263</v>
      </c>
      <c r="AH925">
        <v>6</v>
      </c>
      <c r="AI925">
        <v>6</v>
      </c>
      <c r="AJ925">
        <v>3</v>
      </c>
      <c r="AK925">
        <v>11</v>
      </c>
      <c r="AL925" t="s">
        <v>1357</v>
      </c>
      <c r="AM925" t="s">
        <v>525</v>
      </c>
      <c r="AN925" t="s">
        <v>1358</v>
      </c>
      <c r="AO925" t="s">
        <v>74</v>
      </c>
      <c r="AP925" t="s">
        <v>2470</v>
      </c>
      <c r="AQ925" t="s">
        <v>74</v>
      </c>
      <c r="AR925" t="s">
        <v>2471</v>
      </c>
      <c r="AS925" t="s">
        <v>2472</v>
      </c>
      <c r="AT925" t="s">
        <v>17811</v>
      </c>
      <c r="AU925">
        <v>2023</v>
      </c>
      <c r="AV925">
        <v>4</v>
      </c>
      <c r="AW925">
        <v>1</v>
      </c>
      <c r="AX925" t="s">
        <v>74</v>
      </c>
      <c r="AY925" t="s">
        <v>74</v>
      </c>
      <c r="AZ925" t="s">
        <v>74</v>
      </c>
      <c r="BA925" t="s">
        <v>74</v>
      </c>
      <c r="BB925" t="s">
        <v>74</v>
      </c>
      <c r="BC925" t="s">
        <v>74</v>
      </c>
      <c r="BD925">
        <v>10</v>
      </c>
      <c r="BE925" t="s">
        <v>17865</v>
      </c>
      <c r="BF925" t="str">
        <f>HYPERLINK("http://dx.doi.org/10.1038/s43247-022-00644-x","http://dx.doi.org/10.1038/s43247-022-00644-x")</f>
        <v>http://dx.doi.org/10.1038/s43247-022-00644-x</v>
      </c>
      <c r="BG925" t="s">
        <v>74</v>
      </c>
      <c r="BH925" t="s">
        <v>74</v>
      </c>
      <c r="BI925">
        <v>20</v>
      </c>
      <c r="BJ925" t="s">
        <v>2474</v>
      </c>
      <c r="BK925" t="s">
        <v>103</v>
      </c>
      <c r="BL925" t="s">
        <v>2475</v>
      </c>
      <c r="BM925" t="s">
        <v>17866</v>
      </c>
      <c r="BN925" t="s">
        <v>74</v>
      </c>
      <c r="BO925" t="s">
        <v>6065</v>
      </c>
      <c r="BP925" t="s">
        <v>74</v>
      </c>
      <c r="BQ925" t="s">
        <v>74</v>
      </c>
      <c r="BR925" t="s">
        <v>106</v>
      </c>
      <c r="BS925" t="s">
        <v>17867</v>
      </c>
      <c r="BT925" t="str">
        <f>HYPERLINK("https%3A%2F%2Fwww.webofscience.com%2Fwos%2Fwoscc%2Ffull-record%2FWOS:000916078100001","View Full Record in Web of Science")</f>
        <v>View Full Record in Web of Science</v>
      </c>
    </row>
    <row r="926" spans="1:72" x14ac:dyDescent="0.15">
      <c r="A926" t="s">
        <v>72</v>
      </c>
      <c r="B926" t="s">
        <v>17868</v>
      </c>
      <c r="C926" t="s">
        <v>74</v>
      </c>
      <c r="D926" t="s">
        <v>74</v>
      </c>
      <c r="E926" t="s">
        <v>74</v>
      </c>
      <c r="F926" t="s">
        <v>17869</v>
      </c>
      <c r="G926" t="s">
        <v>74</v>
      </c>
      <c r="H926" t="s">
        <v>74</v>
      </c>
      <c r="I926" t="s">
        <v>17870</v>
      </c>
      <c r="J926" t="s">
        <v>2461</v>
      </c>
      <c r="K926" t="s">
        <v>74</v>
      </c>
      <c r="L926" t="s">
        <v>74</v>
      </c>
      <c r="M926" t="s">
        <v>78</v>
      </c>
      <c r="N926" t="s">
        <v>79</v>
      </c>
      <c r="O926" t="s">
        <v>74</v>
      </c>
      <c r="P926" t="s">
        <v>74</v>
      </c>
      <c r="Q926" t="s">
        <v>74</v>
      </c>
      <c r="R926" t="s">
        <v>74</v>
      </c>
      <c r="S926" t="s">
        <v>74</v>
      </c>
      <c r="T926" t="s">
        <v>74</v>
      </c>
      <c r="U926" t="s">
        <v>17871</v>
      </c>
      <c r="V926" t="s">
        <v>74</v>
      </c>
      <c r="W926" t="s">
        <v>17872</v>
      </c>
      <c r="X926" t="s">
        <v>17873</v>
      </c>
      <c r="Y926" t="s">
        <v>17874</v>
      </c>
      <c r="Z926" t="s">
        <v>17875</v>
      </c>
      <c r="AA926" t="s">
        <v>17876</v>
      </c>
      <c r="AB926" t="s">
        <v>17877</v>
      </c>
      <c r="AC926" t="s">
        <v>17878</v>
      </c>
      <c r="AD926" t="s">
        <v>17879</v>
      </c>
      <c r="AE926" t="s">
        <v>17880</v>
      </c>
      <c r="AF926" t="s">
        <v>74</v>
      </c>
      <c r="AG926">
        <v>23</v>
      </c>
      <c r="AH926">
        <v>1</v>
      </c>
      <c r="AI926">
        <v>1</v>
      </c>
      <c r="AJ926">
        <v>1</v>
      </c>
      <c r="AK926">
        <v>2</v>
      </c>
      <c r="AL926" t="s">
        <v>1357</v>
      </c>
      <c r="AM926" t="s">
        <v>525</v>
      </c>
      <c r="AN926" t="s">
        <v>1358</v>
      </c>
      <c r="AO926" t="s">
        <v>74</v>
      </c>
      <c r="AP926" t="s">
        <v>2470</v>
      </c>
      <c r="AQ926" t="s">
        <v>74</v>
      </c>
      <c r="AR926" t="s">
        <v>2471</v>
      </c>
      <c r="AS926" t="s">
        <v>2472</v>
      </c>
      <c r="AT926" t="s">
        <v>17811</v>
      </c>
      <c r="AU926">
        <v>2023</v>
      </c>
      <c r="AV926">
        <v>4</v>
      </c>
      <c r="AW926">
        <v>1</v>
      </c>
      <c r="AX926" t="s">
        <v>74</v>
      </c>
      <c r="AY926" t="s">
        <v>74</v>
      </c>
      <c r="AZ926" t="s">
        <v>74</v>
      </c>
      <c r="BA926" t="s">
        <v>74</v>
      </c>
      <c r="BB926" t="s">
        <v>74</v>
      </c>
      <c r="BC926" t="s">
        <v>74</v>
      </c>
      <c r="BD926">
        <v>11</v>
      </c>
      <c r="BE926" t="s">
        <v>17881</v>
      </c>
      <c r="BF926" t="str">
        <f>HYPERLINK("http://dx.doi.org/10.1038/s43247-022-00646-9","http://dx.doi.org/10.1038/s43247-022-00646-9")</f>
        <v>http://dx.doi.org/10.1038/s43247-022-00646-9</v>
      </c>
      <c r="BG926" t="s">
        <v>74</v>
      </c>
      <c r="BH926" t="s">
        <v>74</v>
      </c>
      <c r="BI926">
        <v>5</v>
      </c>
      <c r="BJ926" t="s">
        <v>2474</v>
      </c>
      <c r="BK926" t="s">
        <v>103</v>
      </c>
      <c r="BL926" t="s">
        <v>2475</v>
      </c>
      <c r="BM926" t="s">
        <v>17866</v>
      </c>
      <c r="BN926" t="s">
        <v>74</v>
      </c>
      <c r="BO926" t="s">
        <v>136</v>
      </c>
      <c r="BP926" t="s">
        <v>74</v>
      </c>
      <c r="BQ926" t="s">
        <v>74</v>
      </c>
      <c r="BR926" t="s">
        <v>106</v>
      </c>
      <c r="BS926" t="s">
        <v>17882</v>
      </c>
      <c r="BT926" t="str">
        <f>HYPERLINK("https%3A%2F%2Fwww.webofscience.com%2Fwos%2Fwoscc%2Ffull-record%2FWOS:000916078100003","View Full Record in Web of Science")</f>
        <v>View Full Record in Web of Science</v>
      </c>
    </row>
    <row r="927" spans="1:72" x14ac:dyDescent="0.15">
      <c r="A927" t="s">
        <v>72</v>
      </c>
      <c r="B927" t="s">
        <v>17883</v>
      </c>
      <c r="C927" t="s">
        <v>74</v>
      </c>
      <c r="D927" t="s">
        <v>74</v>
      </c>
      <c r="E927" t="s">
        <v>74</v>
      </c>
      <c r="F927" t="s">
        <v>17884</v>
      </c>
      <c r="G927" t="s">
        <v>74</v>
      </c>
      <c r="H927" t="s">
        <v>74</v>
      </c>
      <c r="I927" t="s">
        <v>17885</v>
      </c>
      <c r="J927" t="s">
        <v>1215</v>
      </c>
      <c r="K927" t="s">
        <v>74</v>
      </c>
      <c r="L927" t="s">
        <v>74</v>
      </c>
      <c r="M927" t="s">
        <v>78</v>
      </c>
      <c r="N927" t="s">
        <v>112</v>
      </c>
      <c r="O927" t="s">
        <v>74</v>
      </c>
      <c r="P927" t="s">
        <v>74</v>
      </c>
      <c r="Q927" t="s">
        <v>74</v>
      </c>
      <c r="R927" t="s">
        <v>74</v>
      </c>
      <c r="S927" t="s">
        <v>74</v>
      </c>
      <c r="T927" t="s">
        <v>17886</v>
      </c>
      <c r="U927" t="s">
        <v>17887</v>
      </c>
      <c r="V927" t="s">
        <v>17888</v>
      </c>
      <c r="W927" t="s">
        <v>17889</v>
      </c>
      <c r="X927" t="s">
        <v>17890</v>
      </c>
      <c r="Y927" t="s">
        <v>17891</v>
      </c>
      <c r="Z927" t="s">
        <v>17892</v>
      </c>
      <c r="AA927" t="s">
        <v>17893</v>
      </c>
      <c r="AB927" t="s">
        <v>17894</v>
      </c>
      <c r="AC927" t="s">
        <v>17895</v>
      </c>
      <c r="AD927" t="s">
        <v>17896</v>
      </c>
      <c r="AE927" t="s">
        <v>17897</v>
      </c>
      <c r="AF927" t="s">
        <v>74</v>
      </c>
      <c r="AG927">
        <v>55</v>
      </c>
      <c r="AH927">
        <v>0</v>
      </c>
      <c r="AI927">
        <v>0</v>
      </c>
      <c r="AJ927">
        <v>1</v>
      </c>
      <c r="AK927">
        <v>7</v>
      </c>
      <c r="AL927" t="s">
        <v>700</v>
      </c>
      <c r="AM927" t="s">
        <v>701</v>
      </c>
      <c r="AN927" t="s">
        <v>702</v>
      </c>
      <c r="AO927" t="s">
        <v>74</v>
      </c>
      <c r="AP927" t="s">
        <v>1228</v>
      </c>
      <c r="AQ927" t="s">
        <v>74</v>
      </c>
      <c r="AR927" t="s">
        <v>1229</v>
      </c>
      <c r="AS927" t="s">
        <v>1230</v>
      </c>
      <c r="AT927" t="s">
        <v>17898</v>
      </c>
      <c r="AU927">
        <v>2023</v>
      </c>
      <c r="AV927">
        <v>10</v>
      </c>
      <c r="AW927" t="s">
        <v>74</v>
      </c>
      <c r="AX927" t="s">
        <v>74</v>
      </c>
      <c r="AY927" t="s">
        <v>74</v>
      </c>
      <c r="AZ927" t="s">
        <v>74</v>
      </c>
      <c r="BA927" t="s">
        <v>74</v>
      </c>
      <c r="BB927" t="s">
        <v>74</v>
      </c>
      <c r="BC927" t="s">
        <v>74</v>
      </c>
      <c r="BD927">
        <v>1075313</v>
      </c>
      <c r="BE927" t="s">
        <v>17899</v>
      </c>
      <c r="BF927" t="str">
        <f>HYPERLINK("http://dx.doi.org/10.3389/fmars.2023.1075313","http://dx.doi.org/10.3389/fmars.2023.1075313")</f>
        <v>http://dx.doi.org/10.3389/fmars.2023.1075313</v>
      </c>
      <c r="BG927" t="s">
        <v>74</v>
      </c>
      <c r="BH927" t="s">
        <v>74</v>
      </c>
      <c r="BI927">
        <v>18</v>
      </c>
      <c r="BJ927" t="s">
        <v>636</v>
      </c>
      <c r="BK927" t="s">
        <v>103</v>
      </c>
      <c r="BL927" t="s">
        <v>637</v>
      </c>
      <c r="BM927" t="s">
        <v>17900</v>
      </c>
      <c r="BN927" t="s">
        <v>74</v>
      </c>
      <c r="BO927" t="s">
        <v>359</v>
      </c>
      <c r="BP927" t="s">
        <v>74</v>
      </c>
      <c r="BQ927" t="s">
        <v>74</v>
      </c>
      <c r="BR927" t="s">
        <v>106</v>
      </c>
      <c r="BS927" t="s">
        <v>17901</v>
      </c>
      <c r="BT927" t="str">
        <f>HYPERLINK("https%3A%2F%2Fwww.webofscience.com%2Fwos%2Fwoscc%2Ffull-record%2FWOS:000926915000001","View Full Record in Web of Science")</f>
        <v>View Full Record in Web of Science</v>
      </c>
    </row>
    <row r="928" spans="1:72" x14ac:dyDescent="0.15">
      <c r="A928" t="s">
        <v>72</v>
      </c>
      <c r="B928" t="s">
        <v>17902</v>
      </c>
      <c r="C928" t="s">
        <v>74</v>
      </c>
      <c r="D928" t="s">
        <v>74</v>
      </c>
      <c r="E928" t="s">
        <v>74</v>
      </c>
      <c r="F928" t="s">
        <v>17903</v>
      </c>
      <c r="G928" t="s">
        <v>74</v>
      </c>
      <c r="H928" t="s">
        <v>74</v>
      </c>
      <c r="I928" t="s">
        <v>17904</v>
      </c>
      <c r="J928" t="s">
        <v>1193</v>
      </c>
      <c r="K928" t="s">
        <v>74</v>
      </c>
      <c r="L928" t="s">
        <v>74</v>
      </c>
      <c r="M928" t="s">
        <v>78</v>
      </c>
      <c r="N928" t="s">
        <v>112</v>
      </c>
      <c r="O928" t="s">
        <v>74</v>
      </c>
      <c r="P928" t="s">
        <v>74</v>
      </c>
      <c r="Q928" t="s">
        <v>74</v>
      </c>
      <c r="R928" t="s">
        <v>74</v>
      </c>
      <c r="S928" t="s">
        <v>74</v>
      </c>
      <c r="T928" t="s">
        <v>17905</v>
      </c>
      <c r="U928" t="s">
        <v>17906</v>
      </c>
      <c r="V928" t="s">
        <v>17907</v>
      </c>
      <c r="W928" t="s">
        <v>17908</v>
      </c>
      <c r="X928" t="s">
        <v>17909</v>
      </c>
      <c r="Y928" t="s">
        <v>17910</v>
      </c>
      <c r="Z928" t="s">
        <v>17911</v>
      </c>
      <c r="AA928" t="s">
        <v>17912</v>
      </c>
      <c r="AB928" t="s">
        <v>17913</v>
      </c>
      <c r="AC928" t="s">
        <v>17914</v>
      </c>
      <c r="AD928" t="s">
        <v>17915</v>
      </c>
      <c r="AE928" t="s">
        <v>17916</v>
      </c>
      <c r="AF928" t="s">
        <v>74</v>
      </c>
      <c r="AG928">
        <v>158</v>
      </c>
      <c r="AH928">
        <v>4</v>
      </c>
      <c r="AI928">
        <v>4</v>
      </c>
      <c r="AJ928">
        <v>20</v>
      </c>
      <c r="AK928">
        <v>44</v>
      </c>
      <c r="AL928" t="s">
        <v>447</v>
      </c>
      <c r="AM928" t="s">
        <v>448</v>
      </c>
      <c r="AN928" t="s">
        <v>449</v>
      </c>
      <c r="AO928" t="s">
        <v>1204</v>
      </c>
      <c r="AP928" t="s">
        <v>1205</v>
      </c>
      <c r="AQ928" t="s">
        <v>74</v>
      </c>
      <c r="AR928" t="s">
        <v>1206</v>
      </c>
      <c r="AS928" t="s">
        <v>1207</v>
      </c>
      <c r="AT928" t="s">
        <v>17917</v>
      </c>
      <c r="AU928">
        <v>2023</v>
      </c>
      <c r="AV928">
        <v>868</v>
      </c>
      <c r="AW928" t="s">
        <v>74</v>
      </c>
      <c r="AX928" t="s">
        <v>74</v>
      </c>
      <c r="AY928" t="s">
        <v>74</v>
      </c>
      <c r="AZ928" t="s">
        <v>74</v>
      </c>
      <c r="BA928" t="s">
        <v>74</v>
      </c>
      <c r="BB928" t="s">
        <v>74</v>
      </c>
      <c r="BC928" t="s">
        <v>74</v>
      </c>
      <c r="BD928">
        <v>161580</v>
      </c>
      <c r="BE928" t="s">
        <v>17918</v>
      </c>
      <c r="BF928" t="str">
        <f>HYPERLINK("http://dx.doi.org/10.1016/j.scitotenv.2023.161580","http://dx.doi.org/10.1016/j.scitotenv.2023.161580")</f>
        <v>http://dx.doi.org/10.1016/j.scitotenv.2023.161580</v>
      </c>
      <c r="BG928" t="s">
        <v>74</v>
      </c>
      <c r="BH928" t="s">
        <v>16484</v>
      </c>
      <c r="BI928">
        <v>11</v>
      </c>
      <c r="BJ928" t="s">
        <v>1163</v>
      </c>
      <c r="BK928" t="s">
        <v>103</v>
      </c>
      <c r="BL928" t="s">
        <v>1164</v>
      </c>
      <c r="BM928" t="s">
        <v>17919</v>
      </c>
      <c r="BN928">
        <v>36646226</v>
      </c>
      <c r="BO928" t="s">
        <v>74</v>
      </c>
      <c r="BP928" t="s">
        <v>74</v>
      </c>
      <c r="BQ928" t="s">
        <v>74</v>
      </c>
      <c r="BR928" t="s">
        <v>106</v>
      </c>
      <c r="BS928" t="s">
        <v>17920</v>
      </c>
      <c r="BT928" t="str">
        <f>HYPERLINK("https%3A%2F%2Fwww.webofscience.com%2Fwos%2Fwoscc%2Ffull-record%2FWOS:000924500500001","View Full Record in Web of Science")</f>
        <v>View Full Record in Web of Science</v>
      </c>
    </row>
    <row r="929" spans="1:72" x14ac:dyDescent="0.15">
      <c r="A929" t="s">
        <v>72</v>
      </c>
      <c r="B929" t="s">
        <v>17921</v>
      </c>
      <c r="C929" t="s">
        <v>74</v>
      </c>
      <c r="D929" t="s">
        <v>74</v>
      </c>
      <c r="E929" t="s">
        <v>74</v>
      </c>
      <c r="F929" t="s">
        <v>17922</v>
      </c>
      <c r="G929" t="s">
        <v>74</v>
      </c>
      <c r="H929" t="s">
        <v>74</v>
      </c>
      <c r="I929" t="s">
        <v>17923</v>
      </c>
      <c r="J929" t="s">
        <v>17924</v>
      </c>
      <c r="K929" t="s">
        <v>74</v>
      </c>
      <c r="L929" t="s">
        <v>74</v>
      </c>
      <c r="M929" t="s">
        <v>78</v>
      </c>
      <c r="N929" t="s">
        <v>365</v>
      </c>
      <c r="O929" t="s">
        <v>74</v>
      </c>
      <c r="P929" t="s">
        <v>74</v>
      </c>
      <c r="Q929" t="s">
        <v>74</v>
      </c>
      <c r="R929" t="s">
        <v>74</v>
      </c>
      <c r="S929" t="s">
        <v>74</v>
      </c>
      <c r="T929" t="s">
        <v>17925</v>
      </c>
      <c r="U929" t="s">
        <v>17926</v>
      </c>
      <c r="V929" t="s">
        <v>17927</v>
      </c>
      <c r="W929" t="s">
        <v>17928</v>
      </c>
      <c r="X929" t="s">
        <v>17929</v>
      </c>
      <c r="Y929" t="s">
        <v>17930</v>
      </c>
      <c r="Z929" t="s">
        <v>17931</v>
      </c>
      <c r="AA929" t="s">
        <v>17932</v>
      </c>
      <c r="AB929" t="s">
        <v>17933</v>
      </c>
      <c r="AC929" t="s">
        <v>17934</v>
      </c>
      <c r="AD929" t="s">
        <v>17935</v>
      </c>
      <c r="AE929" t="s">
        <v>17936</v>
      </c>
      <c r="AF929" t="s">
        <v>74</v>
      </c>
      <c r="AG929">
        <v>133</v>
      </c>
      <c r="AH929">
        <v>7</v>
      </c>
      <c r="AI929">
        <v>7</v>
      </c>
      <c r="AJ929">
        <v>30</v>
      </c>
      <c r="AK929">
        <v>60</v>
      </c>
      <c r="AL929" t="s">
        <v>13249</v>
      </c>
      <c r="AM929" t="s">
        <v>13250</v>
      </c>
      <c r="AN929" t="s">
        <v>13251</v>
      </c>
      <c r="AO929" t="s">
        <v>17937</v>
      </c>
      <c r="AP929" t="s">
        <v>17938</v>
      </c>
      <c r="AQ929" t="s">
        <v>74</v>
      </c>
      <c r="AR929" t="s">
        <v>17939</v>
      </c>
      <c r="AS929" t="s">
        <v>17940</v>
      </c>
      <c r="AT929" t="s">
        <v>8042</v>
      </c>
      <c r="AU929">
        <v>2023</v>
      </c>
      <c r="AV929">
        <v>11</v>
      </c>
      <c r="AW929">
        <v>1</v>
      </c>
      <c r="AX929" t="s">
        <v>74</v>
      </c>
      <c r="AY929" t="s">
        <v>74</v>
      </c>
      <c r="AZ929" t="s">
        <v>74</v>
      </c>
      <c r="BA929" t="s">
        <v>74</v>
      </c>
      <c r="BB929">
        <v>73</v>
      </c>
      <c r="BC929">
        <v>93</v>
      </c>
      <c r="BD929" t="s">
        <v>74</v>
      </c>
      <c r="BE929" t="s">
        <v>17941</v>
      </c>
      <c r="BF929" t="str">
        <f>HYPERLINK("http://dx.doi.org/10.1109/MGRS.2022.3227056","http://dx.doi.org/10.1109/MGRS.2022.3227056")</f>
        <v>http://dx.doi.org/10.1109/MGRS.2022.3227056</v>
      </c>
      <c r="BG929" t="s">
        <v>74</v>
      </c>
      <c r="BH929" t="s">
        <v>16484</v>
      </c>
      <c r="BI929">
        <v>21</v>
      </c>
      <c r="BJ929" t="s">
        <v>17942</v>
      </c>
      <c r="BK929" t="s">
        <v>103</v>
      </c>
      <c r="BL929" t="s">
        <v>17942</v>
      </c>
      <c r="BM929" t="s">
        <v>17943</v>
      </c>
      <c r="BN929" t="s">
        <v>74</v>
      </c>
      <c r="BO929" t="s">
        <v>74</v>
      </c>
      <c r="BP929" t="s">
        <v>74</v>
      </c>
      <c r="BQ929" t="s">
        <v>74</v>
      </c>
      <c r="BR929" t="s">
        <v>106</v>
      </c>
      <c r="BS929" t="s">
        <v>17944</v>
      </c>
      <c r="BT929" t="str">
        <f>HYPERLINK("https%3A%2F%2Fwww.webofscience.com%2Fwos%2Fwoscc%2Ffull-record%2FWOS:000921111400001","View Full Record in Web of Science")</f>
        <v>View Full Record in Web of Science</v>
      </c>
    </row>
    <row r="930" spans="1:72" x14ac:dyDescent="0.15">
      <c r="A930" t="s">
        <v>72</v>
      </c>
      <c r="B930" t="s">
        <v>17945</v>
      </c>
      <c r="C930" t="s">
        <v>74</v>
      </c>
      <c r="D930" t="s">
        <v>74</v>
      </c>
      <c r="E930" t="s">
        <v>74</v>
      </c>
      <c r="F930" t="s">
        <v>17946</v>
      </c>
      <c r="G930" t="s">
        <v>74</v>
      </c>
      <c r="H930" t="s">
        <v>74</v>
      </c>
      <c r="I930" t="s">
        <v>17947</v>
      </c>
      <c r="J930" t="s">
        <v>2953</v>
      </c>
      <c r="K930" t="s">
        <v>74</v>
      </c>
      <c r="L930" t="s">
        <v>74</v>
      </c>
      <c r="M930" t="s">
        <v>78</v>
      </c>
      <c r="N930" t="s">
        <v>112</v>
      </c>
      <c r="O930" t="s">
        <v>74</v>
      </c>
      <c r="P930" t="s">
        <v>74</v>
      </c>
      <c r="Q930" t="s">
        <v>74</v>
      </c>
      <c r="R930" t="s">
        <v>74</v>
      </c>
      <c r="S930" t="s">
        <v>74</v>
      </c>
      <c r="T930" t="s">
        <v>17948</v>
      </c>
      <c r="U930" t="s">
        <v>17949</v>
      </c>
      <c r="V930" t="s">
        <v>17950</v>
      </c>
      <c r="W930" t="s">
        <v>17951</v>
      </c>
      <c r="X930" t="s">
        <v>1053</v>
      </c>
      <c r="Y930" t="s">
        <v>17952</v>
      </c>
      <c r="Z930" t="s">
        <v>17953</v>
      </c>
      <c r="AA930" t="s">
        <v>17954</v>
      </c>
      <c r="AB930" t="s">
        <v>74</v>
      </c>
      <c r="AC930" t="s">
        <v>17955</v>
      </c>
      <c r="AD930" t="s">
        <v>17956</v>
      </c>
      <c r="AE930" t="s">
        <v>17957</v>
      </c>
      <c r="AF930" t="s">
        <v>74</v>
      </c>
      <c r="AG930">
        <v>92</v>
      </c>
      <c r="AH930">
        <v>2</v>
      </c>
      <c r="AI930">
        <v>2</v>
      </c>
      <c r="AJ930">
        <v>4</v>
      </c>
      <c r="AK930">
        <v>12</v>
      </c>
      <c r="AL930" t="s">
        <v>447</v>
      </c>
      <c r="AM930" t="s">
        <v>448</v>
      </c>
      <c r="AN930" t="s">
        <v>449</v>
      </c>
      <c r="AO930" t="s">
        <v>2965</v>
      </c>
      <c r="AP930" t="s">
        <v>2966</v>
      </c>
      <c r="AQ930" t="s">
        <v>74</v>
      </c>
      <c r="AR930" t="s">
        <v>2967</v>
      </c>
      <c r="AS930" t="s">
        <v>2968</v>
      </c>
      <c r="AT930" t="s">
        <v>8042</v>
      </c>
      <c r="AU930">
        <v>2023</v>
      </c>
      <c r="AV930">
        <v>179</v>
      </c>
      <c r="AW930" t="s">
        <v>74</v>
      </c>
      <c r="AX930" t="s">
        <v>74</v>
      </c>
      <c r="AY930" t="s">
        <v>74</v>
      </c>
      <c r="AZ930" t="s">
        <v>74</v>
      </c>
      <c r="BA930" t="s">
        <v>74</v>
      </c>
      <c r="BB930" t="s">
        <v>74</v>
      </c>
      <c r="BC930" t="s">
        <v>74</v>
      </c>
      <c r="BD930">
        <v>102209</v>
      </c>
      <c r="BE930" t="s">
        <v>17958</v>
      </c>
      <c r="BF930" t="str">
        <f>HYPERLINK("http://dx.doi.org/10.1016/j.marmicro.2023.102209","http://dx.doi.org/10.1016/j.marmicro.2023.102209")</f>
        <v>http://dx.doi.org/10.1016/j.marmicro.2023.102209</v>
      </c>
      <c r="BG930" t="s">
        <v>74</v>
      </c>
      <c r="BH930" t="s">
        <v>16484</v>
      </c>
      <c r="BI930">
        <v>15</v>
      </c>
      <c r="BJ930" t="s">
        <v>2970</v>
      </c>
      <c r="BK930" t="s">
        <v>103</v>
      </c>
      <c r="BL930" t="s">
        <v>2970</v>
      </c>
      <c r="BM930" t="s">
        <v>17959</v>
      </c>
      <c r="BN930" t="s">
        <v>74</v>
      </c>
      <c r="BO930" t="s">
        <v>74</v>
      </c>
      <c r="BP930" t="s">
        <v>74</v>
      </c>
      <c r="BQ930" t="s">
        <v>74</v>
      </c>
      <c r="BR930" t="s">
        <v>106</v>
      </c>
      <c r="BS930" t="s">
        <v>17960</v>
      </c>
      <c r="BT930" t="str">
        <f>HYPERLINK("https%3A%2F%2Fwww.webofscience.com%2Fwos%2Fwoscc%2Ffull-record%2FWOS:000924602000001","View Full Record in Web of Science")</f>
        <v>View Full Record in Web of Science</v>
      </c>
    </row>
    <row r="931" spans="1:72" x14ac:dyDescent="0.15">
      <c r="A931" t="s">
        <v>72</v>
      </c>
      <c r="B931" t="s">
        <v>17961</v>
      </c>
      <c r="C931" t="s">
        <v>74</v>
      </c>
      <c r="D931" t="s">
        <v>74</v>
      </c>
      <c r="E931" t="s">
        <v>74</v>
      </c>
      <c r="F931" t="s">
        <v>17962</v>
      </c>
      <c r="G931" t="s">
        <v>74</v>
      </c>
      <c r="H931" t="s">
        <v>74</v>
      </c>
      <c r="I931" t="s">
        <v>17963</v>
      </c>
      <c r="J931" t="s">
        <v>3689</v>
      </c>
      <c r="K931" t="s">
        <v>74</v>
      </c>
      <c r="L931" t="s">
        <v>74</v>
      </c>
      <c r="M931" t="s">
        <v>78</v>
      </c>
      <c r="N931" t="s">
        <v>112</v>
      </c>
      <c r="O931" t="s">
        <v>74</v>
      </c>
      <c r="P931" t="s">
        <v>74</v>
      </c>
      <c r="Q931" t="s">
        <v>74</v>
      </c>
      <c r="R931" t="s">
        <v>74</v>
      </c>
      <c r="S931" t="s">
        <v>74</v>
      </c>
      <c r="T931" t="s">
        <v>74</v>
      </c>
      <c r="U931" t="s">
        <v>17964</v>
      </c>
      <c r="V931" t="s">
        <v>17965</v>
      </c>
      <c r="W931" t="s">
        <v>17966</v>
      </c>
      <c r="X931" t="s">
        <v>17967</v>
      </c>
      <c r="Y931" t="s">
        <v>17968</v>
      </c>
      <c r="Z931" t="s">
        <v>17969</v>
      </c>
      <c r="AA931" t="s">
        <v>17970</v>
      </c>
      <c r="AB931" t="s">
        <v>17971</v>
      </c>
      <c r="AC931" t="s">
        <v>17972</v>
      </c>
      <c r="AD931" t="s">
        <v>17973</v>
      </c>
      <c r="AE931" t="s">
        <v>17974</v>
      </c>
      <c r="AF931" t="s">
        <v>74</v>
      </c>
      <c r="AG931">
        <v>91</v>
      </c>
      <c r="AH931">
        <v>2</v>
      </c>
      <c r="AI931">
        <v>2</v>
      </c>
      <c r="AJ931">
        <v>2</v>
      </c>
      <c r="AK931">
        <v>4</v>
      </c>
      <c r="AL931" t="s">
        <v>2092</v>
      </c>
      <c r="AM931" t="s">
        <v>2093</v>
      </c>
      <c r="AN931" t="s">
        <v>2094</v>
      </c>
      <c r="AO931" t="s">
        <v>3701</v>
      </c>
      <c r="AP931" t="s">
        <v>3702</v>
      </c>
      <c r="AQ931" t="s">
        <v>74</v>
      </c>
      <c r="AR931" t="s">
        <v>3703</v>
      </c>
      <c r="AS931" t="s">
        <v>3704</v>
      </c>
      <c r="AT931" t="s">
        <v>8210</v>
      </c>
      <c r="AU931">
        <v>2023</v>
      </c>
      <c r="AV931">
        <v>58</v>
      </c>
      <c r="AW931">
        <v>2</v>
      </c>
      <c r="AX931" t="s">
        <v>74</v>
      </c>
      <c r="AY931" t="s">
        <v>74</v>
      </c>
      <c r="AZ931" t="s">
        <v>74</v>
      </c>
      <c r="BA931" t="s">
        <v>74</v>
      </c>
      <c r="BB931">
        <v>275</v>
      </c>
      <c r="BC931">
        <v>295</v>
      </c>
      <c r="BD931" t="s">
        <v>74</v>
      </c>
      <c r="BE931" t="s">
        <v>17975</v>
      </c>
      <c r="BF931" t="str">
        <f>HYPERLINK("http://dx.doi.org/10.1111/maps.13945","http://dx.doi.org/10.1111/maps.13945")</f>
        <v>http://dx.doi.org/10.1111/maps.13945</v>
      </c>
      <c r="BG931" t="s">
        <v>74</v>
      </c>
      <c r="BH931" t="s">
        <v>16484</v>
      </c>
      <c r="BI931">
        <v>21</v>
      </c>
      <c r="BJ931" t="s">
        <v>313</v>
      </c>
      <c r="BK931" t="s">
        <v>103</v>
      </c>
      <c r="BL931" t="s">
        <v>313</v>
      </c>
      <c r="BM931" t="s">
        <v>17976</v>
      </c>
      <c r="BN931" t="s">
        <v>74</v>
      </c>
      <c r="BO931" t="s">
        <v>334</v>
      </c>
      <c r="BP931" t="s">
        <v>74</v>
      </c>
      <c r="BQ931" t="s">
        <v>74</v>
      </c>
      <c r="BR931" t="s">
        <v>106</v>
      </c>
      <c r="BS931" t="s">
        <v>17977</v>
      </c>
      <c r="BT931" t="str">
        <f>HYPERLINK("https%3A%2F%2Fwww.webofscience.com%2Fwos%2Fwoscc%2Ffull-record%2FWOS:000920104300001","View Full Record in Web of Science")</f>
        <v>View Full Record in Web of Science</v>
      </c>
    </row>
    <row r="932" spans="1:72" x14ac:dyDescent="0.15">
      <c r="A932" t="s">
        <v>72</v>
      </c>
      <c r="B932" t="s">
        <v>17978</v>
      </c>
      <c r="C932" t="s">
        <v>74</v>
      </c>
      <c r="D932" t="s">
        <v>74</v>
      </c>
      <c r="E932" t="s">
        <v>74</v>
      </c>
      <c r="F932" t="s">
        <v>17979</v>
      </c>
      <c r="G932" t="s">
        <v>74</v>
      </c>
      <c r="H932" t="s">
        <v>74</v>
      </c>
      <c r="I932" t="s">
        <v>17980</v>
      </c>
      <c r="J932" t="s">
        <v>17981</v>
      </c>
      <c r="K932" t="s">
        <v>74</v>
      </c>
      <c r="L932" t="s">
        <v>74</v>
      </c>
      <c r="M932" t="s">
        <v>78</v>
      </c>
      <c r="N932" t="s">
        <v>112</v>
      </c>
      <c r="O932" t="s">
        <v>74</v>
      </c>
      <c r="P932" t="s">
        <v>74</v>
      </c>
      <c r="Q932" t="s">
        <v>74</v>
      </c>
      <c r="R932" t="s">
        <v>74</v>
      </c>
      <c r="S932" t="s">
        <v>74</v>
      </c>
      <c r="T932" t="s">
        <v>17982</v>
      </c>
      <c r="U932" t="s">
        <v>17983</v>
      </c>
      <c r="V932" t="s">
        <v>17984</v>
      </c>
      <c r="W932" t="s">
        <v>17985</v>
      </c>
      <c r="X932" t="s">
        <v>17986</v>
      </c>
      <c r="Y932" t="s">
        <v>17987</v>
      </c>
      <c r="Z932" t="s">
        <v>17988</v>
      </c>
      <c r="AA932" t="s">
        <v>74</v>
      </c>
      <c r="AB932" t="s">
        <v>74</v>
      </c>
      <c r="AC932" t="s">
        <v>17989</v>
      </c>
      <c r="AD932" t="s">
        <v>17990</v>
      </c>
      <c r="AE932" t="s">
        <v>17991</v>
      </c>
      <c r="AF932" t="s">
        <v>74</v>
      </c>
      <c r="AG932">
        <v>113</v>
      </c>
      <c r="AH932">
        <v>0</v>
      </c>
      <c r="AI932">
        <v>0</v>
      </c>
      <c r="AJ932">
        <v>2</v>
      </c>
      <c r="AK932">
        <v>5</v>
      </c>
      <c r="AL932" t="s">
        <v>768</v>
      </c>
      <c r="AM932" t="s">
        <v>2866</v>
      </c>
      <c r="AN932" t="s">
        <v>2867</v>
      </c>
      <c r="AO932" t="s">
        <v>17992</v>
      </c>
      <c r="AP932" t="s">
        <v>17993</v>
      </c>
      <c r="AQ932" t="s">
        <v>74</v>
      </c>
      <c r="AR932" t="s">
        <v>17994</v>
      </c>
      <c r="AS932" t="s">
        <v>17995</v>
      </c>
      <c r="AT932" t="s">
        <v>98</v>
      </c>
      <c r="AU932">
        <v>2023</v>
      </c>
      <c r="AV932">
        <v>187</v>
      </c>
      <c r="AW932" t="s">
        <v>17996</v>
      </c>
      <c r="AX932" t="s">
        <v>74</v>
      </c>
      <c r="AY932" t="s">
        <v>74</v>
      </c>
      <c r="AZ932" t="s">
        <v>185</v>
      </c>
      <c r="BA932" t="s">
        <v>74</v>
      </c>
      <c r="BB932">
        <v>163</v>
      </c>
      <c r="BC932">
        <v>192</v>
      </c>
      <c r="BD932" t="s">
        <v>74</v>
      </c>
      <c r="BE932" t="s">
        <v>17997</v>
      </c>
      <c r="BF932" t="str">
        <f>HYPERLINK("http://dx.doi.org/10.1007/s10546-022-00781-y","http://dx.doi.org/10.1007/s10546-022-00781-y")</f>
        <v>http://dx.doi.org/10.1007/s10546-022-00781-y</v>
      </c>
      <c r="BG932" t="s">
        <v>74</v>
      </c>
      <c r="BH932" t="s">
        <v>16484</v>
      </c>
      <c r="BI932">
        <v>30</v>
      </c>
      <c r="BJ932" t="s">
        <v>102</v>
      </c>
      <c r="BK932" t="s">
        <v>103</v>
      </c>
      <c r="BL932" t="s">
        <v>102</v>
      </c>
      <c r="BM932" t="s">
        <v>17998</v>
      </c>
      <c r="BN932" t="s">
        <v>74</v>
      </c>
      <c r="BO932" t="s">
        <v>387</v>
      </c>
      <c r="BP932" t="s">
        <v>74</v>
      </c>
      <c r="BQ932" t="s">
        <v>74</v>
      </c>
      <c r="BR932" t="s">
        <v>106</v>
      </c>
      <c r="BS932" t="s">
        <v>17999</v>
      </c>
      <c r="BT932" t="str">
        <f>HYPERLINK("https%3A%2F%2Fwww.webofscience.com%2Fwos%2Fwoscc%2Ffull-record%2FWOS:000914711400001","View Full Record in Web of Science")</f>
        <v>View Full Record in Web of Science</v>
      </c>
    </row>
    <row r="933" spans="1:72" x14ac:dyDescent="0.15">
      <c r="A933" t="s">
        <v>72</v>
      </c>
      <c r="B933" t="s">
        <v>18000</v>
      </c>
      <c r="C933" t="s">
        <v>74</v>
      </c>
      <c r="D933" t="s">
        <v>74</v>
      </c>
      <c r="E933" t="s">
        <v>74</v>
      </c>
      <c r="F933" t="s">
        <v>18001</v>
      </c>
      <c r="G933" t="s">
        <v>74</v>
      </c>
      <c r="H933" t="s">
        <v>74</v>
      </c>
      <c r="I933" t="s">
        <v>18002</v>
      </c>
      <c r="J933" t="s">
        <v>18003</v>
      </c>
      <c r="K933" t="s">
        <v>74</v>
      </c>
      <c r="L933" t="s">
        <v>74</v>
      </c>
      <c r="M933" t="s">
        <v>78</v>
      </c>
      <c r="N933" t="s">
        <v>112</v>
      </c>
      <c r="O933" t="s">
        <v>74</v>
      </c>
      <c r="P933" t="s">
        <v>74</v>
      </c>
      <c r="Q933" t="s">
        <v>74</v>
      </c>
      <c r="R933" t="s">
        <v>74</v>
      </c>
      <c r="S933" t="s">
        <v>74</v>
      </c>
      <c r="T933" t="s">
        <v>18004</v>
      </c>
      <c r="U933" t="s">
        <v>74</v>
      </c>
      <c r="V933" t="s">
        <v>18005</v>
      </c>
      <c r="W933" t="s">
        <v>18006</v>
      </c>
      <c r="X933" t="s">
        <v>18007</v>
      </c>
      <c r="Y933" t="s">
        <v>18008</v>
      </c>
      <c r="Z933" t="s">
        <v>18009</v>
      </c>
      <c r="AA933" t="s">
        <v>74</v>
      </c>
      <c r="AB933" t="s">
        <v>74</v>
      </c>
      <c r="AC933" t="s">
        <v>74</v>
      </c>
      <c r="AD933" t="s">
        <v>74</v>
      </c>
      <c r="AE933" t="s">
        <v>74</v>
      </c>
      <c r="AF933" t="s">
        <v>74</v>
      </c>
      <c r="AG933">
        <v>22</v>
      </c>
      <c r="AH933">
        <v>0</v>
      </c>
      <c r="AI933">
        <v>0</v>
      </c>
      <c r="AJ933">
        <v>2</v>
      </c>
      <c r="AK933">
        <v>11</v>
      </c>
      <c r="AL933" t="s">
        <v>2092</v>
      </c>
      <c r="AM933" t="s">
        <v>2093</v>
      </c>
      <c r="AN933" t="s">
        <v>2094</v>
      </c>
      <c r="AO933" t="s">
        <v>18010</v>
      </c>
      <c r="AP933" t="s">
        <v>18011</v>
      </c>
      <c r="AQ933" t="s">
        <v>74</v>
      </c>
      <c r="AR933" t="s">
        <v>18012</v>
      </c>
      <c r="AS933" t="s">
        <v>18013</v>
      </c>
      <c r="AT933" t="s">
        <v>8042</v>
      </c>
      <c r="AU933">
        <v>2023</v>
      </c>
      <c r="AV933">
        <v>189</v>
      </c>
      <c r="AW933">
        <v>1</v>
      </c>
      <c r="AX933" t="s">
        <v>74</v>
      </c>
      <c r="AY933" t="s">
        <v>74</v>
      </c>
      <c r="AZ933" t="s">
        <v>74</v>
      </c>
      <c r="BA933" t="s">
        <v>74</v>
      </c>
      <c r="BB933">
        <v>2</v>
      </c>
      <c r="BC933">
        <v>6</v>
      </c>
      <c r="BD933" t="s">
        <v>74</v>
      </c>
      <c r="BE933" t="s">
        <v>18014</v>
      </c>
      <c r="BF933" t="str">
        <f>HYPERLINK("http://dx.doi.org/10.1111/geoj.12501","http://dx.doi.org/10.1111/geoj.12501")</f>
        <v>http://dx.doi.org/10.1111/geoj.12501</v>
      </c>
      <c r="BG933" t="s">
        <v>74</v>
      </c>
      <c r="BH933" t="s">
        <v>16484</v>
      </c>
      <c r="BI933">
        <v>5</v>
      </c>
      <c r="BJ933" t="s">
        <v>18015</v>
      </c>
      <c r="BK933" t="s">
        <v>1440</v>
      </c>
      <c r="BL933" t="s">
        <v>18015</v>
      </c>
      <c r="BM933" t="s">
        <v>18016</v>
      </c>
      <c r="BN933" t="s">
        <v>74</v>
      </c>
      <c r="BO933" t="s">
        <v>430</v>
      </c>
      <c r="BP933" t="s">
        <v>74</v>
      </c>
      <c r="BQ933" t="s">
        <v>74</v>
      </c>
      <c r="BR933" t="s">
        <v>106</v>
      </c>
      <c r="BS933" t="s">
        <v>18017</v>
      </c>
      <c r="BT933" t="str">
        <f>HYPERLINK("https%3A%2F%2Fwww.webofscience.com%2Fwos%2Fwoscc%2Ffull-record%2FWOS:000913212600001","View Full Record in Web of Science")</f>
        <v>View Full Record in Web of Science</v>
      </c>
    </row>
    <row r="934" spans="1:72" x14ac:dyDescent="0.15">
      <c r="A934" t="s">
        <v>72</v>
      </c>
      <c r="B934" t="s">
        <v>18018</v>
      </c>
      <c r="C934" t="s">
        <v>74</v>
      </c>
      <c r="D934" t="s">
        <v>74</v>
      </c>
      <c r="E934" t="s">
        <v>74</v>
      </c>
      <c r="F934" t="s">
        <v>18019</v>
      </c>
      <c r="G934" t="s">
        <v>74</v>
      </c>
      <c r="H934" t="s">
        <v>74</v>
      </c>
      <c r="I934" t="s">
        <v>18020</v>
      </c>
      <c r="J934" t="s">
        <v>1685</v>
      </c>
      <c r="K934" t="s">
        <v>74</v>
      </c>
      <c r="L934" t="s">
        <v>74</v>
      </c>
      <c r="M934" t="s">
        <v>78</v>
      </c>
      <c r="N934" t="s">
        <v>112</v>
      </c>
      <c r="O934" t="s">
        <v>74</v>
      </c>
      <c r="P934" t="s">
        <v>74</v>
      </c>
      <c r="Q934" t="s">
        <v>74</v>
      </c>
      <c r="R934" t="s">
        <v>74</v>
      </c>
      <c r="S934" t="s">
        <v>74</v>
      </c>
      <c r="T934" t="s">
        <v>74</v>
      </c>
      <c r="U934" t="s">
        <v>18021</v>
      </c>
      <c r="V934" t="s">
        <v>18022</v>
      </c>
      <c r="W934" t="s">
        <v>18023</v>
      </c>
      <c r="X934" t="s">
        <v>18024</v>
      </c>
      <c r="Y934" t="s">
        <v>18025</v>
      </c>
      <c r="Z934" t="s">
        <v>12660</v>
      </c>
      <c r="AA934" t="s">
        <v>18026</v>
      </c>
      <c r="AB934" t="s">
        <v>18027</v>
      </c>
      <c r="AC934" t="s">
        <v>18028</v>
      </c>
      <c r="AD934" t="s">
        <v>18029</v>
      </c>
      <c r="AE934" t="s">
        <v>18030</v>
      </c>
      <c r="AF934" t="s">
        <v>74</v>
      </c>
      <c r="AG934">
        <v>84</v>
      </c>
      <c r="AH934">
        <v>18</v>
      </c>
      <c r="AI934">
        <v>18</v>
      </c>
      <c r="AJ934">
        <v>30</v>
      </c>
      <c r="AK934">
        <v>47</v>
      </c>
      <c r="AL934" t="s">
        <v>203</v>
      </c>
      <c r="AM934" t="s">
        <v>204</v>
      </c>
      <c r="AN934" t="s">
        <v>205</v>
      </c>
      <c r="AO934" t="s">
        <v>74</v>
      </c>
      <c r="AP934" t="s">
        <v>1696</v>
      </c>
      <c r="AQ934" t="s">
        <v>74</v>
      </c>
      <c r="AR934" t="s">
        <v>1697</v>
      </c>
      <c r="AS934" t="s">
        <v>1698</v>
      </c>
      <c r="AT934" t="s">
        <v>18031</v>
      </c>
      <c r="AU934">
        <v>2023</v>
      </c>
      <c r="AV934">
        <v>14</v>
      </c>
      <c r="AW934">
        <v>1</v>
      </c>
      <c r="AX934" t="s">
        <v>74</v>
      </c>
      <c r="AY934" t="s">
        <v>74</v>
      </c>
      <c r="AZ934" t="s">
        <v>74</v>
      </c>
      <c r="BA934" t="s">
        <v>74</v>
      </c>
      <c r="BB934" t="s">
        <v>74</v>
      </c>
      <c r="BC934" t="s">
        <v>74</v>
      </c>
      <c r="BD934">
        <v>15</v>
      </c>
      <c r="BE934" t="s">
        <v>18032</v>
      </c>
      <c r="BF934" t="str">
        <f>HYPERLINK("http://dx.doi.org/10.1038/s41467-022-35091-x","http://dx.doi.org/10.1038/s41467-022-35091-x")</f>
        <v>http://dx.doi.org/10.1038/s41467-022-35091-x</v>
      </c>
      <c r="BG934" t="s">
        <v>74</v>
      </c>
      <c r="BH934" t="s">
        <v>74</v>
      </c>
      <c r="BI934">
        <v>11</v>
      </c>
      <c r="BJ934" t="s">
        <v>210</v>
      </c>
      <c r="BK934" t="s">
        <v>103</v>
      </c>
      <c r="BL934" t="s">
        <v>211</v>
      </c>
      <c r="BM934" t="s">
        <v>18033</v>
      </c>
      <c r="BN934">
        <v>36650137</v>
      </c>
      <c r="BO934" t="s">
        <v>136</v>
      </c>
      <c r="BP934" t="s">
        <v>74</v>
      </c>
      <c r="BQ934" t="s">
        <v>74</v>
      </c>
      <c r="BR934" t="s">
        <v>106</v>
      </c>
      <c r="BS934" t="s">
        <v>18034</v>
      </c>
      <c r="BT934" t="str">
        <f>HYPERLINK("https%3A%2F%2Fwww.webofscience.com%2Fwos%2Fwoscc%2Ffull-record%2FWOS:001020688600001","View Full Record in Web of Science")</f>
        <v>View Full Record in Web of Science</v>
      </c>
    </row>
    <row r="935" spans="1:72" x14ac:dyDescent="0.15">
      <c r="A935" t="s">
        <v>72</v>
      </c>
      <c r="B935" t="s">
        <v>18035</v>
      </c>
      <c r="C935" t="s">
        <v>74</v>
      </c>
      <c r="D935" t="s">
        <v>74</v>
      </c>
      <c r="E935" t="s">
        <v>74</v>
      </c>
      <c r="F935" t="s">
        <v>18036</v>
      </c>
      <c r="G935" t="s">
        <v>74</v>
      </c>
      <c r="H935" t="s">
        <v>74</v>
      </c>
      <c r="I935" t="s">
        <v>18037</v>
      </c>
      <c r="J935" t="s">
        <v>1729</v>
      </c>
      <c r="K935" t="s">
        <v>74</v>
      </c>
      <c r="L935" t="s">
        <v>74</v>
      </c>
      <c r="M935" t="s">
        <v>78</v>
      </c>
      <c r="N935" t="s">
        <v>112</v>
      </c>
      <c r="O935" t="s">
        <v>74</v>
      </c>
      <c r="P935" t="s">
        <v>74</v>
      </c>
      <c r="Q935" t="s">
        <v>74</v>
      </c>
      <c r="R935" t="s">
        <v>74</v>
      </c>
      <c r="S935" t="s">
        <v>74</v>
      </c>
      <c r="T935" t="s">
        <v>18038</v>
      </c>
      <c r="U935" t="s">
        <v>74</v>
      </c>
      <c r="V935" t="s">
        <v>18039</v>
      </c>
      <c r="W935" t="s">
        <v>18040</v>
      </c>
      <c r="X935" t="s">
        <v>18041</v>
      </c>
      <c r="Y935" t="s">
        <v>18042</v>
      </c>
      <c r="Z935" t="s">
        <v>18043</v>
      </c>
      <c r="AA935" t="s">
        <v>18044</v>
      </c>
      <c r="AB935" t="s">
        <v>18045</v>
      </c>
      <c r="AC935" t="s">
        <v>18046</v>
      </c>
      <c r="AD935" t="s">
        <v>18047</v>
      </c>
      <c r="AE935" t="s">
        <v>18048</v>
      </c>
      <c r="AF935" t="s">
        <v>74</v>
      </c>
      <c r="AG935">
        <v>47</v>
      </c>
      <c r="AH935">
        <v>1</v>
      </c>
      <c r="AI935">
        <v>1</v>
      </c>
      <c r="AJ935">
        <v>19</v>
      </c>
      <c r="AK935">
        <v>55</v>
      </c>
      <c r="AL935" t="s">
        <v>1405</v>
      </c>
      <c r="AM935" t="s">
        <v>6606</v>
      </c>
      <c r="AN935" t="s">
        <v>6607</v>
      </c>
      <c r="AO935" t="s">
        <v>1742</v>
      </c>
      <c r="AP935" t="s">
        <v>1743</v>
      </c>
      <c r="AQ935" t="s">
        <v>74</v>
      </c>
      <c r="AR935" t="s">
        <v>1744</v>
      </c>
      <c r="AS935" t="s">
        <v>1745</v>
      </c>
      <c r="AT935" t="s">
        <v>10271</v>
      </c>
      <c r="AU935">
        <v>2023</v>
      </c>
      <c r="AV935">
        <v>320</v>
      </c>
      <c r="AW935" t="s">
        <v>74</v>
      </c>
      <c r="AX935" t="s">
        <v>74</v>
      </c>
      <c r="AY935" t="s">
        <v>74</v>
      </c>
      <c r="AZ935" t="s">
        <v>74</v>
      </c>
      <c r="BA935" t="s">
        <v>74</v>
      </c>
      <c r="BB935" t="s">
        <v>74</v>
      </c>
      <c r="BC935" t="s">
        <v>74</v>
      </c>
      <c r="BD935">
        <v>121024</v>
      </c>
      <c r="BE935" t="s">
        <v>18049</v>
      </c>
      <c r="BF935" t="str">
        <f>HYPERLINK("http://dx.doi.org/10.1016/j.envpol.2023.121024","http://dx.doi.org/10.1016/j.envpol.2023.121024")</f>
        <v>http://dx.doi.org/10.1016/j.envpol.2023.121024</v>
      </c>
      <c r="BG935" t="s">
        <v>74</v>
      </c>
      <c r="BH935" t="s">
        <v>16484</v>
      </c>
      <c r="BI935">
        <v>10</v>
      </c>
      <c r="BJ935" t="s">
        <v>1163</v>
      </c>
      <c r="BK935" t="s">
        <v>103</v>
      </c>
      <c r="BL935" t="s">
        <v>1164</v>
      </c>
      <c r="BM935" t="s">
        <v>18050</v>
      </c>
      <c r="BN935">
        <v>36646404</v>
      </c>
      <c r="BO935" t="s">
        <v>74</v>
      </c>
      <c r="BP935" t="s">
        <v>74</v>
      </c>
      <c r="BQ935" t="s">
        <v>74</v>
      </c>
      <c r="BR935" t="s">
        <v>106</v>
      </c>
      <c r="BS935" t="s">
        <v>18051</v>
      </c>
      <c r="BT935" t="str">
        <f>HYPERLINK("https%3A%2F%2Fwww.webofscience.com%2Fwos%2Fwoscc%2Ffull-record%2FWOS:001015407200001","View Full Record in Web of Science")</f>
        <v>View Full Record in Web of Science</v>
      </c>
    </row>
    <row r="936" spans="1:72" x14ac:dyDescent="0.15">
      <c r="A936" t="s">
        <v>72</v>
      </c>
      <c r="B936" t="s">
        <v>18052</v>
      </c>
      <c r="C936" t="s">
        <v>74</v>
      </c>
      <c r="D936" t="s">
        <v>74</v>
      </c>
      <c r="E936" t="s">
        <v>74</v>
      </c>
      <c r="F936" t="s">
        <v>18053</v>
      </c>
      <c r="G936" t="s">
        <v>74</v>
      </c>
      <c r="H936" t="s">
        <v>74</v>
      </c>
      <c r="I936" t="s">
        <v>18054</v>
      </c>
      <c r="J936" t="s">
        <v>18055</v>
      </c>
      <c r="K936" t="s">
        <v>74</v>
      </c>
      <c r="L936" t="s">
        <v>74</v>
      </c>
      <c r="M936" t="s">
        <v>78</v>
      </c>
      <c r="N936" t="s">
        <v>112</v>
      </c>
      <c r="O936" t="s">
        <v>74</v>
      </c>
      <c r="P936" t="s">
        <v>74</v>
      </c>
      <c r="Q936" t="s">
        <v>74</v>
      </c>
      <c r="R936" t="s">
        <v>74</v>
      </c>
      <c r="S936" t="s">
        <v>74</v>
      </c>
      <c r="T936" t="s">
        <v>18056</v>
      </c>
      <c r="U936" t="s">
        <v>18057</v>
      </c>
      <c r="V936" t="s">
        <v>18058</v>
      </c>
      <c r="W936" t="s">
        <v>18059</v>
      </c>
      <c r="X936" t="s">
        <v>18060</v>
      </c>
      <c r="Y936" t="s">
        <v>18061</v>
      </c>
      <c r="Z936" t="s">
        <v>18062</v>
      </c>
      <c r="AA936" t="s">
        <v>74</v>
      </c>
      <c r="AB936" t="s">
        <v>74</v>
      </c>
      <c r="AC936" t="s">
        <v>18063</v>
      </c>
      <c r="AD936" t="s">
        <v>18064</v>
      </c>
      <c r="AE936" t="s">
        <v>18065</v>
      </c>
      <c r="AF936" t="s">
        <v>74</v>
      </c>
      <c r="AG936">
        <v>49</v>
      </c>
      <c r="AH936">
        <v>1</v>
      </c>
      <c r="AI936">
        <v>1</v>
      </c>
      <c r="AJ936">
        <v>0</v>
      </c>
      <c r="AK936">
        <v>1</v>
      </c>
      <c r="AL936" t="s">
        <v>447</v>
      </c>
      <c r="AM936" t="s">
        <v>448</v>
      </c>
      <c r="AN936" t="s">
        <v>449</v>
      </c>
      <c r="AO936" t="s">
        <v>18066</v>
      </c>
      <c r="AP936" t="s">
        <v>18067</v>
      </c>
      <c r="AQ936" t="s">
        <v>74</v>
      </c>
      <c r="AR936" t="s">
        <v>18068</v>
      </c>
      <c r="AS936" t="s">
        <v>18069</v>
      </c>
      <c r="AT936" t="s">
        <v>232</v>
      </c>
      <c r="AU936">
        <v>2023</v>
      </c>
      <c r="AV936">
        <v>425</v>
      </c>
      <c r="AW936" t="s">
        <v>74</v>
      </c>
      <c r="AX936" t="s">
        <v>74</v>
      </c>
      <c r="AY936" t="s">
        <v>74</v>
      </c>
      <c r="AZ936" t="s">
        <v>74</v>
      </c>
      <c r="BA936" t="s">
        <v>74</v>
      </c>
      <c r="BB936" t="s">
        <v>74</v>
      </c>
      <c r="BC936" t="s">
        <v>74</v>
      </c>
      <c r="BD936">
        <v>115037</v>
      </c>
      <c r="BE936" t="s">
        <v>18070</v>
      </c>
      <c r="BF936" t="str">
        <f>HYPERLINK("http://dx.doi.org/10.1016/j.cam.2022.115037","http://dx.doi.org/10.1016/j.cam.2022.115037")</f>
        <v>http://dx.doi.org/10.1016/j.cam.2022.115037</v>
      </c>
      <c r="BG936" t="s">
        <v>74</v>
      </c>
      <c r="BH936" t="s">
        <v>16484</v>
      </c>
      <c r="BI936">
        <v>16</v>
      </c>
      <c r="BJ936" t="s">
        <v>18071</v>
      </c>
      <c r="BK936" t="s">
        <v>103</v>
      </c>
      <c r="BL936" t="s">
        <v>3746</v>
      </c>
      <c r="BM936" t="s">
        <v>18072</v>
      </c>
      <c r="BN936" t="s">
        <v>74</v>
      </c>
      <c r="BO936" t="s">
        <v>3071</v>
      </c>
      <c r="BP936" t="s">
        <v>74</v>
      </c>
      <c r="BQ936" t="s">
        <v>74</v>
      </c>
      <c r="BR936" t="s">
        <v>106</v>
      </c>
      <c r="BS936" t="s">
        <v>18073</v>
      </c>
      <c r="BT936" t="str">
        <f>HYPERLINK("https%3A%2F%2Fwww.webofscience.com%2Fwos%2Fwoscc%2Ffull-record%2FWOS:001007453800001","View Full Record in Web of Science")</f>
        <v>View Full Record in Web of Science</v>
      </c>
    </row>
    <row r="937" spans="1:72" x14ac:dyDescent="0.15">
      <c r="A937" t="s">
        <v>72</v>
      </c>
      <c r="B937" t="s">
        <v>18074</v>
      </c>
      <c r="C937" t="s">
        <v>74</v>
      </c>
      <c r="D937" t="s">
        <v>74</v>
      </c>
      <c r="E937" t="s">
        <v>74</v>
      </c>
      <c r="F937" t="s">
        <v>18075</v>
      </c>
      <c r="G937" t="s">
        <v>74</v>
      </c>
      <c r="H937" t="s">
        <v>74</v>
      </c>
      <c r="I937" t="s">
        <v>18076</v>
      </c>
      <c r="J937" t="s">
        <v>1707</v>
      </c>
      <c r="K937" t="s">
        <v>74</v>
      </c>
      <c r="L937" t="s">
        <v>74</v>
      </c>
      <c r="M937" t="s">
        <v>78</v>
      </c>
      <c r="N937" t="s">
        <v>365</v>
      </c>
      <c r="O937" t="s">
        <v>74</v>
      </c>
      <c r="P937" t="s">
        <v>74</v>
      </c>
      <c r="Q937" t="s">
        <v>74</v>
      </c>
      <c r="R937" t="s">
        <v>74</v>
      </c>
      <c r="S937" t="s">
        <v>74</v>
      </c>
      <c r="T937" t="s">
        <v>18077</v>
      </c>
      <c r="U937" t="s">
        <v>18078</v>
      </c>
      <c r="V937" t="s">
        <v>18079</v>
      </c>
      <c r="W937" t="s">
        <v>18080</v>
      </c>
      <c r="X937" t="s">
        <v>18081</v>
      </c>
      <c r="Y937" t="s">
        <v>18082</v>
      </c>
      <c r="Z937" t="s">
        <v>18083</v>
      </c>
      <c r="AA937" t="s">
        <v>74</v>
      </c>
      <c r="AB937" t="s">
        <v>18084</v>
      </c>
      <c r="AC937" t="s">
        <v>18085</v>
      </c>
      <c r="AD937" t="s">
        <v>18086</v>
      </c>
      <c r="AE937" t="s">
        <v>18087</v>
      </c>
      <c r="AF937" t="s">
        <v>74</v>
      </c>
      <c r="AG937">
        <v>94</v>
      </c>
      <c r="AH937">
        <v>0</v>
      </c>
      <c r="AI937">
        <v>0</v>
      </c>
      <c r="AJ937">
        <v>3</v>
      </c>
      <c r="AK937">
        <v>4</v>
      </c>
      <c r="AL937" t="s">
        <v>225</v>
      </c>
      <c r="AM937" t="s">
        <v>226</v>
      </c>
      <c r="AN937" t="s">
        <v>227</v>
      </c>
      <c r="AO937" t="s">
        <v>1719</v>
      </c>
      <c r="AP937" t="s">
        <v>1720</v>
      </c>
      <c r="AQ937" t="s">
        <v>74</v>
      </c>
      <c r="AR937" t="s">
        <v>1721</v>
      </c>
      <c r="AS937" t="s">
        <v>1722</v>
      </c>
      <c r="AT937" t="s">
        <v>8210</v>
      </c>
      <c r="AU937">
        <v>2023</v>
      </c>
      <c r="AV937">
        <v>211</v>
      </c>
      <c r="AW937" t="s">
        <v>74</v>
      </c>
      <c r="AX937" t="s">
        <v>74</v>
      </c>
      <c r="AY937" t="s">
        <v>74</v>
      </c>
      <c r="AZ937" t="s">
        <v>74</v>
      </c>
      <c r="BA937" t="s">
        <v>74</v>
      </c>
      <c r="BB937" t="s">
        <v>74</v>
      </c>
      <c r="BC937" t="s">
        <v>74</v>
      </c>
      <c r="BD937">
        <v>102971</v>
      </c>
      <c r="BE937" t="s">
        <v>18088</v>
      </c>
      <c r="BF937" t="str">
        <f>HYPERLINK("http://dx.doi.org/10.1016/j.pocean.2023.102971","http://dx.doi.org/10.1016/j.pocean.2023.102971")</f>
        <v>http://dx.doi.org/10.1016/j.pocean.2023.102971</v>
      </c>
      <c r="BG937" t="s">
        <v>74</v>
      </c>
      <c r="BH937" t="s">
        <v>16484</v>
      </c>
      <c r="BI937">
        <v>11</v>
      </c>
      <c r="BJ937" t="s">
        <v>863</v>
      </c>
      <c r="BK937" t="s">
        <v>103</v>
      </c>
      <c r="BL937" t="s">
        <v>863</v>
      </c>
      <c r="BM937" t="s">
        <v>18089</v>
      </c>
      <c r="BN937" t="s">
        <v>74</v>
      </c>
      <c r="BO937" t="s">
        <v>74</v>
      </c>
      <c r="BP937" t="s">
        <v>74</v>
      </c>
      <c r="BQ937" t="s">
        <v>74</v>
      </c>
      <c r="BR937" t="s">
        <v>106</v>
      </c>
      <c r="BS937" t="s">
        <v>18090</v>
      </c>
      <c r="BT937" t="str">
        <f>HYPERLINK("https%3A%2F%2Fwww.webofscience.com%2Fwos%2Fwoscc%2Ffull-record%2FWOS:000975835600001","View Full Record in Web of Science")</f>
        <v>View Full Record in Web of Science</v>
      </c>
    </row>
    <row r="938" spans="1:72" x14ac:dyDescent="0.15">
      <c r="A938" t="s">
        <v>72</v>
      </c>
      <c r="B938" t="s">
        <v>18091</v>
      </c>
      <c r="C938" t="s">
        <v>74</v>
      </c>
      <c r="D938" t="s">
        <v>74</v>
      </c>
      <c r="E938" t="s">
        <v>74</v>
      </c>
      <c r="F938" t="s">
        <v>18092</v>
      </c>
      <c r="G938" t="s">
        <v>74</v>
      </c>
      <c r="H938" t="s">
        <v>74</v>
      </c>
      <c r="I938" t="s">
        <v>18093</v>
      </c>
      <c r="J938" t="s">
        <v>18094</v>
      </c>
      <c r="K938" t="s">
        <v>74</v>
      </c>
      <c r="L938" t="s">
        <v>74</v>
      </c>
      <c r="M938" t="s">
        <v>78</v>
      </c>
      <c r="N938" t="s">
        <v>112</v>
      </c>
      <c r="O938" t="s">
        <v>74</v>
      </c>
      <c r="P938" t="s">
        <v>74</v>
      </c>
      <c r="Q938" t="s">
        <v>74</v>
      </c>
      <c r="R938" t="s">
        <v>74</v>
      </c>
      <c r="S938" t="s">
        <v>74</v>
      </c>
      <c r="T938" t="s">
        <v>18095</v>
      </c>
      <c r="U938" t="s">
        <v>18096</v>
      </c>
      <c r="V938" t="s">
        <v>18097</v>
      </c>
      <c r="W938" t="s">
        <v>18098</v>
      </c>
      <c r="X938" t="s">
        <v>18099</v>
      </c>
      <c r="Y938" t="s">
        <v>18100</v>
      </c>
      <c r="Z938" t="s">
        <v>16176</v>
      </c>
      <c r="AA938" t="s">
        <v>16177</v>
      </c>
      <c r="AB938" t="s">
        <v>18101</v>
      </c>
      <c r="AC938" t="s">
        <v>16179</v>
      </c>
      <c r="AD938" t="s">
        <v>5458</v>
      </c>
      <c r="AE938" t="s">
        <v>18102</v>
      </c>
      <c r="AF938" t="s">
        <v>74</v>
      </c>
      <c r="AG938">
        <v>68</v>
      </c>
      <c r="AH938">
        <v>2</v>
      </c>
      <c r="AI938">
        <v>2</v>
      </c>
      <c r="AJ938">
        <v>3</v>
      </c>
      <c r="AK938">
        <v>9</v>
      </c>
      <c r="AL938" t="s">
        <v>2116</v>
      </c>
      <c r="AM938" t="s">
        <v>226</v>
      </c>
      <c r="AN938" t="s">
        <v>2117</v>
      </c>
      <c r="AO938" t="s">
        <v>18103</v>
      </c>
      <c r="AP938" t="s">
        <v>18104</v>
      </c>
      <c r="AQ938" t="s">
        <v>74</v>
      </c>
      <c r="AR938" t="s">
        <v>18105</v>
      </c>
      <c r="AS938" t="s">
        <v>18106</v>
      </c>
      <c r="AT938" t="s">
        <v>18031</v>
      </c>
      <c r="AU938">
        <v>2023</v>
      </c>
      <c r="AV938">
        <v>370</v>
      </c>
      <c r="AW938" t="s">
        <v>74</v>
      </c>
      <c r="AX938" t="s">
        <v>74</v>
      </c>
      <c r="AY938" t="s">
        <v>74</v>
      </c>
      <c r="AZ938" t="s">
        <v>74</v>
      </c>
      <c r="BA938" t="s">
        <v>74</v>
      </c>
      <c r="BB938" t="s">
        <v>74</v>
      </c>
      <c r="BC938" t="s">
        <v>74</v>
      </c>
      <c r="BD938" t="s">
        <v>18107</v>
      </c>
      <c r="BE938" t="s">
        <v>18108</v>
      </c>
      <c r="BF938" t="str">
        <f>HYPERLINK("http://dx.doi.org/10.1093/femsle/fnad031","http://dx.doi.org/10.1093/femsle/fnad031")</f>
        <v>http://dx.doi.org/10.1093/femsle/fnad031</v>
      </c>
      <c r="BG938" t="s">
        <v>74</v>
      </c>
      <c r="BH938" t="s">
        <v>74</v>
      </c>
      <c r="BI938">
        <v>10</v>
      </c>
      <c r="BJ938" t="s">
        <v>1387</v>
      </c>
      <c r="BK938" t="s">
        <v>103</v>
      </c>
      <c r="BL938" t="s">
        <v>1387</v>
      </c>
      <c r="BM938" t="s">
        <v>18109</v>
      </c>
      <c r="BN938">
        <v>37028936</v>
      </c>
      <c r="BO938" t="s">
        <v>74</v>
      </c>
      <c r="BP938" t="s">
        <v>74</v>
      </c>
      <c r="BQ938" t="s">
        <v>74</v>
      </c>
      <c r="BR938" t="s">
        <v>106</v>
      </c>
      <c r="BS938" t="s">
        <v>18110</v>
      </c>
      <c r="BT938" t="str">
        <f>HYPERLINK("https%3A%2F%2Fwww.webofscience.com%2Fwos%2Fwoscc%2Ffull-record%2FWOS:000974684400003","View Full Record in Web of Science")</f>
        <v>View Full Record in Web of Science</v>
      </c>
    </row>
    <row r="939" spans="1:72" x14ac:dyDescent="0.15">
      <c r="A939" t="s">
        <v>72</v>
      </c>
      <c r="B939" t="s">
        <v>18111</v>
      </c>
      <c r="C939" t="s">
        <v>74</v>
      </c>
      <c r="D939" t="s">
        <v>74</v>
      </c>
      <c r="E939" t="s">
        <v>74</v>
      </c>
      <c r="F939" t="s">
        <v>18112</v>
      </c>
      <c r="G939" t="s">
        <v>74</v>
      </c>
      <c r="H939" t="s">
        <v>74</v>
      </c>
      <c r="I939" t="s">
        <v>18113</v>
      </c>
      <c r="J939" t="s">
        <v>713</v>
      </c>
      <c r="K939" t="s">
        <v>74</v>
      </c>
      <c r="L939" t="s">
        <v>74</v>
      </c>
      <c r="M939" t="s">
        <v>78</v>
      </c>
      <c r="N939" t="s">
        <v>112</v>
      </c>
      <c r="O939" t="s">
        <v>74</v>
      </c>
      <c r="P939" t="s">
        <v>74</v>
      </c>
      <c r="Q939" t="s">
        <v>74</v>
      </c>
      <c r="R939" t="s">
        <v>74</v>
      </c>
      <c r="S939" t="s">
        <v>74</v>
      </c>
      <c r="T939" t="s">
        <v>18114</v>
      </c>
      <c r="U939" t="s">
        <v>18115</v>
      </c>
      <c r="V939" t="s">
        <v>18116</v>
      </c>
      <c r="W939" t="s">
        <v>18117</v>
      </c>
      <c r="X939" t="s">
        <v>18118</v>
      </c>
      <c r="Y939" t="s">
        <v>18119</v>
      </c>
      <c r="Z939" t="s">
        <v>18120</v>
      </c>
      <c r="AA939" t="s">
        <v>18121</v>
      </c>
      <c r="AB939" t="s">
        <v>18122</v>
      </c>
      <c r="AC939" t="s">
        <v>18123</v>
      </c>
      <c r="AD939" t="s">
        <v>18124</v>
      </c>
      <c r="AE939" t="s">
        <v>18125</v>
      </c>
      <c r="AF939" t="s">
        <v>74</v>
      </c>
      <c r="AG939">
        <v>55</v>
      </c>
      <c r="AH939">
        <v>1</v>
      </c>
      <c r="AI939">
        <v>1</v>
      </c>
      <c r="AJ939">
        <v>0</v>
      </c>
      <c r="AK939">
        <v>2</v>
      </c>
      <c r="AL939" t="s">
        <v>447</v>
      </c>
      <c r="AM939" t="s">
        <v>448</v>
      </c>
      <c r="AN939" t="s">
        <v>449</v>
      </c>
      <c r="AO939" t="s">
        <v>724</v>
      </c>
      <c r="AP939" t="s">
        <v>725</v>
      </c>
      <c r="AQ939" t="s">
        <v>74</v>
      </c>
      <c r="AR939" t="s">
        <v>713</v>
      </c>
      <c r="AS939" t="s">
        <v>726</v>
      </c>
      <c r="AT939" t="s">
        <v>1437</v>
      </c>
      <c r="AU939">
        <v>2023</v>
      </c>
      <c r="AV939">
        <v>223</v>
      </c>
      <c r="AW939" t="s">
        <v>74</v>
      </c>
      <c r="AX939" t="s">
        <v>74</v>
      </c>
      <c r="AY939" t="s">
        <v>74</v>
      </c>
      <c r="AZ939" t="s">
        <v>74</v>
      </c>
      <c r="BA939" t="s">
        <v>74</v>
      </c>
      <c r="BB939" t="s">
        <v>74</v>
      </c>
      <c r="BC939" t="s">
        <v>74</v>
      </c>
      <c r="BD939">
        <v>106884</v>
      </c>
      <c r="BE939" t="s">
        <v>18126</v>
      </c>
      <c r="BF939" t="str">
        <f>HYPERLINK("http://dx.doi.org/10.1016/j.catena.2022.106884","http://dx.doi.org/10.1016/j.catena.2022.106884")</f>
        <v>http://dx.doi.org/10.1016/j.catena.2022.106884</v>
      </c>
      <c r="BG939" t="s">
        <v>74</v>
      </c>
      <c r="BH939" t="s">
        <v>16484</v>
      </c>
      <c r="BI939">
        <v>16</v>
      </c>
      <c r="BJ939" t="s">
        <v>728</v>
      </c>
      <c r="BK939" t="s">
        <v>103</v>
      </c>
      <c r="BL939" t="s">
        <v>729</v>
      </c>
      <c r="BM939" t="s">
        <v>18127</v>
      </c>
      <c r="BN939" t="s">
        <v>74</v>
      </c>
      <c r="BO939" t="s">
        <v>74</v>
      </c>
      <c r="BP939" t="s">
        <v>74</v>
      </c>
      <c r="BQ939" t="s">
        <v>74</v>
      </c>
      <c r="BR939" t="s">
        <v>106</v>
      </c>
      <c r="BS939" t="s">
        <v>18128</v>
      </c>
      <c r="BT939" t="str">
        <f>HYPERLINK("https%3A%2F%2Fwww.webofscience.com%2Fwos%2Fwoscc%2Ffull-record%2FWOS:000961427400001","View Full Record in Web of Science")</f>
        <v>View Full Record in Web of Science</v>
      </c>
    </row>
    <row r="940" spans="1:72" x14ac:dyDescent="0.15">
      <c r="A940" t="s">
        <v>72</v>
      </c>
      <c r="B940" t="s">
        <v>18129</v>
      </c>
      <c r="C940" t="s">
        <v>74</v>
      </c>
      <c r="D940" t="s">
        <v>74</v>
      </c>
      <c r="E940" t="s">
        <v>74</v>
      </c>
      <c r="F940" t="s">
        <v>18130</v>
      </c>
      <c r="G940" t="s">
        <v>74</v>
      </c>
      <c r="H940" t="s">
        <v>74</v>
      </c>
      <c r="I940" t="s">
        <v>18131</v>
      </c>
      <c r="J940" t="s">
        <v>1753</v>
      </c>
      <c r="K940" t="s">
        <v>74</v>
      </c>
      <c r="L940" t="s">
        <v>74</v>
      </c>
      <c r="M940" t="s">
        <v>78</v>
      </c>
      <c r="N940" t="s">
        <v>112</v>
      </c>
      <c r="O940" t="s">
        <v>74</v>
      </c>
      <c r="P940" t="s">
        <v>74</v>
      </c>
      <c r="Q940" t="s">
        <v>74</v>
      </c>
      <c r="R940" t="s">
        <v>74</v>
      </c>
      <c r="S940" t="s">
        <v>74</v>
      </c>
      <c r="T940" t="s">
        <v>18132</v>
      </c>
      <c r="U940" t="s">
        <v>18133</v>
      </c>
      <c r="V940" t="s">
        <v>18134</v>
      </c>
      <c r="W940" t="s">
        <v>18135</v>
      </c>
      <c r="X940" t="s">
        <v>18136</v>
      </c>
      <c r="Y940" t="s">
        <v>18137</v>
      </c>
      <c r="Z940" t="s">
        <v>18138</v>
      </c>
      <c r="AA940" t="s">
        <v>18139</v>
      </c>
      <c r="AB940" t="s">
        <v>18140</v>
      </c>
      <c r="AC940" t="s">
        <v>18141</v>
      </c>
      <c r="AD940" t="s">
        <v>18142</v>
      </c>
      <c r="AE940" t="s">
        <v>18143</v>
      </c>
      <c r="AF940" t="s">
        <v>74</v>
      </c>
      <c r="AG940">
        <v>80</v>
      </c>
      <c r="AH940">
        <v>4</v>
      </c>
      <c r="AI940">
        <v>4</v>
      </c>
      <c r="AJ940">
        <v>4</v>
      </c>
      <c r="AK940">
        <v>5</v>
      </c>
      <c r="AL940" t="s">
        <v>768</v>
      </c>
      <c r="AM940" t="s">
        <v>179</v>
      </c>
      <c r="AN940" t="s">
        <v>769</v>
      </c>
      <c r="AO940" t="s">
        <v>1766</v>
      </c>
      <c r="AP940" t="s">
        <v>1767</v>
      </c>
      <c r="AQ940" t="s">
        <v>74</v>
      </c>
      <c r="AR940" t="s">
        <v>1768</v>
      </c>
      <c r="AS940" t="s">
        <v>1769</v>
      </c>
      <c r="AT940" t="s">
        <v>507</v>
      </c>
      <c r="AU940">
        <v>2023</v>
      </c>
      <c r="AV940">
        <v>61</v>
      </c>
      <c r="AW940" t="s">
        <v>7071</v>
      </c>
      <c r="AX940" t="s">
        <v>74</v>
      </c>
      <c r="AY940" t="s">
        <v>74</v>
      </c>
      <c r="AZ940" t="s">
        <v>74</v>
      </c>
      <c r="BA940" t="s">
        <v>74</v>
      </c>
      <c r="BB940">
        <v>1829</v>
      </c>
      <c r="BC940">
        <v>1845</v>
      </c>
      <c r="BD940" t="s">
        <v>74</v>
      </c>
      <c r="BE940" t="s">
        <v>18144</v>
      </c>
      <c r="BF940" t="str">
        <f>HYPERLINK("http://dx.doi.org/10.1007/s00382-022-06658-7","http://dx.doi.org/10.1007/s00382-022-06658-7")</f>
        <v>http://dx.doi.org/10.1007/s00382-022-06658-7</v>
      </c>
      <c r="BG940" t="s">
        <v>74</v>
      </c>
      <c r="BH940" t="s">
        <v>16484</v>
      </c>
      <c r="BI940">
        <v>17</v>
      </c>
      <c r="BJ940" t="s">
        <v>102</v>
      </c>
      <c r="BK940" t="s">
        <v>103</v>
      </c>
      <c r="BL940" t="s">
        <v>102</v>
      </c>
      <c r="BM940" t="s">
        <v>18145</v>
      </c>
      <c r="BN940" t="s">
        <v>74</v>
      </c>
      <c r="BO940" t="s">
        <v>8573</v>
      </c>
      <c r="BP940" t="s">
        <v>74</v>
      </c>
      <c r="BQ940" t="s">
        <v>74</v>
      </c>
      <c r="BR940" t="s">
        <v>106</v>
      </c>
      <c r="BS940" t="s">
        <v>18146</v>
      </c>
      <c r="BT940" t="str">
        <f>HYPERLINK("https%3A%2F%2Fwww.webofscience.com%2Fwos%2Fwoscc%2Ffull-record%2FWOS:000916918300001","View Full Record in Web of Science")</f>
        <v>View Full Record in Web of Science</v>
      </c>
    </row>
    <row r="941" spans="1:72" x14ac:dyDescent="0.15">
      <c r="A941" t="s">
        <v>72</v>
      </c>
      <c r="B941" t="s">
        <v>18147</v>
      </c>
      <c r="C941" t="s">
        <v>74</v>
      </c>
      <c r="D941" t="s">
        <v>74</v>
      </c>
      <c r="E941" t="s">
        <v>74</v>
      </c>
      <c r="F941" t="s">
        <v>18148</v>
      </c>
      <c r="G941" t="s">
        <v>74</v>
      </c>
      <c r="H941" t="s">
        <v>74</v>
      </c>
      <c r="I941" t="s">
        <v>18149</v>
      </c>
      <c r="J941" t="s">
        <v>1215</v>
      </c>
      <c r="K941" t="s">
        <v>74</v>
      </c>
      <c r="L941" t="s">
        <v>74</v>
      </c>
      <c r="M941" t="s">
        <v>78</v>
      </c>
      <c r="N941" t="s">
        <v>112</v>
      </c>
      <c r="O941" t="s">
        <v>74</v>
      </c>
      <c r="P941" t="s">
        <v>74</v>
      </c>
      <c r="Q941" t="s">
        <v>74</v>
      </c>
      <c r="R941" t="s">
        <v>74</v>
      </c>
      <c r="S941" t="s">
        <v>74</v>
      </c>
      <c r="T941" t="s">
        <v>18150</v>
      </c>
      <c r="U941" t="s">
        <v>18151</v>
      </c>
      <c r="V941" t="s">
        <v>18152</v>
      </c>
      <c r="W941" t="s">
        <v>18153</v>
      </c>
      <c r="X941" t="s">
        <v>18154</v>
      </c>
      <c r="Y941" t="s">
        <v>18155</v>
      </c>
      <c r="Z941" t="s">
        <v>18156</v>
      </c>
      <c r="AA941" t="s">
        <v>18157</v>
      </c>
      <c r="AB941" t="s">
        <v>18158</v>
      </c>
      <c r="AC941" t="s">
        <v>18159</v>
      </c>
      <c r="AD941" t="s">
        <v>5808</v>
      </c>
      <c r="AE941" t="s">
        <v>18160</v>
      </c>
      <c r="AF941" t="s">
        <v>74</v>
      </c>
      <c r="AG941">
        <v>43</v>
      </c>
      <c r="AH941">
        <v>1</v>
      </c>
      <c r="AI941">
        <v>1</v>
      </c>
      <c r="AJ941">
        <v>2</v>
      </c>
      <c r="AK941">
        <v>11</v>
      </c>
      <c r="AL941" t="s">
        <v>700</v>
      </c>
      <c r="AM941" t="s">
        <v>701</v>
      </c>
      <c r="AN941" t="s">
        <v>702</v>
      </c>
      <c r="AO941" t="s">
        <v>74</v>
      </c>
      <c r="AP941" t="s">
        <v>1228</v>
      </c>
      <c r="AQ941" t="s">
        <v>74</v>
      </c>
      <c r="AR941" t="s">
        <v>1229</v>
      </c>
      <c r="AS941" t="s">
        <v>1230</v>
      </c>
      <c r="AT941" t="s">
        <v>18031</v>
      </c>
      <c r="AU941">
        <v>2023</v>
      </c>
      <c r="AV941">
        <v>9</v>
      </c>
      <c r="AW941" t="s">
        <v>74</v>
      </c>
      <c r="AX941" t="s">
        <v>74</v>
      </c>
      <c r="AY941" t="s">
        <v>74</v>
      </c>
      <c r="AZ941" t="s">
        <v>74</v>
      </c>
      <c r="BA941" t="s">
        <v>74</v>
      </c>
      <c r="BB941" t="s">
        <v>74</v>
      </c>
      <c r="BC941" t="s">
        <v>74</v>
      </c>
      <c r="BD941">
        <v>1092917</v>
      </c>
      <c r="BE941" t="s">
        <v>18161</v>
      </c>
      <c r="BF941" t="str">
        <f>HYPERLINK("http://dx.doi.org/10.3389/fmars.2022.1092917","http://dx.doi.org/10.3389/fmars.2022.1092917")</f>
        <v>http://dx.doi.org/10.3389/fmars.2022.1092917</v>
      </c>
      <c r="BG941" t="s">
        <v>74</v>
      </c>
      <c r="BH941" t="s">
        <v>74</v>
      </c>
      <c r="BI941">
        <v>9</v>
      </c>
      <c r="BJ941" t="s">
        <v>636</v>
      </c>
      <c r="BK941" t="s">
        <v>103</v>
      </c>
      <c r="BL941" t="s">
        <v>637</v>
      </c>
      <c r="BM941" t="s">
        <v>18162</v>
      </c>
      <c r="BN941" t="s">
        <v>74</v>
      </c>
      <c r="BO941" t="s">
        <v>359</v>
      </c>
      <c r="BP941" t="s">
        <v>74</v>
      </c>
      <c r="BQ941" t="s">
        <v>74</v>
      </c>
      <c r="BR941" t="s">
        <v>106</v>
      </c>
      <c r="BS941" t="s">
        <v>18163</v>
      </c>
      <c r="BT941" t="str">
        <f>HYPERLINK("https%3A%2F%2Fwww.webofscience.com%2Fwos%2Fwoscc%2Ffull-record%2FWOS:000921934300001","View Full Record in Web of Science")</f>
        <v>View Full Record in Web of Science</v>
      </c>
    </row>
    <row r="942" spans="1:72" x14ac:dyDescent="0.15">
      <c r="A942" t="s">
        <v>72</v>
      </c>
      <c r="B942" t="s">
        <v>18164</v>
      </c>
      <c r="C942" t="s">
        <v>74</v>
      </c>
      <c r="D942" t="s">
        <v>74</v>
      </c>
      <c r="E942" t="s">
        <v>74</v>
      </c>
      <c r="F942" t="s">
        <v>18165</v>
      </c>
      <c r="G942" t="s">
        <v>74</v>
      </c>
      <c r="H942" t="s">
        <v>74</v>
      </c>
      <c r="I942" t="s">
        <v>18166</v>
      </c>
      <c r="J942" t="s">
        <v>3772</v>
      </c>
      <c r="K942" t="s">
        <v>74</v>
      </c>
      <c r="L942" t="s">
        <v>74</v>
      </c>
      <c r="M942" t="s">
        <v>78</v>
      </c>
      <c r="N942" t="s">
        <v>112</v>
      </c>
      <c r="O942" t="s">
        <v>74</v>
      </c>
      <c r="P942" t="s">
        <v>74</v>
      </c>
      <c r="Q942" t="s">
        <v>74</v>
      </c>
      <c r="R942" t="s">
        <v>74</v>
      </c>
      <c r="S942" t="s">
        <v>74</v>
      </c>
      <c r="T942" t="s">
        <v>18167</v>
      </c>
      <c r="U942" t="s">
        <v>18168</v>
      </c>
      <c r="V942" t="s">
        <v>18169</v>
      </c>
      <c r="W942" t="s">
        <v>18170</v>
      </c>
      <c r="X942" t="s">
        <v>18171</v>
      </c>
      <c r="Y942" t="s">
        <v>18172</v>
      </c>
      <c r="Z942" t="s">
        <v>18173</v>
      </c>
      <c r="AA942" t="s">
        <v>18174</v>
      </c>
      <c r="AB942" t="s">
        <v>18175</v>
      </c>
      <c r="AC942" t="s">
        <v>18176</v>
      </c>
      <c r="AD942" t="s">
        <v>18176</v>
      </c>
      <c r="AE942" t="s">
        <v>18177</v>
      </c>
      <c r="AF942" t="s">
        <v>74</v>
      </c>
      <c r="AG942">
        <v>96</v>
      </c>
      <c r="AH942">
        <v>1</v>
      </c>
      <c r="AI942">
        <v>1</v>
      </c>
      <c r="AJ942">
        <v>1</v>
      </c>
      <c r="AK942">
        <v>2</v>
      </c>
      <c r="AL942" t="s">
        <v>2116</v>
      </c>
      <c r="AM942" t="s">
        <v>226</v>
      </c>
      <c r="AN942" t="s">
        <v>2117</v>
      </c>
      <c r="AO942" t="s">
        <v>3784</v>
      </c>
      <c r="AP942" t="s">
        <v>3785</v>
      </c>
      <c r="AQ942" t="s">
        <v>74</v>
      </c>
      <c r="AR942" t="s">
        <v>3786</v>
      </c>
      <c r="AS942" t="s">
        <v>3787</v>
      </c>
      <c r="AT942" t="s">
        <v>8322</v>
      </c>
      <c r="AU942">
        <v>2023</v>
      </c>
      <c r="AV942">
        <v>80</v>
      </c>
      <c r="AW942">
        <v>2</v>
      </c>
      <c r="AX942" t="s">
        <v>74</v>
      </c>
      <c r="AY942" t="s">
        <v>74</v>
      </c>
      <c r="AZ942" t="s">
        <v>74</v>
      </c>
      <c r="BA942" t="s">
        <v>74</v>
      </c>
      <c r="BB942">
        <v>295</v>
      </c>
      <c r="BC942">
        <v>307</v>
      </c>
      <c r="BD942" t="s">
        <v>74</v>
      </c>
      <c r="BE942" t="s">
        <v>18178</v>
      </c>
      <c r="BF942" t="str">
        <f>HYPERLINK("http://dx.doi.org/10.1093/icesjms/fsac232","http://dx.doi.org/10.1093/icesjms/fsac232")</f>
        <v>http://dx.doi.org/10.1093/icesjms/fsac232</v>
      </c>
      <c r="BG942" t="s">
        <v>74</v>
      </c>
      <c r="BH942" t="s">
        <v>16484</v>
      </c>
      <c r="BI942">
        <v>13</v>
      </c>
      <c r="BJ942" t="s">
        <v>3790</v>
      </c>
      <c r="BK942" t="s">
        <v>103</v>
      </c>
      <c r="BL942" t="s">
        <v>3790</v>
      </c>
      <c r="BM942" t="s">
        <v>18179</v>
      </c>
      <c r="BN942" t="s">
        <v>74</v>
      </c>
      <c r="BO942" t="s">
        <v>359</v>
      </c>
      <c r="BP942" t="s">
        <v>74</v>
      </c>
      <c r="BQ942" t="s">
        <v>74</v>
      </c>
      <c r="BR942" t="s">
        <v>106</v>
      </c>
      <c r="BS942" t="s">
        <v>18180</v>
      </c>
      <c r="BT942" t="str">
        <f>HYPERLINK("https%3A%2F%2Fwww.webofscience.com%2Fwos%2Fwoscc%2Ffull-record%2FWOS:000915745900001","View Full Record in Web of Science")</f>
        <v>View Full Record in Web of Science</v>
      </c>
    </row>
    <row r="943" spans="1:72" x14ac:dyDescent="0.15">
      <c r="A943" t="s">
        <v>72</v>
      </c>
      <c r="B943" t="s">
        <v>18181</v>
      </c>
      <c r="C943" t="s">
        <v>74</v>
      </c>
      <c r="D943" t="s">
        <v>74</v>
      </c>
      <c r="E943" t="s">
        <v>74</v>
      </c>
      <c r="F943" t="s">
        <v>18182</v>
      </c>
      <c r="G943" t="s">
        <v>74</v>
      </c>
      <c r="H943" t="s">
        <v>74</v>
      </c>
      <c r="I943" t="s">
        <v>18183</v>
      </c>
      <c r="J943" t="s">
        <v>18184</v>
      </c>
      <c r="K943" t="s">
        <v>74</v>
      </c>
      <c r="L943" t="s">
        <v>74</v>
      </c>
      <c r="M943" t="s">
        <v>78</v>
      </c>
      <c r="N943" t="s">
        <v>112</v>
      </c>
      <c r="O943" t="s">
        <v>74</v>
      </c>
      <c r="P943" t="s">
        <v>74</v>
      </c>
      <c r="Q943" t="s">
        <v>74</v>
      </c>
      <c r="R943" t="s">
        <v>74</v>
      </c>
      <c r="S943" t="s">
        <v>74</v>
      </c>
      <c r="T943" t="s">
        <v>74</v>
      </c>
      <c r="U943" t="s">
        <v>18185</v>
      </c>
      <c r="V943" t="s">
        <v>18186</v>
      </c>
      <c r="W943" t="s">
        <v>18187</v>
      </c>
      <c r="X943" t="s">
        <v>18188</v>
      </c>
      <c r="Y943" t="s">
        <v>18189</v>
      </c>
      <c r="Z943" t="s">
        <v>18190</v>
      </c>
      <c r="AA943" t="s">
        <v>18191</v>
      </c>
      <c r="AB943" t="s">
        <v>18192</v>
      </c>
      <c r="AC943" t="s">
        <v>18193</v>
      </c>
      <c r="AD943" t="s">
        <v>18194</v>
      </c>
      <c r="AE943" t="s">
        <v>18195</v>
      </c>
      <c r="AF943" t="s">
        <v>74</v>
      </c>
      <c r="AG943">
        <v>48</v>
      </c>
      <c r="AH943">
        <v>3</v>
      </c>
      <c r="AI943">
        <v>3</v>
      </c>
      <c r="AJ943">
        <v>5</v>
      </c>
      <c r="AK943">
        <v>19</v>
      </c>
      <c r="AL943" t="s">
        <v>6321</v>
      </c>
      <c r="AM943" t="s">
        <v>1102</v>
      </c>
      <c r="AN943" t="s">
        <v>6322</v>
      </c>
      <c r="AO943" t="s">
        <v>18196</v>
      </c>
      <c r="AP943" t="s">
        <v>18197</v>
      </c>
      <c r="AQ943" t="s">
        <v>74</v>
      </c>
      <c r="AR943" t="s">
        <v>18198</v>
      </c>
      <c r="AS943" t="s">
        <v>18199</v>
      </c>
      <c r="AT943" t="s">
        <v>18200</v>
      </c>
      <c r="AU943">
        <v>2023</v>
      </c>
      <c r="AV943">
        <v>38</v>
      </c>
      <c r="AW943">
        <v>2</v>
      </c>
      <c r="AX943" t="s">
        <v>74</v>
      </c>
      <c r="AY943" t="s">
        <v>74</v>
      </c>
      <c r="AZ943" t="s">
        <v>74</v>
      </c>
      <c r="BA943" t="s">
        <v>74</v>
      </c>
      <c r="BB943">
        <v>369</v>
      </c>
      <c r="BC943">
        <v>381</v>
      </c>
      <c r="BD943" t="s">
        <v>74</v>
      </c>
      <c r="BE943" t="s">
        <v>18201</v>
      </c>
      <c r="BF943" t="str">
        <f>HYPERLINK("http://dx.doi.org/10.1039/d2ja00317a","http://dx.doi.org/10.1039/d2ja00317a")</f>
        <v>http://dx.doi.org/10.1039/d2ja00317a</v>
      </c>
      <c r="BG943" t="s">
        <v>74</v>
      </c>
      <c r="BH943" t="s">
        <v>16484</v>
      </c>
      <c r="BI943">
        <v>13</v>
      </c>
      <c r="BJ943" t="s">
        <v>18202</v>
      </c>
      <c r="BK943" t="s">
        <v>103</v>
      </c>
      <c r="BL943" t="s">
        <v>18203</v>
      </c>
      <c r="BM943" t="s">
        <v>18204</v>
      </c>
      <c r="BN943" t="s">
        <v>74</v>
      </c>
      <c r="BO943" t="s">
        <v>387</v>
      </c>
      <c r="BP943" t="s">
        <v>74</v>
      </c>
      <c r="BQ943" t="s">
        <v>74</v>
      </c>
      <c r="BR943" t="s">
        <v>106</v>
      </c>
      <c r="BS943" t="s">
        <v>18205</v>
      </c>
      <c r="BT943" t="str">
        <f>HYPERLINK("https%3A%2F%2Fwww.webofscience.com%2Fwos%2Fwoscc%2Ffull-record%2FWOS:000915352300001","View Full Record in Web of Science")</f>
        <v>View Full Record in Web of Science</v>
      </c>
    </row>
    <row r="944" spans="1:72" x14ac:dyDescent="0.15">
      <c r="A944" t="s">
        <v>72</v>
      </c>
      <c r="B944" t="s">
        <v>18206</v>
      </c>
      <c r="C944" t="s">
        <v>74</v>
      </c>
      <c r="D944" t="s">
        <v>74</v>
      </c>
      <c r="E944" t="s">
        <v>74</v>
      </c>
      <c r="F944" t="s">
        <v>18207</v>
      </c>
      <c r="G944" t="s">
        <v>74</v>
      </c>
      <c r="H944" t="s">
        <v>74</v>
      </c>
      <c r="I944" t="s">
        <v>18208</v>
      </c>
      <c r="J944" t="s">
        <v>869</v>
      </c>
      <c r="K944" t="s">
        <v>74</v>
      </c>
      <c r="L944" t="s">
        <v>74</v>
      </c>
      <c r="M944" t="s">
        <v>78</v>
      </c>
      <c r="N944" t="s">
        <v>112</v>
      </c>
      <c r="O944" t="s">
        <v>74</v>
      </c>
      <c r="P944" t="s">
        <v>74</v>
      </c>
      <c r="Q944" t="s">
        <v>74</v>
      </c>
      <c r="R944" t="s">
        <v>74</v>
      </c>
      <c r="S944" t="s">
        <v>74</v>
      </c>
      <c r="T944" t="s">
        <v>18209</v>
      </c>
      <c r="U944" t="s">
        <v>18210</v>
      </c>
      <c r="V944" t="s">
        <v>18211</v>
      </c>
      <c r="W944" t="s">
        <v>18212</v>
      </c>
      <c r="X944" t="s">
        <v>18213</v>
      </c>
      <c r="Y944" t="s">
        <v>18214</v>
      </c>
      <c r="Z944" t="s">
        <v>18215</v>
      </c>
      <c r="AA944" t="s">
        <v>18216</v>
      </c>
      <c r="AB944" t="s">
        <v>18217</v>
      </c>
      <c r="AC944" t="s">
        <v>18218</v>
      </c>
      <c r="AD944" t="s">
        <v>18219</v>
      </c>
      <c r="AE944" t="s">
        <v>18220</v>
      </c>
      <c r="AF944" t="s">
        <v>74</v>
      </c>
      <c r="AG944">
        <v>52</v>
      </c>
      <c r="AH944">
        <v>1</v>
      </c>
      <c r="AI944">
        <v>1</v>
      </c>
      <c r="AJ944">
        <v>1</v>
      </c>
      <c r="AK944">
        <v>1</v>
      </c>
      <c r="AL944" t="s">
        <v>305</v>
      </c>
      <c r="AM944" t="s">
        <v>306</v>
      </c>
      <c r="AN944" t="s">
        <v>307</v>
      </c>
      <c r="AO944" t="s">
        <v>882</v>
      </c>
      <c r="AP944" t="s">
        <v>883</v>
      </c>
      <c r="AQ944" t="s">
        <v>74</v>
      </c>
      <c r="AR944" t="s">
        <v>884</v>
      </c>
      <c r="AS944" t="s">
        <v>885</v>
      </c>
      <c r="AT944" t="s">
        <v>18221</v>
      </c>
      <c r="AU944">
        <v>2023</v>
      </c>
      <c r="AV944">
        <v>128</v>
      </c>
      <c r="AW944">
        <v>1</v>
      </c>
      <c r="AX944" t="s">
        <v>74</v>
      </c>
      <c r="AY944" t="s">
        <v>74</v>
      </c>
      <c r="AZ944" t="s">
        <v>74</v>
      </c>
      <c r="BA944" t="s">
        <v>74</v>
      </c>
      <c r="BB944" t="s">
        <v>74</v>
      </c>
      <c r="BC944" t="s">
        <v>74</v>
      </c>
      <c r="BD944" t="s">
        <v>18222</v>
      </c>
      <c r="BE944" t="s">
        <v>18223</v>
      </c>
      <c r="BF944" t="str">
        <f>HYPERLINK("http://dx.doi.org/10.1029/2022JD037139","http://dx.doi.org/10.1029/2022JD037139")</f>
        <v>http://dx.doi.org/10.1029/2022JD037139</v>
      </c>
      <c r="BG944" t="s">
        <v>74</v>
      </c>
      <c r="BH944" t="s">
        <v>74</v>
      </c>
      <c r="BI944">
        <v>27</v>
      </c>
      <c r="BJ944" t="s">
        <v>102</v>
      </c>
      <c r="BK944" t="s">
        <v>103</v>
      </c>
      <c r="BL944" t="s">
        <v>102</v>
      </c>
      <c r="BM944" t="s">
        <v>18224</v>
      </c>
      <c r="BN944" t="s">
        <v>74</v>
      </c>
      <c r="BO944" t="s">
        <v>315</v>
      </c>
      <c r="BP944" t="s">
        <v>74</v>
      </c>
      <c r="BQ944" t="s">
        <v>74</v>
      </c>
      <c r="BR944" t="s">
        <v>106</v>
      </c>
      <c r="BS944" t="s">
        <v>18225</v>
      </c>
      <c r="BT944" t="str">
        <f>HYPERLINK("https%3A%2F%2Fwww.webofscience.com%2Fwos%2Fwoscc%2Ffull-record%2FWOS:000998847300001","View Full Record in Web of Science")</f>
        <v>View Full Record in Web of Science</v>
      </c>
    </row>
    <row r="945" spans="1:72" x14ac:dyDescent="0.15">
      <c r="A945" t="s">
        <v>72</v>
      </c>
      <c r="B945" t="s">
        <v>18226</v>
      </c>
      <c r="C945" t="s">
        <v>74</v>
      </c>
      <c r="D945" t="s">
        <v>74</v>
      </c>
      <c r="E945" t="s">
        <v>74</v>
      </c>
      <c r="F945" t="s">
        <v>18227</v>
      </c>
      <c r="G945" t="s">
        <v>74</v>
      </c>
      <c r="H945" t="s">
        <v>74</v>
      </c>
      <c r="I945" t="s">
        <v>18228</v>
      </c>
      <c r="J945" t="s">
        <v>2541</v>
      </c>
      <c r="K945" t="s">
        <v>74</v>
      </c>
      <c r="L945" t="s">
        <v>74</v>
      </c>
      <c r="M945" t="s">
        <v>78</v>
      </c>
      <c r="N945" t="s">
        <v>112</v>
      </c>
      <c r="O945" t="s">
        <v>74</v>
      </c>
      <c r="P945" t="s">
        <v>74</v>
      </c>
      <c r="Q945" t="s">
        <v>74</v>
      </c>
      <c r="R945" t="s">
        <v>74</v>
      </c>
      <c r="S945" t="s">
        <v>74</v>
      </c>
      <c r="T945" t="s">
        <v>74</v>
      </c>
      <c r="U945" t="s">
        <v>18229</v>
      </c>
      <c r="V945" t="s">
        <v>18230</v>
      </c>
      <c r="W945" t="s">
        <v>18231</v>
      </c>
      <c r="X945" t="s">
        <v>18232</v>
      </c>
      <c r="Y945" t="s">
        <v>18233</v>
      </c>
      <c r="Z945" t="s">
        <v>18234</v>
      </c>
      <c r="AA945" t="s">
        <v>18235</v>
      </c>
      <c r="AB945" t="s">
        <v>18236</v>
      </c>
      <c r="AC945" t="s">
        <v>18237</v>
      </c>
      <c r="AD945" t="s">
        <v>18238</v>
      </c>
      <c r="AE945" t="s">
        <v>18239</v>
      </c>
      <c r="AF945" t="s">
        <v>74</v>
      </c>
      <c r="AG945">
        <v>54</v>
      </c>
      <c r="AH945">
        <v>12</v>
      </c>
      <c r="AI945">
        <v>13</v>
      </c>
      <c r="AJ945">
        <v>0</v>
      </c>
      <c r="AK945">
        <v>5</v>
      </c>
      <c r="AL945" t="s">
        <v>794</v>
      </c>
      <c r="AM945" t="s">
        <v>795</v>
      </c>
      <c r="AN945" t="s">
        <v>796</v>
      </c>
      <c r="AO945" t="s">
        <v>2553</v>
      </c>
      <c r="AP945" t="s">
        <v>2554</v>
      </c>
      <c r="AQ945" t="s">
        <v>74</v>
      </c>
      <c r="AR945" t="s">
        <v>2555</v>
      </c>
      <c r="AS945" t="s">
        <v>2556</v>
      </c>
      <c r="AT945" t="s">
        <v>18221</v>
      </c>
      <c r="AU945">
        <v>2023</v>
      </c>
      <c r="AV945">
        <v>23</v>
      </c>
      <c r="AW945">
        <v>1</v>
      </c>
      <c r="AX945" t="s">
        <v>74</v>
      </c>
      <c r="AY945" t="s">
        <v>74</v>
      </c>
      <c r="AZ945" t="s">
        <v>74</v>
      </c>
      <c r="BA945" t="s">
        <v>74</v>
      </c>
      <c r="BB945">
        <v>687</v>
      </c>
      <c r="BC945">
        <v>709</v>
      </c>
      <c r="BD945" t="s">
        <v>74</v>
      </c>
      <c r="BE945" t="s">
        <v>18240</v>
      </c>
      <c r="BF945" t="str">
        <f>HYPERLINK("http://dx.doi.org/10.5194/acp-23-687-2023","http://dx.doi.org/10.5194/acp-23-687-2023")</f>
        <v>http://dx.doi.org/10.5194/acp-23-687-2023</v>
      </c>
      <c r="BG945" t="s">
        <v>74</v>
      </c>
      <c r="BH945" t="s">
        <v>74</v>
      </c>
      <c r="BI945">
        <v>23</v>
      </c>
      <c r="BJ945" t="s">
        <v>356</v>
      </c>
      <c r="BK945" t="s">
        <v>103</v>
      </c>
      <c r="BL945" t="s">
        <v>357</v>
      </c>
      <c r="BM945" t="s">
        <v>18241</v>
      </c>
      <c r="BN945" t="s">
        <v>74</v>
      </c>
      <c r="BO945" t="s">
        <v>1702</v>
      </c>
      <c r="BP945" t="s">
        <v>74</v>
      </c>
      <c r="BQ945" t="s">
        <v>74</v>
      </c>
      <c r="BR945" t="s">
        <v>106</v>
      </c>
      <c r="BS945" t="s">
        <v>18242</v>
      </c>
      <c r="BT945" t="str">
        <f>HYPERLINK("https%3A%2F%2Fwww.webofscience.com%2Fwos%2Fwoscc%2Ffull-record%2FWOS:000914126300001","View Full Record in Web of Science")</f>
        <v>View Full Record in Web of Science</v>
      </c>
    </row>
    <row r="946" spans="1:72" x14ac:dyDescent="0.15">
      <c r="A946" t="s">
        <v>72</v>
      </c>
      <c r="B946" t="s">
        <v>18243</v>
      </c>
      <c r="C946" t="s">
        <v>74</v>
      </c>
      <c r="D946" t="s">
        <v>74</v>
      </c>
      <c r="E946" t="s">
        <v>74</v>
      </c>
      <c r="F946" t="s">
        <v>18244</v>
      </c>
      <c r="G946" t="s">
        <v>74</v>
      </c>
      <c r="H946" t="s">
        <v>74</v>
      </c>
      <c r="I946" t="s">
        <v>18245</v>
      </c>
      <c r="J946" t="s">
        <v>3049</v>
      </c>
      <c r="K946" t="s">
        <v>74</v>
      </c>
      <c r="L946" t="s">
        <v>74</v>
      </c>
      <c r="M946" t="s">
        <v>78</v>
      </c>
      <c r="N946" t="s">
        <v>112</v>
      </c>
      <c r="O946" t="s">
        <v>74</v>
      </c>
      <c r="P946" t="s">
        <v>74</v>
      </c>
      <c r="Q946" t="s">
        <v>74</v>
      </c>
      <c r="R946" t="s">
        <v>74</v>
      </c>
      <c r="S946" t="s">
        <v>74</v>
      </c>
      <c r="T946" t="s">
        <v>18246</v>
      </c>
      <c r="U946" t="s">
        <v>18247</v>
      </c>
      <c r="V946" t="s">
        <v>18248</v>
      </c>
      <c r="W946" t="s">
        <v>18249</v>
      </c>
      <c r="X946" t="s">
        <v>18250</v>
      </c>
      <c r="Y946" t="s">
        <v>18251</v>
      </c>
      <c r="Z946" t="s">
        <v>2190</v>
      </c>
      <c r="AA946" t="s">
        <v>18252</v>
      </c>
      <c r="AB946" t="s">
        <v>18253</v>
      </c>
      <c r="AC946" t="s">
        <v>74</v>
      </c>
      <c r="AD946" t="s">
        <v>74</v>
      </c>
      <c r="AE946" t="s">
        <v>74</v>
      </c>
      <c r="AF946" t="s">
        <v>74</v>
      </c>
      <c r="AG946">
        <v>28</v>
      </c>
      <c r="AH946">
        <v>0</v>
      </c>
      <c r="AI946">
        <v>0</v>
      </c>
      <c r="AJ946">
        <v>1</v>
      </c>
      <c r="AK946">
        <v>5</v>
      </c>
      <c r="AL946" t="s">
        <v>1101</v>
      </c>
      <c r="AM946" t="s">
        <v>179</v>
      </c>
      <c r="AN946" t="s">
        <v>1543</v>
      </c>
      <c r="AO946" t="s">
        <v>3062</v>
      </c>
      <c r="AP946" t="s">
        <v>3063</v>
      </c>
      <c r="AQ946" t="s">
        <v>74</v>
      </c>
      <c r="AR946" t="s">
        <v>3064</v>
      </c>
      <c r="AS946" t="s">
        <v>3065</v>
      </c>
      <c r="AT946" t="s">
        <v>18221</v>
      </c>
      <c r="AU946">
        <v>2023</v>
      </c>
      <c r="AV946">
        <v>955</v>
      </c>
      <c r="AW946" t="s">
        <v>74</v>
      </c>
      <c r="AX946" t="s">
        <v>74</v>
      </c>
      <c r="AY946" t="s">
        <v>74</v>
      </c>
      <c r="AZ946" t="s">
        <v>74</v>
      </c>
      <c r="BA946" t="s">
        <v>74</v>
      </c>
      <c r="BB946" t="s">
        <v>74</v>
      </c>
      <c r="BC946" t="s">
        <v>74</v>
      </c>
      <c r="BD946" t="s">
        <v>18254</v>
      </c>
      <c r="BE946" t="s">
        <v>18255</v>
      </c>
      <c r="BF946" t="str">
        <f>HYPERLINK("http://dx.doi.org/10.1017/jfm.2022.1025","http://dx.doi.org/10.1017/jfm.2022.1025")</f>
        <v>http://dx.doi.org/10.1017/jfm.2022.1025</v>
      </c>
      <c r="BG946" t="s">
        <v>74</v>
      </c>
      <c r="BH946" t="s">
        <v>74</v>
      </c>
      <c r="BI946">
        <v>29</v>
      </c>
      <c r="BJ946" t="s">
        <v>3068</v>
      </c>
      <c r="BK946" t="s">
        <v>103</v>
      </c>
      <c r="BL946" t="s">
        <v>3069</v>
      </c>
      <c r="BM946" t="s">
        <v>18256</v>
      </c>
      <c r="BN946" t="s">
        <v>74</v>
      </c>
      <c r="BO946" t="s">
        <v>18257</v>
      </c>
      <c r="BP946" t="s">
        <v>74</v>
      </c>
      <c r="BQ946" t="s">
        <v>74</v>
      </c>
      <c r="BR946" t="s">
        <v>106</v>
      </c>
      <c r="BS946" t="s">
        <v>18258</v>
      </c>
      <c r="BT946" t="str">
        <f>HYPERLINK("https%3A%2F%2Fwww.webofscience.com%2Fwos%2Fwoscc%2Ffull-record%2FWOS:000944627600001","View Full Record in Web of Science")</f>
        <v>View Full Record in Web of Science</v>
      </c>
    </row>
    <row r="947" spans="1:72" x14ac:dyDescent="0.15">
      <c r="A947" t="s">
        <v>72</v>
      </c>
      <c r="B947" t="s">
        <v>18259</v>
      </c>
      <c r="C947" t="s">
        <v>74</v>
      </c>
      <c r="D947" t="s">
        <v>74</v>
      </c>
      <c r="E947" t="s">
        <v>74</v>
      </c>
      <c r="F947" t="s">
        <v>18260</v>
      </c>
      <c r="G947" t="s">
        <v>74</v>
      </c>
      <c r="H947" t="s">
        <v>74</v>
      </c>
      <c r="I947" t="s">
        <v>18261</v>
      </c>
      <c r="J947" t="s">
        <v>1685</v>
      </c>
      <c r="K947" t="s">
        <v>74</v>
      </c>
      <c r="L947" t="s">
        <v>74</v>
      </c>
      <c r="M947" t="s">
        <v>78</v>
      </c>
      <c r="N947" t="s">
        <v>112</v>
      </c>
      <c r="O947" t="s">
        <v>74</v>
      </c>
      <c r="P947" t="s">
        <v>74</v>
      </c>
      <c r="Q947" t="s">
        <v>74</v>
      </c>
      <c r="R947" t="s">
        <v>74</v>
      </c>
      <c r="S947" t="s">
        <v>74</v>
      </c>
      <c r="T947" t="s">
        <v>74</v>
      </c>
      <c r="U947" t="s">
        <v>18262</v>
      </c>
      <c r="V947" t="s">
        <v>18263</v>
      </c>
      <c r="W947" t="s">
        <v>18264</v>
      </c>
      <c r="X947" t="s">
        <v>18265</v>
      </c>
      <c r="Y947" t="s">
        <v>18266</v>
      </c>
      <c r="Z947" t="s">
        <v>18267</v>
      </c>
      <c r="AA947" t="s">
        <v>18268</v>
      </c>
      <c r="AB947" t="s">
        <v>18269</v>
      </c>
      <c r="AC947" t="s">
        <v>18270</v>
      </c>
      <c r="AD947" t="s">
        <v>18271</v>
      </c>
      <c r="AE947" t="s">
        <v>18272</v>
      </c>
      <c r="AF947" t="s">
        <v>74</v>
      </c>
      <c r="AG947">
        <v>85</v>
      </c>
      <c r="AH947">
        <v>6</v>
      </c>
      <c r="AI947">
        <v>7</v>
      </c>
      <c r="AJ947">
        <v>3</v>
      </c>
      <c r="AK947">
        <v>15</v>
      </c>
      <c r="AL947" t="s">
        <v>203</v>
      </c>
      <c r="AM947" t="s">
        <v>204</v>
      </c>
      <c r="AN947" t="s">
        <v>205</v>
      </c>
      <c r="AO947" t="s">
        <v>74</v>
      </c>
      <c r="AP947" t="s">
        <v>1696</v>
      </c>
      <c r="AQ947" t="s">
        <v>74</v>
      </c>
      <c r="AR947" t="s">
        <v>1697</v>
      </c>
      <c r="AS947" t="s">
        <v>1698</v>
      </c>
      <c r="AT947" t="s">
        <v>18221</v>
      </c>
      <c r="AU947">
        <v>2023</v>
      </c>
      <c r="AV947">
        <v>14</v>
      </c>
      <c r="AW947">
        <v>1</v>
      </c>
      <c r="AX947" t="s">
        <v>74</v>
      </c>
      <c r="AY947" t="s">
        <v>74</v>
      </c>
      <c r="AZ947" t="s">
        <v>74</v>
      </c>
      <c r="BA947" t="s">
        <v>74</v>
      </c>
      <c r="BB947" t="s">
        <v>74</v>
      </c>
      <c r="BC947" t="s">
        <v>74</v>
      </c>
      <c r="BD947">
        <v>93</v>
      </c>
      <c r="BE947" t="s">
        <v>18273</v>
      </c>
      <c r="BF947" t="str">
        <f>HYPERLINK("http://dx.doi.org/10.1038/s41467-022-35471-3","http://dx.doi.org/10.1038/s41467-022-35471-3")</f>
        <v>http://dx.doi.org/10.1038/s41467-022-35471-3</v>
      </c>
      <c r="BG947" t="s">
        <v>74</v>
      </c>
      <c r="BH947" t="s">
        <v>74</v>
      </c>
      <c r="BI947">
        <v>11</v>
      </c>
      <c r="BJ947" t="s">
        <v>210</v>
      </c>
      <c r="BK947" t="s">
        <v>103</v>
      </c>
      <c r="BL947" t="s">
        <v>211</v>
      </c>
      <c r="BM947" t="s">
        <v>18274</v>
      </c>
      <c r="BN947">
        <v>36646677</v>
      </c>
      <c r="BO947" t="s">
        <v>1702</v>
      </c>
      <c r="BP947" t="s">
        <v>74</v>
      </c>
      <c r="BQ947" t="s">
        <v>74</v>
      </c>
      <c r="BR947" t="s">
        <v>106</v>
      </c>
      <c r="BS947" t="s">
        <v>18275</v>
      </c>
      <c r="BT947" t="str">
        <f>HYPERLINK("https%3A%2F%2Fwww.webofscience.com%2Fwos%2Fwoscc%2Ffull-record%2FWOS:000936894300009","View Full Record in Web of Science")</f>
        <v>View Full Record in Web of Science</v>
      </c>
    </row>
    <row r="948" spans="1:72" x14ac:dyDescent="0.15">
      <c r="A948" t="s">
        <v>72</v>
      </c>
      <c r="B948" t="s">
        <v>18276</v>
      </c>
      <c r="C948" t="s">
        <v>74</v>
      </c>
      <c r="D948" t="s">
        <v>74</v>
      </c>
      <c r="E948" t="s">
        <v>74</v>
      </c>
      <c r="F948" t="s">
        <v>18277</v>
      </c>
      <c r="G948" t="s">
        <v>74</v>
      </c>
      <c r="H948" t="s">
        <v>74</v>
      </c>
      <c r="I948" t="s">
        <v>18278</v>
      </c>
      <c r="J948" t="s">
        <v>18279</v>
      </c>
      <c r="K948" t="s">
        <v>74</v>
      </c>
      <c r="L948" t="s">
        <v>74</v>
      </c>
      <c r="M948" t="s">
        <v>78</v>
      </c>
      <c r="N948" t="s">
        <v>112</v>
      </c>
      <c r="O948" t="s">
        <v>74</v>
      </c>
      <c r="P948" t="s">
        <v>74</v>
      </c>
      <c r="Q948" t="s">
        <v>74</v>
      </c>
      <c r="R948" t="s">
        <v>74</v>
      </c>
      <c r="S948" t="s">
        <v>74</v>
      </c>
      <c r="T948" t="s">
        <v>18280</v>
      </c>
      <c r="U948" t="s">
        <v>18281</v>
      </c>
      <c r="V948" t="s">
        <v>18282</v>
      </c>
      <c r="W948" t="s">
        <v>18283</v>
      </c>
      <c r="X948" t="s">
        <v>18284</v>
      </c>
      <c r="Y948" t="s">
        <v>18285</v>
      </c>
      <c r="Z948" t="s">
        <v>8464</v>
      </c>
      <c r="AA948" t="s">
        <v>18286</v>
      </c>
      <c r="AB948" t="s">
        <v>18287</v>
      </c>
      <c r="AC948" t="s">
        <v>74</v>
      </c>
      <c r="AD948" t="s">
        <v>74</v>
      </c>
      <c r="AE948" t="s">
        <v>74</v>
      </c>
      <c r="AF948" t="s">
        <v>74</v>
      </c>
      <c r="AG948">
        <v>79</v>
      </c>
      <c r="AH948">
        <v>0</v>
      </c>
      <c r="AI948">
        <v>0</v>
      </c>
      <c r="AJ948">
        <v>5</v>
      </c>
      <c r="AK948">
        <v>11</v>
      </c>
      <c r="AL948" t="s">
        <v>2092</v>
      </c>
      <c r="AM948" t="s">
        <v>2093</v>
      </c>
      <c r="AN948" t="s">
        <v>2094</v>
      </c>
      <c r="AO948" t="s">
        <v>18288</v>
      </c>
      <c r="AP948" t="s">
        <v>18289</v>
      </c>
      <c r="AQ948" t="s">
        <v>74</v>
      </c>
      <c r="AR948" t="s">
        <v>18290</v>
      </c>
      <c r="AS948" t="s">
        <v>18291</v>
      </c>
      <c r="AT948" t="s">
        <v>8042</v>
      </c>
      <c r="AU948">
        <v>2023</v>
      </c>
      <c r="AV948">
        <v>52</v>
      </c>
      <c r="AW948">
        <v>2</v>
      </c>
      <c r="AX948" t="s">
        <v>74</v>
      </c>
      <c r="AY948" t="s">
        <v>74</v>
      </c>
      <c r="AZ948" t="s">
        <v>74</v>
      </c>
      <c r="BA948" t="s">
        <v>74</v>
      </c>
      <c r="BB948">
        <v>136</v>
      </c>
      <c r="BC948">
        <v>153</v>
      </c>
      <c r="BD948" t="s">
        <v>74</v>
      </c>
      <c r="BE948" t="s">
        <v>18292</v>
      </c>
      <c r="BF948" t="str">
        <f>HYPERLINK("http://dx.doi.org/10.1111/zsc.12580","http://dx.doi.org/10.1111/zsc.12580")</f>
        <v>http://dx.doi.org/10.1111/zsc.12580</v>
      </c>
      <c r="BG948" t="s">
        <v>74</v>
      </c>
      <c r="BH948" t="s">
        <v>16484</v>
      </c>
      <c r="BI948">
        <v>18</v>
      </c>
      <c r="BJ948" t="s">
        <v>18293</v>
      </c>
      <c r="BK948" t="s">
        <v>103</v>
      </c>
      <c r="BL948" t="s">
        <v>18293</v>
      </c>
      <c r="BM948" t="s">
        <v>18294</v>
      </c>
      <c r="BN948" t="s">
        <v>74</v>
      </c>
      <c r="BO948" t="s">
        <v>74</v>
      </c>
      <c r="BP948" t="s">
        <v>74</v>
      </c>
      <c r="BQ948" t="s">
        <v>74</v>
      </c>
      <c r="BR948" t="s">
        <v>106</v>
      </c>
      <c r="BS948" t="s">
        <v>18295</v>
      </c>
      <c r="BT948" t="str">
        <f>HYPERLINK("https%3A%2F%2Fwww.webofscience.com%2Fwos%2Fwoscc%2Ffull-record%2FWOS:000914332500001","View Full Record in Web of Science")</f>
        <v>View Full Record in Web of Science</v>
      </c>
    </row>
    <row r="949" spans="1:72" x14ac:dyDescent="0.15">
      <c r="A949" t="s">
        <v>72</v>
      </c>
      <c r="B949" t="s">
        <v>18296</v>
      </c>
      <c r="C949" t="s">
        <v>74</v>
      </c>
      <c r="D949" t="s">
        <v>74</v>
      </c>
      <c r="E949" t="s">
        <v>74</v>
      </c>
      <c r="F949" t="s">
        <v>18297</v>
      </c>
      <c r="G949" t="s">
        <v>74</v>
      </c>
      <c r="H949" t="s">
        <v>74</v>
      </c>
      <c r="I949" t="s">
        <v>18298</v>
      </c>
      <c r="J949" t="s">
        <v>869</v>
      </c>
      <c r="K949" t="s">
        <v>74</v>
      </c>
      <c r="L949" t="s">
        <v>74</v>
      </c>
      <c r="M949" t="s">
        <v>78</v>
      </c>
      <c r="N949" t="s">
        <v>112</v>
      </c>
      <c r="O949" t="s">
        <v>74</v>
      </c>
      <c r="P949" t="s">
        <v>74</v>
      </c>
      <c r="Q949" t="s">
        <v>74</v>
      </c>
      <c r="R949" t="s">
        <v>74</v>
      </c>
      <c r="S949" t="s">
        <v>74</v>
      </c>
      <c r="T949" t="s">
        <v>18299</v>
      </c>
      <c r="U949" t="s">
        <v>18300</v>
      </c>
      <c r="V949" t="s">
        <v>18301</v>
      </c>
      <c r="W949" t="s">
        <v>18302</v>
      </c>
      <c r="X949" t="s">
        <v>18303</v>
      </c>
      <c r="Y949" t="s">
        <v>18304</v>
      </c>
      <c r="Z949" t="s">
        <v>18305</v>
      </c>
      <c r="AA949" t="s">
        <v>18306</v>
      </c>
      <c r="AB949" t="s">
        <v>18307</v>
      </c>
      <c r="AC949" t="s">
        <v>18308</v>
      </c>
      <c r="AD949" t="s">
        <v>18309</v>
      </c>
      <c r="AE949" t="s">
        <v>18310</v>
      </c>
      <c r="AF949" t="s">
        <v>74</v>
      </c>
      <c r="AG949">
        <v>86</v>
      </c>
      <c r="AH949">
        <v>4</v>
      </c>
      <c r="AI949">
        <v>4</v>
      </c>
      <c r="AJ949">
        <v>0</v>
      </c>
      <c r="AK949">
        <v>10</v>
      </c>
      <c r="AL949" t="s">
        <v>305</v>
      </c>
      <c r="AM949" t="s">
        <v>306</v>
      </c>
      <c r="AN949" t="s">
        <v>307</v>
      </c>
      <c r="AO949" t="s">
        <v>882</v>
      </c>
      <c r="AP949" t="s">
        <v>883</v>
      </c>
      <c r="AQ949" t="s">
        <v>74</v>
      </c>
      <c r="AR949" t="s">
        <v>884</v>
      </c>
      <c r="AS949" t="s">
        <v>885</v>
      </c>
      <c r="AT949" t="s">
        <v>18221</v>
      </c>
      <c r="AU949">
        <v>2023</v>
      </c>
      <c r="AV949">
        <v>128</v>
      </c>
      <c r="AW949">
        <v>1</v>
      </c>
      <c r="AX949" t="s">
        <v>74</v>
      </c>
      <c r="AY949" t="s">
        <v>74</v>
      </c>
      <c r="AZ949" t="s">
        <v>74</v>
      </c>
      <c r="BA949" t="s">
        <v>74</v>
      </c>
      <c r="BB949" t="s">
        <v>74</v>
      </c>
      <c r="BC949" t="s">
        <v>74</v>
      </c>
      <c r="BD949" t="s">
        <v>18311</v>
      </c>
      <c r="BE949" t="s">
        <v>18312</v>
      </c>
      <c r="BF949" t="str">
        <f>HYPERLINK("http://dx.doi.org/10.1029/2022JD037190","http://dx.doi.org/10.1029/2022JD037190")</f>
        <v>http://dx.doi.org/10.1029/2022JD037190</v>
      </c>
      <c r="BG949" t="s">
        <v>74</v>
      </c>
      <c r="BH949" t="s">
        <v>74</v>
      </c>
      <c r="BI949">
        <v>18</v>
      </c>
      <c r="BJ949" t="s">
        <v>102</v>
      </c>
      <c r="BK949" t="s">
        <v>103</v>
      </c>
      <c r="BL949" t="s">
        <v>102</v>
      </c>
      <c r="BM949" t="s">
        <v>18313</v>
      </c>
      <c r="BN949" t="s">
        <v>74</v>
      </c>
      <c r="BO949" t="s">
        <v>387</v>
      </c>
      <c r="BP949" t="s">
        <v>74</v>
      </c>
      <c r="BQ949" t="s">
        <v>74</v>
      </c>
      <c r="BR949" t="s">
        <v>106</v>
      </c>
      <c r="BS949" t="s">
        <v>18314</v>
      </c>
      <c r="BT949" t="str">
        <f>HYPERLINK("https%3A%2F%2Fwww.webofscience.com%2Fwos%2Fwoscc%2Ffull-record%2FWOS:000934027900001","View Full Record in Web of Science")</f>
        <v>View Full Record in Web of Science</v>
      </c>
    </row>
    <row r="950" spans="1:72" x14ac:dyDescent="0.15">
      <c r="A950" t="s">
        <v>72</v>
      </c>
      <c r="B950" t="s">
        <v>18315</v>
      </c>
      <c r="C950" t="s">
        <v>74</v>
      </c>
      <c r="D950" t="s">
        <v>74</v>
      </c>
      <c r="E950" t="s">
        <v>74</v>
      </c>
      <c r="F950" t="s">
        <v>18316</v>
      </c>
      <c r="G950" t="s">
        <v>74</v>
      </c>
      <c r="H950" t="s">
        <v>74</v>
      </c>
      <c r="I950" t="s">
        <v>18317</v>
      </c>
      <c r="J950" t="s">
        <v>4311</v>
      </c>
      <c r="K950" t="s">
        <v>74</v>
      </c>
      <c r="L950" t="s">
        <v>74</v>
      </c>
      <c r="M950" t="s">
        <v>78</v>
      </c>
      <c r="N950" t="s">
        <v>112</v>
      </c>
      <c r="O950" t="s">
        <v>74</v>
      </c>
      <c r="P950" t="s">
        <v>74</v>
      </c>
      <c r="Q950" t="s">
        <v>74</v>
      </c>
      <c r="R950" t="s">
        <v>74</v>
      </c>
      <c r="S950" t="s">
        <v>74</v>
      </c>
      <c r="T950" t="s">
        <v>18318</v>
      </c>
      <c r="U950" t="s">
        <v>18319</v>
      </c>
      <c r="V950" t="s">
        <v>18320</v>
      </c>
      <c r="W950" t="s">
        <v>18321</v>
      </c>
      <c r="X950" t="s">
        <v>18322</v>
      </c>
      <c r="Y950" t="s">
        <v>18323</v>
      </c>
      <c r="Z950" t="s">
        <v>18324</v>
      </c>
      <c r="AA950" t="s">
        <v>18325</v>
      </c>
      <c r="AB950" t="s">
        <v>18326</v>
      </c>
      <c r="AC950" t="s">
        <v>18327</v>
      </c>
      <c r="AD950" t="s">
        <v>18328</v>
      </c>
      <c r="AE950" t="s">
        <v>18329</v>
      </c>
      <c r="AF950" t="s">
        <v>74</v>
      </c>
      <c r="AG950">
        <v>62</v>
      </c>
      <c r="AH950">
        <v>10</v>
      </c>
      <c r="AI950">
        <v>10</v>
      </c>
      <c r="AJ950">
        <v>125</v>
      </c>
      <c r="AK950">
        <v>255</v>
      </c>
      <c r="AL950" t="s">
        <v>3119</v>
      </c>
      <c r="AM950" t="s">
        <v>306</v>
      </c>
      <c r="AN950" t="s">
        <v>3120</v>
      </c>
      <c r="AO950" t="s">
        <v>4323</v>
      </c>
      <c r="AP950" t="s">
        <v>4324</v>
      </c>
      <c r="AQ950" t="s">
        <v>74</v>
      </c>
      <c r="AR950" t="s">
        <v>4325</v>
      </c>
      <c r="AS950" t="s">
        <v>4326</v>
      </c>
      <c r="AT950" t="s">
        <v>18221</v>
      </c>
      <c r="AU950">
        <v>2023</v>
      </c>
      <c r="AV950">
        <v>57</v>
      </c>
      <c r="AW950">
        <v>5</v>
      </c>
      <c r="AX950" t="s">
        <v>74</v>
      </c>
      <c r="AY950" t="s">
        <v>74</v>
      </c>
      <c r="AZ950" t="s">
        <v>74</v>
      </c>
      <c r="BA950" t="s">
        <v>74</v>
      </c>
      <c r="BB950">
        <v>1919</v>
      </c>
      <c r="BC950">
        <v>1929</v>
      </c>
      <c r="BD950" t="s">
        <v>74</v>
      </c>
      <c r="BE950" t="s">
        <v>18330</v>
      </c>
      <c r="BF950" t="str">
        <f>HYPERLINK("http://dx.doi.org/10.1021/acs.est.2c06747","http://dx.doi.org/10.1021/acs.est.2c06747")</f>
        <v>http://dx.doi.org/10.1021/acs.est.2c06747</v>
      </c>
      <c r="BG950" t="s">
        <v>74</v>
      </c>
      <c r="BH950" t="s">
        <v>16484</v>
      </c>
      <c r="BI950">
        <v>11</v>
      </c>
      <c r="BJ950" t="s">
        <v>1985</v>
      </c>
      <c r="BK950" t="s">
        <v>103</v>
      </c>
      <c r="BL950" t="s">
        <v>1986</v>
      </c>
      <c r="BM950" t="s">
        <v>18331</v>
      </c>
      <c r="BN950">
        <v>36646647</v>
      </c>
      <c r="BO950" t="s">
        <v>74</v>
      </c>
      <c r="BP950" t="s">
        <v>74</v>
      </c>
      <c r="BQ950" t="s">
        <v>74</v>
      </c>
      <c r="BR950" t="s">
        <v>106</v>
      </c>
      <c r="BS950" t="s">
        <v>18332</v>
      </c>
      <c r="BT950" t="str">
        <f>HYPERLINK("https%3A%2F%2Fwww.webofscience.com%2Fwos%2Fwoscc%2Ffull-record%2FWOS:000921872300001","View Full Record in Web of Science")</f>
        <v>View Full Record in Web of Science</v>
      </c>
    </row>
    <row r="951" spans="1:72" x14ac:dyDescent="0.15">
      <c r="A951" t="s">
        <v>72</v>
      </c>
      <c r="B951" t="s">
        <v>18333</v>
      </c>
      <c r="C951" t="s">
        <v>74</v>
      </c>
      <c r="D951" t="s">
        <v>74</v>
      </c>
      <c r="E951" t="s">
        <v>74</v>
      </c>
      <c r="F951" t="s">
        <v>18334</v>
      </c>
      <c r="G951" t="s">
        <v>74</v>
      </c>
      <c r="H951" t="s">
        <v>74</v>
      </c>
      <c r="I951" t="s">
        <v>18335</v>
      </c>
      <c r="J951" t="s">
        <v>643</v>
      </c>
      <c r="K951" t="s">
        <v>74</v>
      </c>
      <c r="L951" t="s">
        <v>74</v>
      </c>
      <c r="M951" t="s">
        <v>78</v>
      </c>
      <c r="N951" t="s">
        <v>112</v>
      </c>
      <c r="O951" t="s">
        <v>74</v>
      </c>
      <c r="P951" t="s">
        <v>74</v>
      </c>
      <c r="Q951" t="s">
        <v>74</v>
      </c>
      <c r="R951" t="s">
        <v>74</v>
      </c>
      <c r="S951" t="s">
        <v>74</v>
      </c>
      <c r="T951" t="s">
        <v>74</v>
      </c>
      <c r="U951" t="s">
        <v>18336</v>
      </c>
      <c r="V951" t="s">
        <v>18337</v>
      </c>
      <c r="W951" t="s">
        <v>18338</v>
      </c>
      <c r="X951" t="s">
        <v>18339</v>
      </c>
      <c r="Y951" t="s">
        <v>18340</v>
      </c>
      <c r="Z951" t="s">
        <v>18341</v>
      </c>
      <c r="AA951" t="s">
        <v>18342</v>
      </c>
      <c r="AB951" t="s">
        <v>18343</v>
      </c>
      <c r="AC951" t="s">
        <v>18344</v>
      </c>
      <c r="AD951" t="s">
        <v>18345</v>
      </c>
      <c r="AE951" t="s">
        <v>18346</v>
      </c>
      <c r="AF951" t="s">
        <v>74</v>
      </c>
      <c r="AG951">
        <v>73</v>
      </c>
      <c r="AH951">
        <v>2</v>
      </c>
      <c r="AI951">
        <v>2</v>
      </c>
      <c r="AJ951">
        <v>1</v>
      </c>
      <c r="AK951">
        <v>6</v>
      </c>
      <c r="AL951" t="s">
        <v>305</v>
      </c>
      <c r="AM951" t="s">
        <v>306</v>
      </c>
      <c r="AN951" t="s">
        <v>307</v>
      </c>
      <c r="AO951" t="s">
        <v>656</v>
      </c>
      <c r="AP951" t="s">
        <v>657</v>
      </c>
      <c r="AQ951" t="s">
        <v>74</v>
      </c>
      <c r="AR951" t="s">
        <v>658</v>
      </c>
      <c r="AS951" t="s">
        <v>659</v>
      </c>
      <c r="AT951" t="s">
        <v>18221</v>
      </c>
      <c r="AU951">
        <v>2023</v>
      </c>
      <c r="AV951">
        <v>50</v>
      </c>
      <c r="AW951">
        <v>1</v>
      </c>
      <c r="AX951" t="s">
        <v>74</v>
      </c>
      <c r="AY951" t="s">
        <v>74</v>
      </c>
      <c r="AZ951" t="s">
        <v>74</v>
      </c>
      <c r="BA951" t="s">
        <v>74</v>
      </c>
      <c r="BB951" t="s">
        <v>74</v>
      </c>
      <c r="BC951" t="s">
        <v>74</v>
      </c>
      <c r="BD951" t="s">
        <v>74</v>
      </c>
      <c r="BE951" t="s">
        <v>18347</v>
      </c>
      <c r="BF951" t="str">
        <f>HYPERLINK("http://dx.doi.org/10.1029/2022GL101750","http://dx.doi.org/10.1029/2022GL101750")</f>
        <v>http://dx.doi.org/10.1029/2022GL101750</v>
      </c>
      <c r="BG951" t="s">
        <v>74</v>
      </c>
      <c r="BH951" t="s">
        <v>74</v>
      </c>
      <c r="BI951">
        <v>12</v>
      </c>
      <c r="BJ951" t="s">
        <v>261</v>
      </c>
      <c r="BK951" t="s">
        <v>103</v>
      </c>
      <c r="BL951" t="s">
        <v>262</v>
      </c>
      <c r="BM951" t="s">
        <v>18348</v>
      </c>
      <c r="BN951" t="s">
        <v>74</v>
      </c>
      <c r="BO951" t="s">
        <v>387</v>
      </c>
      <c r="BP951" t="s">
        <v>74</v>
      </c>
      <c r="BQ951" t="s">
        <v>74</v>
      </c>
      <c r="BR951" t="s">
        <v>106</v>
      </c>
      <c r="BS951" t="s">
        <v>18349</v>
      </c>
      <c r="BT951" t="str">
        <f>HYPERLINK("https%3A%2F%2Fwww.webofscience.com%2Fwos%2Fwoscc%2Ffull-record%2FWOS:000916264900031","View Full Record in Web of Science")</f>
        <v>View Full Record in Web of Science</v>
      </c>
    </row>
    <row r="952" spans="1:72" x14ac:dyDescent="0.15">
      <c r="A952" t="s">
        <v>72</v>
      </c>
      <c r="B952" t="s">
        <v>18350</v>
      </c>
      <c r="C952" t="s">
        <v>74</v>
      </c>
      <c r="D952" t="s">
        <v>74</v>
      </c>
      <c r="E952" t="s">
        <v>74</v>
      </c>
      <c r="F952" t="s">
        <v>18351</v>
      </c>
      <c r="G952" t="s">
        <v>74</v>
      </c>
      <c r="H952" t="s">
        <v>74</v>
      </c>
      <c r="I952" t="s">
        <v>18352</v>
      </c>
      <c r="J952" t="s">
        <v>8843</v>
      </c>
      <c r="K952" t="s">
        <v>74</v>
      </c>
      <c r="L952" t="s">
        <v>74</v>
      </c>
      <c r="M952" t="s">
        <v>78</v>
      </c>
      <c r="N952" t="s">
        <v>112</v>
      </c>
      <c r="O952" t="s">
        <v>74</v>
      </c>
      <c r="P952" t="s">
        <v>74</v>
      </c>
      <c r="Q952" t="s">
        <v>74</v>
      </c>
      <c r="R952" t="s">
        <v>74</v>
      </c>
      <c r="S952" t="s">
        <v>74</v>
      </c>
      <c r="T952" t="s">
        <v>18353</v>
      </c>
      <c r="U952" t="s">
        <v>18354</v>
      </c>
      <c r="V952" t="s">
        <v>18355</v>
      </c>
      <c r="W952" t="s">
        <v>18356</v>
      </c>
      <c r="X952" t="s">
        <v>18357</v>
      </c>
      <c r="Y952" t="s">
        <v>18358</v>
      </c>
      <c r="Z952" t="s">
        <v>18359</v>
      </c>
      <c r="AA952" t="s">
        <v>74</v>
      </c>
      <c r="AB952" t="s">
        <v>74</v>
      </c>
      <c r="AC952" t="s">
        <v>18360</v>
      </c>
      <c r="AD952" t="s">
        <v>18361</v>
      </c>
      <c r="AE952" t="s">
        <v>18362</v>
      </c>
      <c r="AF952" t="s">
        <v>74</v>
      </c>
      <c r="AG952">
        <v>143</v>
      </c>
      <c r="AH952">
        <v>4</v>
      </c>
      <c r="AI952">
        <v>4</v>
      </c>
      <c r="AJ952">
        <v>0</v>
      </c>
      <c r="AK952">
        <v>7</v>
      </c>
      <c r="AL952" t="s">
        <v>447</v>
      </c>
      <c r="AM952" t="s">
        <v>448</v>
      </c>
      <c r="AN952" t="s">
        <v>449</v>
      </c>
      <c r="AO952" t="s">
        <v>8854</v>
      </c>
      <c r="AP952" t="s">
        <v>8855</v>
      </c>
      <c r="AQ952" t="s">
        <v>74</v>
      </c>
      <c r="AR952" t="s">
        <v>8843</v>
      </c>
      <c r="AS952" t="s">
        <v>8856</v>
      </c>
      <c r="AT952" t="s">
        <v>18363</v>
      </c>
      <c r="AU952">
        <v>2023</v>
      </c>
      <c r="AV952">
        <v>848</v>
      </c>
      <c r="AW952" t="s">
        <v>74</v>
      </c>
      <c r="AX952" t="s">
        <v>74</v>
      </c>
      <c r="AY952" t="s">
        <v>74</v>
      </c>
      <c r="AZ952" t="s">
        <v>74</v>
      </c>
      <c r="BA952" t="s">
        <v>74</v>
      </c>
      <c r="BB952" t="s">
        <v>74</v>
      </c>
      <c r="BC952" t="s">
        <v>74</v>
      </c>
      <c r="BD952">
        <v>229705</v>
      </c>
      <c r="BE952" t="s">
        <v>18364</v>
      </c>
      <c r="BF952" t="str">
        <f>HYPERLINK("http://dx.doi.org/10.1016/j.tecto.2023.229705","http://dx.doi.org/10.1016/j.tecto.2023.229705")</f>
        <v>http://dx.doi.org/10.1016/j.tecto.2023.229705</v>
      </c>
      <c r="BG952" t="s">
        <v>74</v>
      </c>
      <c r="BH952" t="s">
        <v>16484</v>
      </c>
      <c r="BI952">
        <v>25</v>
      </c>
      <c r="BJ952" t="s">
        <v>313</v>
      </c>
      <c r="BK952" t="s">
        <v>103</v>
      </c>
      <c r="BL952" t="s">
        <v>313</v>
      </c>
      <c r="BM952" t="s">
        <v>18365</v>
      </c>
      <c r="BN952" t="s">
        <v>74</v>
      </c>
      <c r="BO952" t="s">
        <v>74</v>
      </c>
      <c r="BP952" t="s">
        <v>74</v>
      </c>
      <c r="BQ952" t="s">
        <v>74</v>
      </c>
      <c r="BR952" t="s">
        <v>106</v>
      </c>
      <c r="BS952" t="s">
        <v>18366</v>
      </c>
      <c r="BT952" t="str">
        <f>HYPERLINK("https%3A%2F%2Fwww.webofscience.com%2Fwos%2Fwoscc%2Ffull-record%2FWOS:000923840200001","View Full Record in Web of Science")</f>
        <v>View Full Record in Web of Science</v>
      </c>
    </row>
    <row r="953" spans="1:72" x14ac:dyDescent="0.15">
      <c r="A953" t="s">
        <v>72</v>
      </c>
      <c r="B953" t="s">
        <v>18367</v>
      </c>
      <c r="C953" t="s">
        <v>74</v>
      </c>
      <c r="D953" t="s">
        <v>74</v>
      </c>
      <c r="E953" t="s">
        <v>74</v>
      </c>
      <c r="F953" t="s">
        <v>18368</v>
      </c>
      <c r="G953" t="s">
        <v>74</v>
      </c>
      <c r="H953" t="s">
        <v>74</v>
      </c>
      <c r="I953" t="s">
        <v>18369</v>
      </c>
      <c r="J953" t="s">
        <v>18003</v>
      </c>
      <c r="K953" t="s">
        <v>74</v>
      </c>
      <c r="L953" t="s">
        <v>74</v>
      </c>
      <c r="M953" t="s">
        <v>78</v>
      </c>
      <c r="N953" t="s">
        <v>112</v>
      </c>
      <c r="O953" t="s">
        <v>74</v>
      </c>
      <c r="P953" t="s">
        <v>74</v>
      </c>
      <c r="Q953" t="s">
        <v>74</v>
      </c>
      <c r="R953" t="s">
        <v>74</v>
      </c>
      <c r="S953" t="s">
        <v>74</v>
      </c>
      <c r="T953" t="s">
        <v>18370</v>
      </c>
      <c r="U953" t="s">
        <v>18371</v>
      </c>
      <c r="V953" t="s">
        <v>18372</v>
      </c>
      <c r="W953" t="s">
        <v>18373</v>
      </c>
      <c r="X953" t="s">
        <v>18374</v>
      </c>
      <c r="Y953" t="s">
        <v>18375</v>
      </c>
      <c r="Z953" t="s">
        <v>18376</v>
      </c>
      <c r="AA953" t="s">
        <v>18377</v>
      </c>
      <c r="AB953" t="s">
        <v>18378</v>
      </c>
      <c r="AC953" t="s">
        <v>74</v>
      </c>
      <c r="AD953" t="s">
        <v>74</v>
      </c>
      <c r="AE953" t="s">
        <v>74</v>
      </c>
      <c r="AF953" t="s">
        <v>74</v>
      </c>
      <c r="AG953">
        <v>63</v>
      </c>
      <c r="AH953">
        <v>1</v>
      </c>
      <c r="AI953">
        <v>1</v>
      </c>
      <c r="AJ953">
        <v>6</v>
      </c>
      <c r="AK953">
        <v>7</v>
      </c>
      <c r="AL953" t="s">
        <v>2092</v>
      </c>
      <c r="AM953" t="s">
        <v>2093</v>
      </c>
      <c r="AN953" t="s">
        <v>2094</v>
      </c>
      <c r="AO953" t="s">
        <v>18010</v>
      </c>
      <c r="AP953" t="s">
        <v>18011</v>
      </c>
      <c r="AQ953" t="s">
        <v>74</v>
      </c>
      <c r="AR953" t="s">
        <v>18012</v>
      </c>
      <c r="AS953" t="s">
        <v>18013</v>
      </c>
      <c r="AT953" t="s">
        <v>8042</v>
      </c>
      <c r="AU953">
        <v>2023</v>
      </c>
      <c r="AV953">
        <v>189</v>
      </c>
      <c r="AW953">
        <v>1</v>
      </c>
      <c r="AX953" t="s">
        <v>74</v>
      </c>
      <c r="AY953" t="s">
        <v>74</v>
      </c>
      <c r="AZ953" t="s">
        <v>74</v>
      </c>
      <c r="BA953" t="s">
        <v>74</v>
      </c>
      <c r="BB953">
        <v>49</v>
      </c>
      <c r="BC953">
        <v>62</v>
      </c>
      <c r="BD953" t="s">
        <v>74</v>
      </c>
      <c r="BE953" t="s">
        <v>18379</v>
      </c>
      <c r="BF953" t="str">
        <f>HYPERLINK("http://dx.doi.org/10.1111/geoj.12502","http://dx.doi.org/10.1111/geoj.12502")</f>
        <v>http://dx.doi.org/10.1111/geoj.12502</v>
      </c>
      <c r="BG953" t="s">
        <v>74</v>
      </c>
      <c r="BH953" t="s">
        <v>16484</v>
      </c>
      <c r="BI953">
        <v>14</v>
      </c>
      <c r="BJ953" t="s">
        <v>18015</v>
      </c>
      <c r="BK953" t="s">
        <v>1440</v>
      </c>
      <c r="BL953" t="s">
        <v>18015</v>
      </c>
      <c r="BM953" t="s">
        <v>18016</v>
      </c>
      <c r="BN953" t="s">
        <v>74</v>
      </c>
      <c r="BO953" t="s">
        <v>430</v>
      </c>
      <c r="BP953" t="s">
        <v>74</v>
      </c>
      <c r="BQ953" t="s">
        <v>74</v>
      </c>
      <c r="BR953" t="s">
        <v>106</v>
      </c>
      <c r="BS953" t="s">
        <v>18380</v>
      </c>
      <c r="BT953" t="str">
        <f>HYPERLINK("https%3A%2F%2Fwww.webofscience.com%2Fwos%2Fwoscc%2Ffull-record%2FWOS:000916506600001","View Full Record in Web of Science")</f>
        <v>View Full Record in Web of Science</v>
      </c>
    </row>
    <row r="954" spans="1:72" x14ac:dyDescent="0.15">
      <c r="A954" t="s">
        <v>72</v>
      </c>
      <c r="B954" t="s">
        <v>18381</v>
      </c>
      <c r="C954" t="s">
        <v>74</v>
      </c>
      <c r="D954" t="s">
        <v>74</v>
      </c>
      <c r="E954" t="s">
        <v>74</v>
      </c>
      <c r="F954" t="s">
        <v>18382</v>
      </c>
      <c r="G954" t="s">
        <v>74</v>
      </c>
      <c r="H954" t="s">
        <v>74</v>
      </c>
      <c r="I954" t="s">
        <v>18383</v>
      </c>
      <c r="J954" t="s">
        <v>2772</v>
      </c>
      <c r="K954" t="s">
        <v>74</v>
      </c>
      <c r="L954" t="s">
        <v>74</v>
      </c>
      <c r="M954" t="s">
        <v>78</v>
      </c>
      <c r="N954" t="s">
        <v>365</v>
      </c>
      <c r="O954" t="s">
        <v>74</v>
      </c>
      <c r="P954" t="s">
        <v>74</v>
      </c>
      <c r="Q954" t="s">
        <v>74</v>
      </c>
      <c r="R954" t="s">
        <v>74</v>
      </c>
      <c r="S954" t="s">
        <v>74</v>
      </c>
      <c r="T954" t="s">
        <v>18384</v>
      </c>
      <c r="U954" t="s">
        <v>18385</v>
      </c>
      <c r="V954" t="s">
        <v>18386</v>
      </c>
      <c r="W954" t="s">
        <v>18387</v>
      </c>
      <c r="X954" t="s">
        <v>18388</v>
      </c>
      <c r="Y954" t="s">
        <v>2778</v>
      </c>
      <c r="Z954" t="s">
        <v>2779</v>
      </c>
      <c r="AA954" t="s">
        <v>74</v>
      </c>
      <c r="AB954" t="s">
        <v>18389</v>
      </c>
      <c r="AC954" t="s">
        <v>18390</v>
      </c>
      <c r="AD954" t="s">
        <v>18391</v>
      </c>
      <c r="AE954" t="s">
        <v>18392</v>
      </c>
      <c r="AF954" t="s">
        <v>74</v>
      </c>
      <c r="AG954">
        <v>102</v>
      </c>
      <c r="AH954">
        <v>1</v>
      </c>
      <c r="AI954">
        <v>1</v>
      </c>
      <c r="AJ954">
        <v>5</v>
      </c>
      <c r="AK954">
        <v>12</v>
      </c>
      <c r="AL954" t="s">
        <v>1101</v>
      </c>
      <c r="AM954" t="s">
        <v>1102</v>
      </c>
      <c r="AN954" t="s">
        <v>1103</v>
      </c>
      <c r="AO954" t="s">
        <v>2785</v>
      </c>
      <c r="AP954" t="s">
        <v>2786</v>
      </c>
      <c r="AQ954" t="s">
        <v>74</v>
      </c>
      <c r="AR954" t="s">
        <v>2787</v>
      </c>
      <c r="AS954" t="s">
        <v>2788</v>
      </c>
      <c r="AT954" t="s">
        <v>507</v>
      </c>
      <c r="AU954">
        <v>2023</v>
      </c>
      <c r="AV954">
        <v>69</v>
      </c>
      <c r="AW954">
        <v>276</v>
      </c>
      <c r="AX954" t="s">
        <v>74</v>
      </c>
      <c r="AY954" t="s">
        <v>74</v>
      </c>
      <c r="AZ954" t="s">
        <v>74</v>
      </c>
      <c r="BA954" t="s">
        <v>74</v>
      </c>
      <c r="BB954">
        <v>953</v>
      </c>
      <c r="BC954">
        <v>965</v>
      </c>
      <c r="BD954" t="s">
        <v>18393</v>
      </c>
      <c r="BE954" t="s">
        <v>18394</v>
      </c>
      <c r="BF954" t="str">
        <f>HYPERLINK("http://dx.doi.org/10.1017/jog.2022.115","http://dx.doi.org/10.1017/jog.2022.115")</f>
        <v>http://dx.doi.org/10.1017/jog.2022.115</v>
      </c>
      <c r="BG954" t="s">
        <v>74</v>
      </c>
      <c r="BH954" t="s">
        <v>16484</v>
      </c>
      <c r="BI954">
        <v>13</v>
      </c>
      <c r="BJ954" t="s">
        <v>801</v>
      </c>
      <c r="BK954" t="s">
        <v>103</v>
      </c>
      <c r="BL954" t="s">
        <v>802</v>
      </c>
      <c r="BM954" t="s">
        <v>18395</v>
      </c>
      <c r="BN954" t="s">
        <v>74</v>
      </c>
      <c r="BO954" t="s">
        <v>359</v>
      </c>
      <c r="BP954" t="s">
        <v>74</v>
      </c>
      <c r="BQ954" t="s">
        <v>74</v>
      </c>
      <c r="BR954" t="s">
        <v>106</v>
      </c>
      <c r="BS954" t="s">
        <v>18396</v>
      </c>
      <c r="BT954" t="str">
        <f>HYPERLINK("https%3A%2F%2Fwww.webofscience.com%2Fwos%2Fwoscc%2Ffull-record%2FWOS:000914256500001","View Full Record in Web of Science")</f>
        <v>View Full Record in Web of Science</v>
      </c>
    </row>
    <row r="955" spans="1:72" x14ac:dyDescent="0.15">
      <c r="A955" t="s">
        <v>72</v>
      </c>
      <c r="B955" t="s">
        <v>18397</v>
      </c>
      <c r="C955" t="s">
        <v>74</v>
      </c>
      <c r="D955" t="s">
        <v>74</v>
      </c>
      <c r="E955" t="s">
        <v>74</v>
      </c>
      <c r="F955" t="s">
        <v>18398</v>
      </c>
      <c r="G955" t="s">
        <v>74</v>
      </c>
      <c r="H955" t="s">
        <v>74</v>
      </c>
      <c r="I955" t="s">
        <v>18399</v>
      </c>
      <c r="J955" t="s">
        <v>18400</v>
      </c>
      <c r="K955" t="s">
        <v>74</v>
      </c>
      <c r="L955" t="s">
        <v>74</v>
      </c>
      <c r="M955" t="s">
        <v>78</v>
      </c>
      <c r="N955" t="s">
        <v>112</v>
      </c>
      <c r="O955" t="s">
        <v>74</v>
      </c>
      <c r="P955" t="s">
        <v>74</v>
      </c>
      <c r="Q955" t="s">
        <v>74</v>
      </c>
      <c r="R955" t="s">
        <v>74</v>
      </c>
      <c r="S955" t="s">
        <v>74</v>
      </c>
      <c r="T955" t="s">
        <v>18401</v>
      </c>
      <c r="U955" t="s">
        <v>18402</v>
      </c>
      <c r="V955" t="s">
        <v>18403</v>
      </c>
      <c r="W955" t="s">
        <v>18404</v>
      </c>
      <c r="X955" t="s">
        <v>18405</v>
      </c>
      <c r="Y955" t="s">
        <v>18406</v>
      </c>
      <c r="Z955" t="s">
        <v>18407</v>
      </c>
      <c r="AA955" t="s">
        <v>18408</v>
      </c>
      <c r="AB955" t="s">
        <v>18409</v>
      </c>
      <c r="AC955" t="s">
        <v>18410</v>
      </c>
      <c r="AD955" t="s">
        <v>18411</v>
      </c>
      <c r="AE955" t="s">
        <v>18412</v>
      </c>
      <c r="AF955" t="s">
        <v>74</v>
      </c>
      <c r="AG955">
        <v>59</v>
      </c>
      <c r="AH955">
        <v>18</v>
      </c>
      <c r="AI955">
        <v>18</v>
      </c>
      <c r="AJ955">
        <v>19</v>
      </c>
      <c r="AK955">
        <v>40</v>
      </c>
      <c r="AL955" t="s">
        <v>768</v>
      </c>
      <c r="AM955" t="s">
        <v>2866</v>
      </c>
      <c r="AN955" t="s">
        <v>2867</v>
      </c>
      <c r="AO955" t="s">
        <v>18413</v>
      </c>
      <c r="AP955" t="s">
        <v>18414</v>
      </c>
      <c r="AQ955" t="s">
        <v>74</v>
      </c>
      <c r="AR955" t="s">
        <v>18415</v>
      </c>
      <c r="AS955" t="s">
        <v>18416</v>
      </c>
      <c r="AT955" t="s">
        <v>1437</v>
      </c>
      <c r="AU955">
        <v>2023</v>
      </c>
      <c r="AV955">
        <v>24</v>
      </c>
      <c r="AW955">
        <v>2</v>
      </c>
      <c r="AX955" t="s">
        <v>74</v>
      </c>
      <c r="AY955" t="s">
        <v>74</v>
      </c>
      <c r="AZ955" t="s">
        <v>74</v>
      </c>
      <c r="BA955" t="s">
        <v>74</v>
      </c>
      <c r="BB955">
        <v>181</v>
      </c>
      <c r="BC955">
        <v>191</v>
      </c>
      <c r="BD955" t="s">
        <v>74</v>
      </c>
      <c r="BE955" t="s">
        <v>18417</v>
      </c>
      <c r="BF955" t="str">
        <f>HYPERLINK("http://dx.doi.org/10.1007/s10592-022-01492-0","http://dx.doi.org/10.1007/s10592-022-01492-0")</f>
        <v>http://dx.doi.org/10.1007/s10592-022-01492-0</v>
      </c>
      <c r="BG955" t="s">
        <v>74</v>
      </c>
      <c r="BH955" t="s">
        <v>16484</v>
      </c>
      <c r="BI955">
        <v>11</v>
      </c>
      <c r="BJ955" t="s">
        <v>18418</v>
      </c>
      <c r="BK955" t="s">
        <v>103</v>
      </c>
      <c r="BL955" t="s">
        <v>18419</v>
      </c>
      <c r="BM955" t="s">
        <v>18420</v>
      </c>
      <c r="BN955">
        <v>36683963</v>
      </c>
      <c r="BO955" t="s">
        <v>3931</v>
      </c>
      <c r="BP955" t="s">
        <v>1849</v>
      </c>
      <c r="BQ955" t="s">
        <v>1850</v>
      </c>
      <c r="BR955" t="s">
        <v>106</v>
      </c>
      <c r="BS955" t="s">
        <v>18421</v>
      </c>
      <c r="BT955" t="str">
        <f>HYPERLINK("https%3A%2F%2Fwww.webofscience.com%2Fwos%2Fwoscc%2Ffull-record%2FWOS:000914363000001","View Full Record in Web of Science")</f>
        <v>View Full Record in Web of Science</v>
      </c>
    </row>
    <row r="956" spans="1:72" x14ac:dyDescent="0.15">
      <c r="A956" t="s">
        <v>72</v>
      </c>
      <c r="B956" t="s">
        <v>18422</v>
      </c>
      <c r="C956" t="s">
        <v>74</v>
      </c>
      <c r="D956" t="s">
        <v>74</v>
      </c>
      <c r="E956" t="s">
        <v>74</v>
      </c>
      <c r="F956" t="s">
        <v>18423</v>
      </c>
      <c r="G956" t="s">
        <v>74</v>
      </c>
      <c r="H956" t="s">
        <v>74</v>
      </c>
      <c r="I956" t="s">
        <v>18424</v>
      </c>
      <c r="J956" t="s">
        <v>782</v>
      </c>
      <c r="K956" t="s">
        <v>74</v>
      </c>
      <c r="L956" t="s">
        <v>74</v>
      </c>
      <c r="M956" t="s">
        <v>78</v>
      </c>
      <c r="N956" t="s">
        <v>112</v>
      </c>
      <c r="O956" t="s">
        <v>74</v>
      </c>
      <c r="P956" t="s">
        <v>74</v>
      </c>
      <c r="Q956" t="s">
        <v>74</v>
      </c>
      <c r="R956" t="s">
        <v>74</v>
      </c>
      <c r="S956" t="s">
        <v>74</v>
      </c>
      <c r="T956" t="s">
        <v>74</v>
      </c>
      <c r="U956" t="s">
        <v>18425</v>
      </c>
      <c r="V956" t="s">
        <v>18426</v>
      </c>
      <c r="W956" t="s">
        <v>18427</v>
      </c>
      <c r="X956" t="s">
        <v>18428</v>
      </c>
      <c r="Y956" t="s">
        <v>18429</v>
      </c>
      <c r="Z956" t="s">
        <v>18430</v>
      </c>
      <c r="AA956" t="s">
        <v>18431</v>
      </c>
      <c r="AB956" t="s">
        <v>18432</v>
      </c>
      <c r="AC956" t="s">
        <v>18433</v>
      </c>
      <c r="AD956" t="s">
        <v>18434</v>
      </c>
      <c r="AE956" t="s">
        <v>18435</v>
      </c>
      <c r="AF956" t="s">
        <v>74</v>
      </c>
      <c r="AG956">
        <v>67</v>
      </c>
      <c r="AH956">
        <v>2</v>
      </c>
      <c r="AI956">
        <v>2</v>
      </c>
      <c r="AJ956">
        <v>8</v>
      </c>
      <c r="AK956">
        <v>16</v>
      </c>
      <c r="AL956" t="s">
        <v>794</v>
      </c>
      <c r="AM956" t="s">
        <v>795</v>
      </c>
      <c r="AN956" t="s">
        <v>796</v>
      </c>
      <c r="AO956" t="s">
        <v>797</v>
      </c>
      <c r="AP956" t="s">
        <v>798</v>
      </c>
      <c r="AQ956" t="s">
        <v>74</v>
      </c>
      <c r="AR956" t="s">
        <v>782</v>
      </c>
      <c r="AS956" t="s">
        <v>799</v>
      </c>
      <c r="AT956" t="s">
        <v>18221</v>
      </c>
      <c r="AU956">
        <v>2023</v>
      </c>
      <c r="AV956">
        <v>17</v>
      </c>
      <c r="AW956">
        <v>1</v>
      </c>
      <c r="AX956" t="s">
        <v>74</v>
      </c>
      <c r="AY956" t="s">
        <v>74</v>
      </c>
      <c r="AZ956" t="s">
        <v>74</v>
      </c>
      <c r="BA956" t="s">
        <v>74</v>
      </c>
      <c r="BB956">
        <v>157</v>
      </c>
      <c r="BC956">
        <v>174</v>
      </c>
      <c r="BD956" t="s">
        <v>74</v>
      </c>
      <c r="BE956" t="s">
        <v>18436</v>
      </c>
      <c r="BF956" t="str">
        <f>HYPERLINK("http://dx.doi.org/10.5194/tc-17-157-2023","http://dx.doi.org/10.5194/tc-17-157-2023")</f>
        <v>http://dx.doi.org/10.5194/tc-17-157-2023</v>
      </c>
      <c r="BG956" t="s">
        <v>74</v>
      </c>
      <c r="BH956" t="s">
        <v>74</v>
      </c>
      <c r="BI956">
        <v>18</v>
      </c>
      <c r="BJ956" t="s">
        <v>801</v>
      </c>
      <c r="BK956" t="s">
        <v>103</v>
      </c>
      <c r="BL956" t="s">
        <v>802</v>
      </c>
      <c r="BM956" t="s">
        <v>18437</v>
      </c>
      <c r="BN956" t="s">
        <v>74</v>
      </c>
      <c r="BO956" t="s">
        <v>1702</v>
      </c>
      <c r="BP956" t="s">
        <v>74</v>
      </c>
      <c r="BQ956" t="s">
        <v>74</v>
      </c>
      <c r="BR956" t="s">
        <v>106</v>
      </c>
      <c r="BS956" t="s">
        <v>18438</v>
      </c>
      <c r="BT956" t="str">
        <f>HYPERLINK("https%3A%2F%2Fwww.webofscience.com%2Fwos%2Fwoscc%2Ffull-record%2FWOS:000915379300001","View Full Record in Web of Science")</f>
        <v>View Full Record in Web of Science</v>
      </c>
    </row>
    <row r="957" spans="1:72" x14ac:dyDescent="0.15">
      <c r="A957" t="s">
        <v>72</v>
      </c>
      <c r="B957" t="s">
        <v>18439</v>
      </c>
      <c r="C957" t="s">
        <v>74</v>
      </c>
      <c r="D957" t="s">
        <v>74</v>
      </c>
      <c r="E957" t="s">
        <v>74</v>
      </c>
      <c r="F957" t="s">
        <v>18440</v>
      </c>
      <c r="G957" t="s">
        <v>74</v>
      </c>
      <c r="H957" t="s">
        <v>74</v>
      </c>
      <c r="I957" t="s">
        <v>18441</v>
      </c>
      <c r="J957" t="s">
        <v>2262</v>
      </c>
      <c r="K957" t="s">
        <v>74</v>
      </c>
      <c r="L957" t="s">
        <v>74</v>
      </c>
      <c r="M957" t="s">
        <v>78</v>
      </c>
      <c r="N957" t="s">
        <v>112</v>
      </c>
      <c r="O957" t="s">
        <v>74</v>
      </c>
      <c r="P957" t="s">
        <v>74</v>
      </c>
      <c r="Q957" t="s">
        <v>74</v>
      </c>
      <c r="R957" t="s">
        <v>74</v>
      </c>
      <c r="S957" t="s">
        <v>74</v>
      </c>
      <c r="T957" t="s">
        <v>74</v>
      </c>
      <c r="U957" t="s">
        <v>18442</v>
      </c>
      <c r="V957" t="s">
        <v>18443</v>
      </c>
      <c r="W957" t="s">
        <v>18444</v>
      </c>
      <c r="X957" t="s">
        <v>18445</v>
      </c>
      <c r="Y957" t="s">
        <v>18446</v>
      </c>
      <c r="Z957" t="s">
        <v>18447</v>
      </c>
      <c r="AA957" t="s">
        <v>74</v>
      </c>
      <c r="AB957" t="s">
        <v>18448</v>
      </c>
      <c r="AC957" t="s">
        <v>74</v>
      </c>
      <c r="AD957" t="s">
        <v>74</v>
      </c>
      <c r="AE957" t="s">
        <v>74</v>
      </c>
      <c r="AF957" t="s">
        <v>74</v>
      </c>
      <c r="AG957">
        <v>72</v>
      </c>
      <c r="AH957">
        <v>2</v>
      </c>
      <c r="AI957">
        <v>2</v>
      </c>
      <c r="AJ957">
        <v>4</v>
      </c>
      <c r="AK957">
        <v>13</v>
      </c>
      <c r="AL957" t="s">
        <v>2092</v>
      </c>
      <c r="AM957" t="s">
        <v>2093</v>
      </c>
      <c r="AN957" t="s">
        <v>2094</v>
      </c>
      <c r="AO957" t="s">
        <v>2274</v>
      </c>
      <c r="AP957" t="s">
        <v>2275</v>
      </c>
      <c r="AQ957" t="s">
        <v>74</v>
      </c>
      <c r="AR957" t="s">
        <v>2276</v>
      </c>
      <c r="AS957" t="s">
        <v>2277</v>
      </c>
      <c r="AT957" t="s">
        <v>8042</v>
      </c>
      <c r="AU957">
        <v>2023</v>
      </c>
      <c r="AV957">
        <v>68</v>
      </c>
      <c r="AW957">
        <v>3</v>
      </c>
      <c r="AX957" t="s">
        <v>74</v>
      </c>
      <c r="AY957" t="s">
        <v>74</v>
      </c>
      <c r="AZ957" t="s">
        <v>74</v>
      </c>
      <c r="BA957" t="s">
        <v>74</v>
      </c>
      <c r="BB957">
        <v>616</v>
      </c>
      <c r="BC957">
        <v>630</v>
      </c>
      <c r="BD957" t="s">
        <v>74</v>
      </c>
      <c r="BE957" t="s">
        <v>18449</v>
      </c>
      <c r="BF957" t="str">
        <f>HYPERLINK("http://dx.doi.org/10.1002/lno.12298","http://dx.doi.org/10.1002/lno.12298")</f>
        <v>http://dx.doi.org/10.1002/lno.12298</v>
      </c>
      <c r="BG957" t="s">
        <v>74</v>
      </c>
      <c r="BH957" t="s">
        <v>16484</v>
      </c>
      <c r="BI957">
        <v>15</v>
      </c>
      <c r="BJ957" t="s">
        <v>552</v>
      </c>
      <c r="BK957" t="s">
        <v>103</v>
      </c>
      <c r="BL957" t="s">
        <v>553</v>
      </c>
      <c r="BM957" t="s">
        <v>17334</v>
      </c>
      <c r="BN957" t="s">
        <v>74</v>
      </c>
      <c r="BO957" t="s">
        <v>74</v>
      </c>
      <c r="BP957" t="s">
        <v>74</v>
      </c>
      <c r="BQ957" t="s">
        <v>74</v>
      </c>
      <c r="BR957" t="s">
        <v>106</v>
      </c>
      <c r="BS957" t="s">
        <v>18450</v>
      </c>
      <c r="BT957" t="str">
        <f>HYPERLINK("https%3A%2F%2Fwww.webofscience.com%2Fwos%2Fwoscc%2Ffull-record%2FWOS:000913041000001","View Full Record in Web of Science")</f>
        <v>View Full Record in Web of Science</v>
      </c>
    </row>
    <row r="958" spans="1:72" x14ac:dyDescent="0.15">
      <c r="A958" t="s">
        <v>72</v>
      </c>
      <c r="B958" t="s">
        <v>18451</v>
      </c>
      <c r="C958" t="s">
        <v>74</v>
      </c>
      <c r="D958" t="s">
        <v>74</v>
      </c>
      <c r="E958" t="s">
        <v>74</v>
      </c>
      <c r="F958" t="s">
        <v>18452</v>
      </c>
      <c r="G958" t="s">
        <v>74</v>
      </c>
      <c r="H958" t="s">
        <v>74</v>
      </c>
      <c r="I958" t="s">
        <v>18453</v>
      </c>
      <c r="J958" t="s">
        <v>18454</v>
      </c>
      <c r="K958" t="s">
        <v>74</v>
      </c>
      <c r="L958" t="s">
        <v>74</v>
      </c>
      <c r="M958" t="s">
        <v>78</v>
      </c>
      <c r="N958" t="s">
        <v>112</v>
      </c>
      <c r="O958" t="s">
        <v>74</v>
      </c>
      <c r="P958" t="s">
        <v>74</v>
      </c>
      <c r="Q958" t="s">
        <v>74</v>
      </c>
      <c r="R958" t="s">
        <v>74</v>
      </c>
      <c r="S958" t="s">
        <v>74</v>
      </c>
      <c r="T958" t="s">
        <v>18455</v>
      </c>
      <c r="U958" t="s">
        <v>18456</v>
      </c>
      <c r="V958" t="s">
        <v>18457</v>
      </c>
      <c r="W958" t="s">
        <v>18458</v>
      </c>
      <c r="X958" t="s">
        <v>18459</v>
      </c>
      <c r="Y958" t="s">
        <v>18460</v>
      </c>
      <c r="Z958" t="s">
        <v>18461</v>
      </c>
      <c r="AA958" t="s">
        <v>18462</v>
      </c>
      <c r="AB958" t="s">
        <v>18463</v>
      </c>
      <c r="AC958" t="s">
        <v>74</v>
      </c>
      <c r="AD958" t="s">
        <v>74</v>
      </c>
      <c r="AE958" t="s">
        <v>74</v>
      </c>
      <c r="AF958" t="s">
        <v>74</v>
      </c>
      <c r="AG958">
        <v>99</v>
      </c>
      <c r="AH958">
        <v>1</v>
      </c>
      <c r="AI958">
        <v>1</v>
      </c>
      <c r="AJ958">
        <v>0</v>
      </c>
      <c r="AK958">
        <v>0</v>
      </c>
      <c r="AL958" t="s">
        <v>418</v>
      </c>
      <c r="AM958" t="s">
        <v>419</v>
      </c>
      <c r="AN958" t="s">
        <v>420</v>
      </c>
      <c r="AO958" t="s">
        <v>18464</v>
      </c>
      <c r="AP958" t="s">
        <v>18465</v>
      </c>
      <c r="AQ958" t="s">
        <v>74</v>
      </c>
      <c r="AR958" t="s">
        <v>18454</v>
      </c>
      <c r="AS958" t="s">
        <v>18466</v>
      </c>
      <c r="AT958" t="s">
        <v>14420</v>
      </c>
      <c r="AU958">
        <v>2023</v>
      </c>
      <c r="AV958">
        <v>62</v>
      </c>
      <c r="AW958">
        <v>1</v>
      </c>
      <c r="AX958" t="s">
        <v>74</v>
      </c>
      <c r="AY958" t="s">
        <v>74</v>
      </c>
      <c r="AZ958" t="s">
        <v>74</v>
      </c>
      <c r="BA958" t="s">
        <v>74</v>
      </c>
      <c r="BB958">
        <v>83</v>
      </c>
      <c r="BC958">
        <v>98</v>
      </c>
      <c r="BD958" t="s">
        <v>74</v>
      </c>
      <c r="BE958" t="s">
        <v>18467</v>
      </c>
      <c r="BF958" t="str">
        <f>HYPERLINK("http://dx.doi.org/10.1080/00318884.2022.2147745","http://dx.doi.org/10.1080/00318884.2022.2147745")</f>
        <v>http://dx.doi.org/10.1080/00318884.2022.2147745</v>
      </c>
      <c r="BG958" t="s">
        <v>74</v>
      </c>
      <c r="BH958" t="s">
        <v>16484</v>
      </c>
      <c r="BI958">
        <v>16</v>
      </c>
      <c r="BJ958" t="s">
        <v>13935</v>
      </c>
      <c r="BK958" t="s">
        <v>103</v>
      </c>
      <c r="BL958" t="s">
        <v>13935</v>
      </c>
      <c r="BM958" t="s">
        <v>18468</v>
      </c>
      <c r="BN958" t="s">
        <v>74</v>
      </c>
      <c r="BO958" t="s">
        <v>74</v>
      </c>
      <c r="BP958" t="s">
        <v>74</v>
      </c>
      <c r="BQ958" t="s">
        <v>74</v>
      </c>
      <c r="BR958" t="s">
        <v>106</v>
      </c>
      <c r="BS958" t="s">
        <v>18469</v>
      </c>
      <c r="BT958" t="str">
        <f>HYPERLINK("https%3A%2F%2Fwww.webofscience.com%2Fwos%2Fwoscc%2Ffull-record%2FWOS:000913440000001","View Full Record in Web of Science")</f>
        <v>View Full Record in Web of Science</v>
      </c>
    </row>
    <row r="959" spans="1:72" x14ac:dyDescent="0.15">
      <c r="A959" t="s">
        <v>72</v>
      </c>
      <c r="B959" t="s">
        <v>18470</v>
      </c>
      <c r="C959" t="s">
        <v>74</v>
      </c>
      <c r="D959" t="s">
        <v>74</v>
      </c>
      <c r="E959" t="s">
        <v>74</v>
      </c>
      <c r="F959" t="s">
        <v>18471</v>
      </c>
      <c r="G959" t="s">
        <v>74</v>
      </c>
      <c r="H959" t="s">
        <v>74</v>
      </c>
      <c r="I959" t="s">
        <v>18472</v>
      </c>
      <c r="J959" t="s">
        <v>268</v>
      </c>
      <c r="K959" t="s">
        <v>74</v>
      </c>
      <c r="L959" t="s">
        <v>74</v>
      </c>
      <c r="M959" t="s">
        <v>78</v>
      </c>
      <c r="N959" t="s">
        <v>112</v>
      </c>
      <c r="O959" t="s">
        <v>74</v>
      </c>
      <c r="P959" t="s">
        <v>74</v>
      </c>
      <c r="Q959" t="s">
        <v>74</v>
      </c>
      <c r="R959" t="s">
        <v>74</v>
      </c>
      <c r="S959" t="s">
        <v>74</v>
      </c>
      <c r="T959" t="s">
        <v>18473</v>
      </c>
      <c r="U959" t="s">
        <v>18474</v>
      </c>
      <c r="V959" t="s">
        <v>18475</v>
      </c>
      <c r="W959" t="s">
        <v>18476</v>
      </c>
      <c r="X959" t="s">
        <v>18477</v>
      </c>
      <c r="Y959" t="s">
        <v>18478</v>
      </c>
      <c r="Z959" t="s">
        <v>18479</v>
      </c>
      <c r="AA959" t="s">
        <v>18480</v>
      </c>
      <c r="AB959" t="s">
        <v>18481</v>
      </c>
      <c r="AC959" t="s">
        <v>18482</v>
      </c>
      <c r="AD959" t="s">
        <v>18483</v>
      </c>
      <c r="AE959" t="s">
        <v>18484</v>
      </c>
      <c r="AF959" t="s">
        <v>74</v>
      </c>
      <c r="AG959">
        <v>120</v>
      </c>
      <c r="AH959">
        <v>1</v>
      </c>
      <c r="AI959">
        <v>1</v>
      </c>
      <c r="AJ959">
        <v>5</v>
      </c>
      <c r="AK959">
        <v>8</v>
      </c>
      <c r="AL959" t="s">
        <v>91</v>
      </c>
      <c r="AM959" t="s">
        <v>92</v>
      </c>
      <c r="AN959" t="s">
        <v>93</v>
      </c>
      <c r="AO959" t="s">
        <v>281</v>
      </c>
      <c r="AP959" t="s">
        <v>282</v>
      </c>
      <c r="AQ959" t="s">
        <v>74</v>
      </c>
      <c r="AR959" t="s">
        <v>283</v>
      </c>
      <c r="AS959" t="s">
        <v>284</v>
      </c>
      <c r="AT959" t="s">
        <v>18485</v>
      </c>
      <c r="AU959">
        <v>2023</v>
      </c>
      <c r="AV959">
        <v>36</v>
      </c>
      <c r="AW959">
        <v>2</v>
      </c>
      <c r="AX959" t="s">
        <v>74</v>
      </c>
      <c r="AY959" t="s">
        <v>74</v>
      </c>
      <c r="AZ959" t="s">
        <v>74</v>
      </c>
      <c r="BA959" t="s">
        <v>74</v>
      </c>
      <c r="BB959">
        <v>565</v>
      </c>
      <c r="BC959">
        <v>583</v>
      </c>
      <c r="BD959" t="s">
        <v>74</v>
      </c>
      <c r="BE959" t="s">
        <v>18486</v>
      </c>
      <c r="BF959" t="str">
        <f>HYPERLINK("http://dx.doi.org/10.1175/JCLI-D-21-0874.1","http://dx.doi.org/10.1175/JCLI-D-21-0874.1")</f>
        <v>http://dx.doi.org/10.1175/JCLI-D-21-0874.1</v>
      </c>
      <c r="BG959" t="s">
        <v>74</v>
      </c>
      <c r="BH959" t="s">
        <v>74</v>
      </c>
      <c r="BI959">
        <v>19</v>
      </c>
      <c r="BJ959" t="s">
        <v>102</v>
      </c>
      <c r="BK959" t="s">
        <v>103</v>
      </c>
      <c r="BL959" t="s">
        <v>102</v>
      </c>
      <c r="BM959" t="s">
        <v>18487</v>
      </c>
      <c r="BN959" t="s">
        <v>74</v>
      </c>
      <c r="BO959" t="s">
        <v>74</v>
      </c>
      <c r="BP959" t="s">
        <v>74</v>
      </c>
      <c r="BQ959" t="s">
        <v>74</v>
      </c>
      <c r="BR959" t="s">
        <v>106</v>
      </c>
      <c r="BS959" t="s">
        <v>18488</v>
      </c>
      <c r="BT959" t="str">
        <f>HYPERLINK("https%3A%2F%2Fwww.webofscience.com%2Fwos%2Fwoscc%2Ffull-record%2FWOS:000949953200004","View Full Record in Web of Science")</f>
        <v>View Full Record in Web of Science</v>
      </c>
    </row>
    <row r="960" spans="1:72" x14ac:dyDescent="0.15">
      <c r="A960" t="s">
        <v>72</v>
      </c>
      <c r="B960" t="s">
        <v>18489</v>
      </c>
      <c r="C960" t="s">
        <v>74</v>
      </c>
      <c r="D960" t="s">
        <v>74</v>
      </c>
      <c r="E960" t="s">
        <v>74</v>
      </c>
      <c r="F960" t="s">
        <v>18490</v>
      </c>
      <c r="G960" t="s">
        <v>74</v>
      </c>
      <c r="H960" t="s">
        <v>74</v>
      </c>
      <c r="I960" t="s">
        <v>18491</v>
      </c>
      <c r="J960" t="s">
        <v>194</v>
      </c>
      <c r="K960" t="s">
        <v>74</v>
      </c>
      <c r="L960" t="s">
        <v>74</v>
      </c>
      <c r="M960" t="s">
        <v>78</v>
      </c>
      <c r="N960" t="s">
        <v>112</v>
      </c>
      <c r="O960" t="s">
        <v>74</v>
      </c>
      <c r="P960" t="s">
        <v>74</v>
      </c>
      <c r="Q960" t="s">
        <v>74</v>
      </c>
      <c r="R960" t="s">
        <v>74</v>
      </c>
      <c r="S960" t="s">
        <v>74</v>
      </c>
      <c r="T960" t="s">
        <v>74</v>
      </c>
      <c r="U960" t="s">
        <v>18492</v>
      </c>
      <c r="V960" t="s">
        <v>18493</v>
      </c>
      <c r="W960" t="s">
        <v>18494</v>
      </c>
      <c r="X960" t="s">
        <v>18495</v>
      </c>
      <c r="Y960" t="s">
        <v>18496</v>
      </c>
      <c r="Z960" t="s">
        <v>18497</v>
      </c>
      <c r="AA960" t="s">
        <v>74</v>
      </c>
      <c r="AB960" t="s">
        <v>74</v>
      </c>
      <c r="AC960" t="s">
        <v>18498</v>
      </c>
      <c r="AD960" t="s">
        <v>12119</v>
      </c>
      <c r="AE960" t="s">
        <v>18499</v>
      </c>
      <c r="AF960" t="s">
        <v>74</v>
      </c>
      <c r="AG960">
        <v>62</v>
      </c>
      <c r="AH960">
        <v>0</v>
      </c>
      <c r="AI960">
        <v>0</v>
      </c>
      <c r="AJ960">
        <v>2</v>
      </c>
      <c r="AK960">
        <v>5</v>
      </c>
      <c r="AL960" t="s">
        <v>203</v>
      </c>
      <c r="AM960" t="s">
        <v>204</v>
      </c>
      <c r="AN960" t="s">
        <v>205</v>
      </c>
      <c r="AO960" t="s">
        <v>206</v>
      </c>
      <c r="AP960" t="s">
        <v>74</v>
      </c>
      <c r="AQ960" t="s">
        <v>74</v>
      </c>
      <c r="AR960" t="s">
        <v>207</v>
      </c>
      <c r="AS960" t="s">
        <v>208</v>
      </c>
      <c r="AT960" t="s">
        <v>18485</v>
      </c>
      <c r="AU960">
        <v>2023</v>
      </c>
      <c r="AV960">
        <v>13</v>
      </c>
      <c r="AW960">
        <v>1</v>
      </c>
      <c r="AX960" t="s">
        <v>74</v>
      </c>
      <c r="AY960" t="s">
        <v>74</v>
      </c>
      <c r="AZ960" t="s">
        <v>74</v>
      </c>
      <c r="BA960" t="s">
        <v>74</v>
      </c>
      <c r="BB960" t="s">
        <v>74</v>
      </c>
      <c r="BC960" t="s">
        <v>74</v>
      </c>
      <c r="BD960">
        <v>779</v>
      </c>
      <c r="BE960" t="s">
        <v>18500</v>
      </c>
      <c r="BF960" t="str">
        <f>HYPERLINK("http://dx.doi.org/10.1038/s41598-022-25704-2","http://dx.doi.org/10.1038/s41598-022-25704-2")</f>
        <v>http://dx.doi.org/10.1038/s41598-022-25704-2</v>
      </c>
      <c r="BG960" t="s">
        <v>74</v>
      </c>
      <c r="BH960" t="s">
        <v>74</v>
      </c>
      <c r="BI960">
        <v>11</v>
      </c>
      <c r="BJ960" t="s">
        <v>210</v>
      </c>
      <c r="BK960" t="s">
        <v>103</v>
      </c>
      <c r="BL960" t="s">
        <v>211</v>
      </c>
      <c r="BM960" t="s">
        <v>18501</v>
      </c>
      <c r="BN960">
        <v>36642750</v>
      </c>
      <c r="BO960" t="s">
        <v>804</v>
      </c>
      <c r="BP960" t="s">
        <v>74</v>
      </c>
      <c r="BQ960" t="s">
        <v>74</v>
      </c>
      <c r="BR960" t="s">
        <v>106</v>
      </c>
      <c r="BS960" t="s">
        <v>18502</v>
      </c>
      <c r="BT960" t="str">
        <f>HYPERLINK("https%3A%2F%2Fwww.webofscience.com%2Fwos%2Fwoscc%2Ffull-record%2FWOS:000915634600002","View Full Record in Web of Science")</f>
        <v>View Full Record in Web of Science</v>
      </c>
    </row>
    <row r="961" spans="1:72" x14ac:dyDescent="0.15">
      <c r="A961" t="s">
        <v>72</v>
      </c>
      <c r="B961" t="s">
        <v>18503</v>
      </c>
      <c r="C961" t="s">
        <v>74</v>
      </c>
      <c r="D961" t="s">
        <v>74</v>
      </c>
      <c r="E961" t="s">
        <v>74</v>
      </c>
      <c r="F961" t="s">
        <v>18504</v>
      </c>
      <c r="G961" t="s">
        <v>74</v>
      </c>
      <c r="H961" t="s">
        <v>74</v>
      </c>
      <c r="I961" t="s">
        <v>18505</v>
      </c>
      <c r="J961" t="s">
        <v>16307</v>
      </c>
      <c r="K961" t="s">
        <v>74</v>
      </c>
      <c r="L961" t="s">
        <v>74</v>
      </c>
      <c r="M961" t="s">
        <v>78</v>
      </c>
      <c r="N961" t="s">
        <v>112</v>
      </c>
      <c r="O961" t="s">
        <v>74</v>
      </c>
      <c r="P961" t="s">
        <v>74</v>
      </c>
      <c r="Q961" t="s">
        <v>74</v>
      </c>
      <c r="R961" t="s">
        <v>74</v>
      </c>
      <c r="S961" t="s">
        <v>74</v>
      </c>
      <c r="T961" t="s">
        <v>18506</v>
      </c>
      <c r="U961" t="s">
        <v>18507</v>
      </c>
      <c r="V961" t="s">
        <v>18508</v>
      </c>
      <c r="W961" t="s">
        <v>18509</v>
      </c>
      <c r="X961" t="s">
        <v>18510</v>
      </c>
      <c r="Y961" t="s">
        <v>18511</v>
      </c>
      <c r="Z961" t="s">
        <v>18512</v>
      </c>
      <c r="AA961" t="s">
        <v>18513</v>
      </c>
      <c r="AB961" t="s">
        <v>18514</v>
      </c>
      <c r="AC961" t="s">
        <v>74</v>
      </c>
      <c r="AD961" t="s">
        <v>74</v>
      </c>
      <c r="AE961" t="s">
        <v>74</v>
      </c>
      <c r="AF961" t="s">
        <v>74</v>
      </c>
      <c r="AG961">
        <v>71</v>
      </c>
      <c r="AH961">
        <v>12</v>
      </c>
      <c r="AI961">
        <v>13</v>
      </c>
      <c r="AJ961">
        <v>5</v>
      </c>
      <c r="AK961">
        <v>10</v>
      </c>
      <c r="AL961" t="s">
        <v>2092</v>
      </c>
      <c r="AM961" t="s">
        <v>2093</v>
      </c>
      <c r="AN961" t="s">
        <v>2094</v>
      </c>
      <c r="AO961" t="s">
        <v>16320</v>
      </c>
      <c r="AP961" t="s">
        <v>16321</v>
      </c>
      <c r="AQ961" t="s">
        <v>74</v>
      </c>
      <c r="AR961" t="s">
        <v>16322</v>
      </c>
      <c r="AS961" t="s">
        <v>16323</v>
      </c>
      <c r="AT961" t="s">
        <v>1437</v>
      </c>
      <c r="AU961">
        <v>2023</v>
      </c>
      <c r="AV961">
        <v>29</v>
      </c>
      <c r="AW961">
        <v>8</v>
      </c>
      <c r="AX961" t="s">
        <v>74</v>
      </c>
      <c r="AY961" t="s">
        <v>74</v>
      </c>
      <c r="AZ961" t="s">
        <v>74</v>
      </c>
      <c r="BA961" t="s">
        <v>74</v>
      </c>
      <c r="BB961">
        <v>2108</v>
      </c>
      <c r="BC961">
        <v>2121</v>
      </c>
      <c r="BD961" t="s">
        <v>74</v>
      </c>
      <c r="BE961" t="s">
        <v>18515</v>
      </c>
      <c r="BF961" t="str">
        <f>HYPERLINK("http://dx.doi.org/10.1111/gcb.16559","http://dx.doi.org/10.1111/gcb.16559")</f>
        <v>http://dx.doi.org/10.1111/gcb.16559</v>
      </c>
      <c r="BG961" t="s">
        <v>74</v>
      </c>
      <c r="BH961" t="s">
        <v>16484</v>
      </c>
      <c r="BI961">
        <v>14</v>
      </c>
      <c r="BJ961" t="s">
        <v>7496</v>
      </c>
      <c r="BK961" t="s">
        <v>103</v>
      </c>
      <c r="BL961" t="s">
        <v>776</v>
      </c>
      <c r="BM961" t="s">
        <v>18516</v>
      </c>
      <c r="BN961">
        <v>36644792</v>
      </c>
      <c r="BO961" t="s">
        <v>387</v>
      </c>
      <c r="BP961" t="s">
        <v>74</v>
      </c>
      <c r="BQ961" t="s">
        <v>74</v>
      </c>
      <c r="BR961" t="s">
        <v>106</v>
      </c>
      <c r="BS961" t="s">
        <v>18517</v>
      </c>
      <c r="BT961" t="str">
        <f>HYPERLINK("https%3A%2F%2Fwww.webofscience.com%2Fwos%2Fwoscc%2Ffull-record%2FWOS:000913031200001","View Full Record in Web of Science")</f>
        <v>View Full Record in Web of Science</v>
      </c>
    </row>
    <row r="962" spans="1:72" x14ac:dyDescent="0.15">
      <c r="A962" t="s">
        <v>72</v>
      </c>
      <c r="B962" t="s">
        <v>18518</v>
      </c>
      <c r="C962" t="s">
        <v>74</v>
      </c>
      <c r="D962" t="s">
        <v>74</v>
      </c>
      <c r="E962" t="s">
        <v>74</v>
      </c>
      <c r="F962" t="s">
        <v>18519</v>
      </c>
      <c r="G962" t="s">
        <v>74</v>
      </c>
      <c r="H962" t="s">
        <v>74</v>
      </c>
      <c r="I962" t="s">
        <v>18520</v>
      </c>
      <c r="J962" t="s">
        <v>194</v>
      </c>
      <c r="K962" t="s">
        <v>74</v>
      </c>
      <c r="L962" t="s">
        <v>74</v>
      </c>
      <c r="M962" t="s">
        <v>78</v>
      </c>
      <c r="N962" t="s">
        <v>112</v>
      </c>
      <c r="O962" t="s">
        <v>74</v>
      </c>
      <c r="P962" t="s">
        <v>74</v>
      </c>
      <c r="Q962" t="s">
        <v>74</v>
      </c>
      <c r="R962" t="s">
        <v>74</v>
      </c>
      <c r="S962" t="s">
        <v>74</v>
      </c>
      <c r="T962" t="s">
        <v>74</v>
      </c>
      <c r="U962" t="s">
        <v>18521</v>
      </c>
      <c r="V962" t="s">
        <v>18522</v>
      </c>
      <c r="W962" t="s">
        <v>18523</v>
      </c>
      <c r="X962" t="s">
        <v>18524</v>
      </c>
      <c r="Y962" t="s">
        <v>3802</v>
      </c>
      <c r="Z962" t="s">
        <v>3803</v>
      </c>
      <c r="AA962" t="s">
        <v>18525</v>
      </c>
      <c r="AB962" t="s">
        <v>18526</v>
      </c>
      <c r="AC962" t="s">
        <v>18527</v>
      </c>
      <c r="AD962" t="s">
        <v>18528</v>
      </c>
      <c r="AE962" t="s">
        <v>18529</v>
      </c>
      <c r="AF962" t="s">
        <v>74</v>
      </c>
      <c r="AG962">
        <v>58</v>
      </c>
      <c r="AH962">
        <v>9</v>
      </c>
      <c r="AI962">
        <v>9</v>
      </c>
      <c r="AJ962">
        <v>4</v>
      </c>
      <c r="AK962">
        <v>8</v>
      </c>
      <c r="AL962" t="s">
        <v>203</v>
      </c>
      <c r="AM962" t="s">
        <v>204</v>
      </c>
      <c r="AN962" t="s">
        <v>205</v>
      </c>
      <c r="AO962" t="s">
        <v>206</v>
      </c>
      <c r="AP962" t="s">
        <v>74</v>
      </c>
      <c r="AQ962" t="s">
        <v>74</v>
      </c>
      <c r="AR962" t="s">
        <v>207</v>
      </c>
      <c r="AS962" t="s">
        <v>208</v>
      </c>
      <c r="AT962" t="s">
        <v>18530</v>
      </c>
      <c r="AU962">
        <v>2023</v>
      </c>
      <c r="AV962">
        <v>13</v>
      </c>
      <c r="AW962">
        <v>1</v>
      </c>
      <c r="AX962" t="s">
        <v>74</v>
      </c>
      <c r="AY962" t="s">
        <v>74</v>
      </c>
      <c r="AZ962" t="s">
        <v>74</v>
      </c>
      <c r="BA962" t="s">
        <v>74</v>
      </c>
      <c r="BB962" t="s">
        <v>74</v>
      </c>
      <c r="BC962" t="s">
        <v>74</v>
      </c>
      <c r="BD962" t="s">
        <v>74</v>
      </c>
      <c r="BE962" t="s">
        <v>18531</v>
      </c>
      <c r="BF962" t="str">
        <f>HYPERLINK("http://dx.doi.org/10.1038/s41598-022-26511-5","http://dx.doi.org/10.1038/s41598-022-26511-5")</f>
        <v>http://dx.doi.org/10.1038/s41598-022-26511-5</v>
      </c>
      <c r="BG962" t="s">
        <v>74</v>
      </c>
      <c r="BH962" t="s">
        <v>74</v>
      </c>
      <c r="BI962">
        <v>13</v>
      </c>
      <c r="BJ962" t="s">
        <v>210</v>
      </c>
      <c r="BK962" t="s">
        <v>103</v>
      </c>
      <c r="BL962" t="s">
        <v>211</v>
      </c>
      <c r="BM962" t="s">
        <v>18532</v>
      </c>
      <c r="BN962">
        <v>36639707</v>
      </c>
      <c r="BO962" t="s">
        <v>136</v>
      </c>
      <c r="BP962" t="s">
        <v>74</v>
      </c>
      <c r="BQ962" t="s">
        <v>74</v>
      </c>
      <c r="BR962" t="s">
        <v>106</v>
      </c>
      <c r="BS962" t="s">
        <v>18533</v>
      </c>
      <c r="BT962" t="str">
        <f>HYPERLINK("https%3A%2F%2Fwww.webofscience.com%2Fwos%2Fwoscc%2Ffull-record%2FWOS:000968670400014","View Full Record in Web of Science")</f>
        <v>View Full Record in Web of Science</v>
      </c>
    </row>
    <row r="963" spans="1:72" x14ac:dyDescent="0.15">
      <c r="A963" t="s">
        <v>72</v>
      </c>
      <c r="B963" t="s">
        <v>18534</v>
      </c>
      <c r="C963" t="s">
        <v>74</v>
      </c>
      <c r="D963" t="s">
        <v>74</v>
      </c>
      <c r="E963" t="s">
        <v>74</v>
      </c>
      <c r="F963" t="s">
        <v>18535</v>
      </c>
      <c r="G963" t="s">
        <v>74</v>
      </c>
      <c r="H963" t="s">
        <v>74</v>
      </c>
      <c r="I963" t="s">
        <v>18536</v>
      </c>
      <c r="J963" t="s">
        <v>18537</v>
      </c>
      <c r="K963" t="s">
        <v>74</v>
      </c>
      <c r="L963" t="s">
        <v>74</v>
      </c>
      <c r="M963" t="s">
        <v>78</v>
      </c>
      <c r="N963" t="s">
        <v>112</v>
      </c>
      <c r="O963" t="s">
        <v>74</v>
      </c>
      <c r="P963" t="s">
        <v>74</v>
      </c>
      <c r="Q963" t="s">
        <v>74</v>
      </c>
      <c r="R963" t="s">
        <v>74</v>
      </c>
      <c r="S963" t="s">
        <v>74</v>
      </c>
      <c r="T963" t="s">
        <v>18538</v>
      </c>
      <c r="U963" t="s">
        <v>18539</v>
      </c>
      <c r="V963" t="s">
        <v>18540</v>
      </c>
      <c r="W963" t="s">
        <v>18541</v>
      </c>
      <c r="X963" t="s">
        <v>18542</v>
      </c>
      <c r="Y963" t="s">
        <v>18543</v>
      </c>
      <c r="Z963" t="s">
        <v>18544</v>
      </c>
      <c r="AA963" t="s">
        <v>18545</v>
      </c>
      <c r="AB963" t="s">
        <v>18546</v>
      </c>
      <c r="AC963" t="s">
        <v>18547</v>
      </c>
      <c r="AD963" t="s">
        <v>18548</v>
      </c>
      <c r="AE963" t="s">
        <v>18549</v>
      </c>
      <c r="AF963" t="s">
        <v>74</v>
      </c>
      <c r="AG963">
        <v>85</v>
      </c>
      <c r="AH963">
        <v>1</v>
      </c>
      <c r="AI963">
        <v>1</v>
      </c>
      <c r="AJ963">
        <v>2</v>
      </c>
      <c r="AK963">
        <v>14</v>
      </c>
      <c r="AL963" t="s">
        <v>1101</v>
      </c>
      <c r="AM963" t="s">
        <v>179</v>
      </c>
      <c r="AN963" t="s">
        <v>1543</v>
      </c>
      <c r="AO963" t="s">
        <v>18550</v>
      </c>
      <c r="AP963" t="s">
        <v>18551</v>
      </c>
      <c r="AQ963" t="s">
        <v>74</v>
      </c>
      <c r="AR963" t="s">
        <v>18552</v>
      </c>
      <c r="AS963" t="s">
        <v>18553</v>
      </c>
      <c r="AT963" t="s">
        <v>1108</v>
      </c>
      <c r="AU963">
        <v>2022</v>
      </c>
      <c r="AV963">
        <v>57</v>
      </c>
      <c r="AW963" t="s">
        <v>7071</v>
      </c>
      <c r="AX963" t="s">
        <v>74</v>
      </c>
      <c r="AY963" t="s">
        <v>74</v>
      </c>
      <c r="AZ963" t="s">
        <v>74</v>
      </c>
      <c r="BA963" t="s">
        <v>74</v>
      </c>
      <c r="BB963">
        <v>264</v>
      </c>
      <c r="BC963">
        <v>284</v>
      </c>
      <c r="BD963" t="s">
        <v>18554</v>
      </c>
      <c r="BE963" t="s">
        <v>18555</v>
      </c>
      <c r="BF963" t="str">
        <f>HYPERLINK("http://dx.doi.org/10.1180/clm.2022.46","http://dx.doi.org/10.1180/clm.2022.46")</f>
        <v>http://dx.doi.org/10.1180/clm.2022.46</v>
      </c>
      <c r="BG963" t="s">
        <v>74</v>
      </c>
      <c r="BH963" t="s">
        <v>16484</v>
      </c>
      <c r="BI963">
        <v>21</v>
      </c>
      <c r="BJ963" t="s">
        <v>18556</v>
      </c>
      <c r="BK963" t="s">
        <v>103</v>
      </c>
      <c r="BL963" t="s">
        <v>18557</v>
      </c>
      <c r="BM963" t="s">
        <v>18558</v>
      </c>
      <c r="BN963" t="s">
        <v>74</v>
      </c>
      <c r="BO963" t="s">
        <v>74</v>
      </c>
      <c r="BP963" t="s">
        <v>74</v>
      </c>
      <c r="BQ963" t="s">
        <v>74</v>
      </c>
      <c r="BR963" t="s">
        <v>106</v>
      </c>
      <c r="BS963" t="s">
        <v>18559</v>
      </c>
      <c r="BT963" t="str">
        <f>HYPERLINK("https%3A%2F%2Fwww.webofscience.com%2Fwos%2Fwoscc%2Ffull-record%2FWOS:000929301500001","View Full Record in Web of Science")</f>
        <v>View Full Record in Web of Science</v>
      </c>
    </row>
    <row r="964" spans="1:72" x14ac:dyDescent="0.15">
      <c r="A964" t="s">
        <v>72</v>
      </c>
      <c r="B964" t="s">
        <v>18560</v>
      </c>
      <c r="C964" t="s">
        <v>74</v>
      </c>
      <c r="D964" t="s">
        <v>74</v>
      </c>
      <c r="E964" t="s">
        <v>74</v>
      </c>
      <c r="F964" t="s">
        <v>18561</v>
      </c>
      <c r="G964" t="s">
        <v>74</v>
      </c>
      <c r="H964" t="s">
        <v>74</v>
      </c>
      <c r="I964" t="s">
        <v>18562</v>
      </c>
      <c r="J964" t="s">
        <v>18563</v>
      </c>
      <c r="K964" t="s">
        <v>74</v>
      </c>
      <c r="L964" t="s">
        <v>74</v>
      </c>
      <c r="M964" t="s">
        <v>78</v>
      </c>
      <c r="N964" t="s">
        <v>79</v>
      </c>
      <c r="O964" t="s">
        <v>74</v>
      </c>
      <c r="P964" t="s">
        <v>74</v>
      </c>
      <c r="Q964" t="s">
        <v>74</v>
      </c>
      <c r="R964" t="s">
        <v>74</v>
      </c>
      <c r="S964" t="s">
        <v>74</v>
      </c>
      <c r="T964" t="s">
        <v>18564</v>
      </c>
      <c r="U964" t="s">
        <v>18565</v>
      </c>
      <c r="V964" t="s">
        <v>18566</v>
      </c>
      <c r="W964" t="s">
        <v>18567</v>
      </c>
      <c r="X964" t="s">
        <v>18568</v>
      </c>
      <c r="Y964" t="s">
        <v>18569</v>
      </c>
      <c r="Z964" t="s">
        <v>18570</v>
      </c>
      <c r="AA964" t="s">
        <v>18571</v>
      </c>
      <c r="AB964" t="s">
        <v>15975</v>
      </c>
      <c r="AC964" t="s">
        <v>18572</v>
      </c>
      <c r="AD964" t="s">
        <v>18573</v>
      </c>
      <c r="AE964" t="s">
        <v>18574</v>
      </c>
      <c r="AF964" t="s">
        <v>74</v>
      </c>
      <c r="AG964">
        <v>38</v>
      </c>
      <c r="AH964">
        <v>3</v>
      </c>
      <c r="AI964">
        <v>3</v>
      </c>
      <c r="AJ964">
        <v>18</v>
      </c>
      <c r="AK964">
        <v>31</v>
      </c>
      <c r="AL964" t="s">
        <v>17605</v>
      </c>
      <c r="AM964" t="s">
        <v>17606</v>
      </c>
      <c r="AN964" t="s">
        <v>17607</v>
      </c>
      <c r="AO964" t="s">
        <v>18575</v>
      </c>
      <c r="AP964" t="s">
        <v>18576</v>
      </c>
      <c r="AQ964" t="s">
        <v>74</v>
      </c>
      <c r="AR964" t="s">
        <v>18577</v>
      </c>
      <c r="AS964" t="s">
        <v>18578</v>
      </c>
      <c r="AT964" t="s">
        <v>18579</v>
      </c>
      <c r="AU964">
        <v>2023</v>
      </c>
      <c r="AV964">
        <v>31</v>
      </c>
      <c r="AW964">
        <v>4</v>
      </c>
      <c r="AX964" t="s">
        <v>74</v>
      </c>
      <c r="AY964" t="s">
        <v>74</v>
      </c>
      <c r="AZ964" t="s">
        <v>74</v>
      </c>
      <c r="BA964" t="s">
        <v>74</v>
      </c>
      <c r="BB964">
        <v>453</v>
      </c>
      <c r="BC964">
        <v>457</v>
      </c>
      <c r="BD964" t="s">
        <v>74</v>
      </c>
      <c r="BE964" t="s">
        <v>18580</v>
      </c>
      <c r="BF964" t="str">
        <f>HYPERLINK("http://dx.doi.org/10.1080/23308249.2023.2167515","http://dx.doi.org/10.1080/23308249.2023.2167515")</f>
        <v>http://dx.doi.org/10.1080/23308249.2023.2167515</v>
      </c>
      <c r="BG964" t="s">
        <v>74</v>
      </c>
      <c r="BH964" t="s">
        <v>16484</v>
      </c>
      <c r="BI964">
        <v>5</v>
      </c>
      <c r="BJ964" t="s">
        <v>3222</v>
      </c>
      <c r="BK964" t="s">
        <v>103</v>
      </c>
      <c r="BL964" t="s">
        <v>3222</v>
      </c>
      <c r="BM964" t="s">
        <v>18581</v>
      </c>
      <c r="BN964" t="s">
        <v>74</v>
      </c>
      <c r="BO964" t="s">
        <v>74</v>
      </c>
      <c r="BP964" t="s">
        <v>74</v>
      </c>
      <c r="BQ964" t="s">
        <v>74</v>
      </c>
      <c r="BR964" t="s">
        <v>106</v>
      </c>
      <c r="BS964" t="s">
        <v>18582</v>
      </c>
      <c r="BT964" t="str">
        <f>HYPERLINK("https%3A%2F%2Fwww.webofscience.com%2Fwos%2Fwoscc%2Ffull-record%2FWOS:000926461800001","View Full Record in Web of Science")</f>
        <v>View Full Record in Web of Science</v>
      </c>
    </row>
    <row r="965" spans="1:72" x14ac:dyDescent="0.15">
      <c r="A965" t="s">
        <v>72</v>
      </c>
      <c r="B965" t="s">
        <v>18583</v>
      </c>
      <c r="C965" t="s">
        <v>74</v>
      </c>
      <c r="D965" t="s">
        <v>74</v>
      </c>
      <c r="E965" t="s">
        <v>74</v>
      </c>
      <c r="F965" t="s">
        <v>18584</v>
      </c>
      <c r="G965" t="s">
        <v>74</v>
      </c>
      <c r="H965" t="s">
        <v>74</v>
      </c>
      <c r="I965" t="s">
        <v>18585</v>
      </c>
      <c r="J965" t="s">
        <v>1215</v>
      </c>
      <c r="K965" t="s">
        <v>74</v>
      </c>
      <c r="L965" t="s">
        <v>74</v>
      </c>
      <c r="M965" t="s">
        <v>78</v>
      </c>
      <c r="N965" t="s">
        <v>112</v>
      </c>
      <c r="O965" t="s">
        <v>74</v>
      </c>
      <c r="P965" t="s">
        <v>74</v>
      </c>
      <c r="Q965" t="s">
        <v>74</v>
      </c>
      <c r="R965" t="s">
        <v>74</v>
      </c>
      <c r="S965" t="s">
        <v>74</v>
      </c>
      <c r="T965" t="s">
        <v>18586</v>
      </c>
      <c r="U965" t="s">
        <v>18587</v>
      </c>
      <c r="V965" t="s">
        <v>18588</v>
      </c>
      <c r="W965" t="s">
        <v>18589</v>
      </c>
      <c r="X965" t="s">
        <v>18590</v>
      </c>
      <c r="Y965" t="s">
        <v>18591</v>
      </c>
      <c r="Z965" t="s">
        <v>18592</v>
      </c>
      <c r="AA965" t="s">
        <v>18593</v>
      </c>
      <c r="AB965" t="s">
        <v>18594</v>
      </c>
      <c r="AC965" t="s">
        <v>18595</v>
      </c>
      <c r="AD965" t="s">
        <v>18596</v>
      </c>
      <c r="AE965" t="s">
        <v>18597</v>
      </c>
      <c r="AF965" t="s">
        <v>74</v>
      </c>
      <c r="AG965">
        <v>51</v>
      </c>
      <c r="AH965">
        <v>0</v>
      </c>
      <c r="AI965">
        <v>0</v>
      </c>
      <c r="AJ965">
        <v>2</v>
      </c>
      <c r="AK965">
        <v>7</v>
      </c>
      <c r="AL965" t="s">
        <v>700</v>
      </c>
      <c r="AM965" t="s">
        <v>701</v>
      </c>
      <c r="AN965" t="s">
        <v>702</v>
      </c>
      <c r="AO965" t="s">
        <v>74</v>
      </c>
      <c r="AP965" t="s">
        <v>1228</v>
      </c>
      <c r="AQ965" t="s">
        <v>74</v>
      </c>
      <c r="AR965" t="s">
        <v>1229</v>
      </c>
      <c r="AS965" t="s">
        <v>1230</v>
      </c>
      <c r="AT965" t="s">
        <v>18530</v>
      </c>
      <c r="AU965">
        <v>2023</v>
      </c>
      <c r="AV965">
        <v>9</v>
      </c>
      <c r="AW965" t="s">
        <v>74</v>
      </c>
      <c r="AX965" t="s">
        <v>74</v>
      </c>
      <c r="AY965" t="s">
        <v>74</v>
      </c>
      <c r="AZ965" t="s">
        <v>74</v>
      </c>
      <c r="BA965" t="s">
        <v>74</v>
      </c>
      <c r="BB965" t="s">
        <v>74</v>
      </c>
      <c r="BC965" t="s">
        <v>74</v>
      </c>
      <c r="BD965">
        <v>1108330</v>
      </c>
      <c r="BE965" t="s">
        <v>18598</v>
      </c>
      <c r="BF965" t="str">
        <f>HYPERLINK("http://dx.doi.org/10.3389/fmars.2022.1108330","http://dx.doi.org/10.3389/fmars.2022.1108330")</f>
        <v>http://dx.doi.org/10.3389/fmars.2022.1108330</v>
      </c>
      <c r="BG965" t="s">
        <v>74</v>
      </c>
      <c r="BH965" t="s">
        <v>74</v>
      </c>
      <c r="BI965">
        <v>7</v>
      </c>
      <c r="BJ965" t="s">
        <v>636</v>
      </c>
      <c r="BK965" t="s">
        <v>103</v>
      </c>
      <c r="BL965" t="s">
        <v>637</v>
      </c>
      <c r="BM965" t="s">
        <v>18599</v>
      </c>
      <c r="BN965" t="s">
        <v>74</v>
      </c>
      <c r="BO965" t="s">
        <v>359</v>
      </c>
      <c r="BP965" t="s">
        <v>74</v>
      </c>
      <c r="BQ965" t="s">
        <v>74</v>
      </c>
      <c r="BR965" t="s">
        <v>106</v>
      </c>
      <c r="BS965" t="s">
        <v>18600</v>
      </c>
      <c r="BT965" t="str">
        <f>HYPERLINK("https%3A%2F%2Fwww.webofscience.com%2Fwos%2Fwoscc%2Ffull-record%2FWOS:000920885700001","View Full Record in Web of Science")</f>
        <v>View Full Record in Web of Science</v>
      </c>
    </row>
    <row r="966" spans="1:72" x14ac:dyDescent="0.15">
      <c r="A966" t="s">
        <v>72</v>
      </c>
      <c r="B966" t="s">
        <v>18601</v>
      </c>
      <c r="C966" t="s">
        <v>74</v>
      </c>
      <c r="D966" t="s">
        <v>74</v>
      </c>
      <c r="E966" t="s">
        <v>74</v>
      </c>
      <c r="F966" t="s">
        <v>18602</v>
      </c>
      <c r="G966" t="s">
        <v>74</v>
      </c>
      <c r="H966" t="s">
        <v>74</v>
      </c>
      <c r="I966" t="s">
        <v>18603</v>
      </c>
      <c r="J966" t="s">
        <v>8742</v>
      </c>
      <c r="K966" t="s">
        <v>74</v>
      </c>
      <c r="L966" t="s">
        <v>74</v>
      </c>
      <c r="M966" t="s">
        <v>78</v>
      </c>
      <c r="N966" t="s">
        <v>112</v>
      </c>
      <c r="O966" t="s">
        <v>74</v>
      </c>
      <c r="P966" t="s">
        <v>74</v>
      </c>
      <c r="Q966" t="s">
        <v>74</v>
      </c>
      <c r="R966" t="s">
        <v>74</v>
      </c>
      <c r="S966" t="s">
        <v>74</v>
      </c>
      <c r="T966" t="s">
        <v>18604</v>
      </c>
      <c r="U966" t="s">
        <v>18605</v>
      </c>
      <c r="V966" t="s">
        <v>18606</v>
      </c>
      <c r="W966" t="s">
        <v>18607</v>
      </c>
      <c r="X966" t="s">
        <v>18608</v>
      </c>
      <c r="Y966" t="s">
        <v>18609</v>
      </c>
      <c r="Z966" t="s">
        <v>18610</v>
      </c>
      <c r="AA966" t="s">
        <v>18611</v>
      </c>
      <c r="AB966" t="s">
        <v>18612</v>
      </c>
      <c r="AC966" t="s">
        <v>18613</v>
      </c>
      <c r="AD966" t="s">
        <v>18614</v>
      </c>
      <c r="AE966" t="s">
        <v>18615</v>
      </c>
      <c r="AF966" t="s">
        <v>74</v>
      </c>
      <c r="AG966">
        <v>430</v>
      </c>
      <c r="AH966">
        <v>9</v>
      </c>
      <c r="AI966">
        <v>9</v>
      </c>
      <c r="AJ966">
        <v>3</v>
      </c>
      <c r="AK966">
        <v>29</v>
      </c>
      <c r="AL966" t="s">
        <v>447</v>
      </c>
      <c r="AM966" t="s">
        <v>448</v>
      </c>
      <c r="AN966" t="s">
        <v>449</v>
      </c>
      <c r="AO966" t="s">
        <v>8755</v>
      </c>
      <c r="AP966" t="s">
        <v>8756</v>
      </c>
      <c r="AQ966" t="s">
        <v>74</v>
      </c>
      <c r="AR966" t="s">
        <v>8757</v>
      </c>
      <c r="AS966" t="s">
        <v>8758</v>
      </c>
      <c r="AT966" t="s">
        <v>8210</v>
      </c>
      <c r="AU966">
        <v>2023</v>
      </c>
      <c r="AV966">
        <v>237</v>
      </c>
      <c r="AW966" t="s">
        <v>74</v>
      </c>
      <c r="AX966" t="s">
        <v>74</v>
      </c>
      <c r="AY966" t="s">
        <v>74</v>
      </c>
      <c r="AZ966" t="s">
        <v>74</v>
      </c>
      <c r="BA966" t="s">
        <v>74</v>
      </c>
      <c r="BB966" t="s">
        <v>74</v>
      </c>
      <c r="BC966" t="s">
        <v>74</v>
      </c>
      <c r="BD966">
        <v>104314</v>
      </c>
      <c r="BE966" t="s">
        <v>18616</v>
      </c>
      <c r="BF966" t="str">
        <f>HYPERLINK("http://dx.doi.org/10.1016/j.earscirev.2023.104314","http://dx.doi.org/10.1016/j.earscirev.2023.104314")</f>
        <v>http://dx.doi.org/10.1016/j.earscirev.2023.104314</v>
      </c>
      <c r="BG966" t="s">
        <v>74</v>
      </c>
      <c r="BH966" t="s">
        <v>16484</v>
      </c>
      <c r="BI966">
        <v>45</v>
      </c>
      <c r="BJ966" t="s">
        <v>261</v>
      </c>
      <c r="BK966" t="s">
        <v>103</v>
      </c>
      <c r="BL966" t="s">
        <v>262</v>
      </c>
      <c r="BM966" t="s">
        <v>18617</v>
      </c>
      <c r="BN966" t="s">
        <v>74</v>
      </c>
      <c r="BO966" t="s">
        <v>74</v>
      </c>
      <c r="BP966" t="s">
        <v>74</v>
      </c>
      <c r="BQ966" t="s">
        <v>74</v>
      </c>
      <c r="BR966" t="s">
        <v>106</v>
      </c>
      <c r="BS966" t="s">
        <v>18618</v>
      </c>
      <c r="BT966" t="str">
        <f>HYPERLINK("https%3A%2F%2Fwww.webofscience.com%2Fwos%2Fwoscc%2Ffull-record%2FWOS:000923574300001","View Full Record in Web of Science")</f>
        <v>View Full Record in Web of Science</v>
      </c>
    </row>
    <row r="967" spans="1:72" x14ac:dyDescent="0.15">
      <c r="A967" t="s">
        <v>72</v>
      </c>
      <c r="B967" t="s">
        <v>18619</v>
      </c>
      <c r="C967" t="s">
        <v>74</v>
      </c>
      <c r="D967" t="s">
        <v>74</v>
      </c>
      <c r="E967" t="s">
        <v>74</v>
      </c>
      <c r="F967" t="s">
        <v>18620</v>
      </c>
      <c r="G967" t="s">
        <v>74</v>
      </c>
      <c r="H967" t="s">
        <v>74</v>
      </c>
      <c r="I967" t="s">
        <v>18621</v>
      </c>
      <c r="J967" t="s">
        <v>3011</v>
      </c>
      <c r="K967" t="s">
        <v>74</v>
      </c>
      <c r="L967" t="s">
        <v>74</v>
      </c>
      <c r="M967" t="s">
        <v>78</v>
      </c>
      <c r="N967" t="s">
        <v>112</v>
      </c>
      <c r="O967" t="s">
        <v>74</v>
      </c>
      <c r="P967" t="s">
        <v>74</v>
      </c>
      <c r="Q967" t="s">
        <v>74</v>
      </c>
      <c r="R967" t="s">
        <v>74</v>
      </c>
      <c r="S967" t="s">
        <v>74</v>
      </c>
      <c r="T967" t="s">
        <v>18622</v>
      </c>
      <c r="U967" t="s">
        <v>18623</v>
      </c>
      <c r="V967" t="s">
        <v>18624</v>
      </c>
      <c r="W967" t="s">
        <v>18625</v>
      </c>
      <c r="X967" t="s">
        <v>18626</v>
      </c>
      <c r="Y967" t="s">
        <v>18627</v>
      </c>
      <c r="Z967" t="s">
        <v>18628</v>
      </c>
      <c r="AA967" t="s">
        <v>18629</v>
      </c>
      <c r="AB967" t="s">
        <v>18630</v>
      </c>
      <c r="AC967" t="s">
        <v>18631</v>
      </c>
      <c r="AD967" t="s">
        <v>18632</v>
      </c>
      <c r="AE967" t="s">
        <v>18633</v>
      </c>
      <c r="AF967" t="s">
        <v>74</v>
      </c>
      <c r="AG967">
        <v>134</v>
      </c>
      <c r="AH967">
        <v>2</v>
      </c>
      <c r="AI967">
        <v>2</v>
      </c>
      <c r="AJ967">
        <v>2</v>
      </c>
      <c r="AK967">
        <v>4</v>
      </c>
      <c r="AL967" t="s">
        <v>700</v>
      </c>
      <c r="AM967" t="s">
        <v>701</v>
      </c>
      <c r="AN967" t="s">
        <v>702</v>
      </c>
      <c r="AO967" t="s">
        <v>74</v>
      </c>
      <c r="AP967" t="s">
        <v>3023</v>
      </c>
      <c r="AQ967" t="s">
        <v>74</v>
      </c>
      <c r="AR967" t="s">
        <v>3024</v>
      </c>
      <c r="AS967" t="s">
        <v>3025</v>
      </c>
      <c r="AT967" t="s">
        <v>18530</v>
      </c>
      <c r="AU967">
        <v>2023</v>
      </c>
      <c r="AV967">
        <v>10</v>
      </c>
      <c r="AW967" t="s">
        <v>74</v>
      </c>
      <c r="AX967" t="s">
        <v>74</v>
      </c>
      <c r="AY967" t="s">
        <v>74</v>
      </c>
      <c r="AZ967" t="s">
        <v>74</v>
      </c>
      <c r="BA967" t="s">
        <v>74</v>
      </c>
      <c r="BB967" t="s">
        <v>74</v>
      </c>
      <c r="BC967" t="s">
        <v>74</v>
      </c>
      <c r="BD967">
        <v>1061515</v>
      </c>
      <c r="BE967" t="s">
        <v>18634</v>
      </c>
      <c r="BF967" t="str">
        <f>HYPERLINK("http://dx.doi.org/10.3389/feart.2022.1061515","http://dx.doi.org/10.3389/feart.2022.1061515")</f>
        <v>http://dx.doi.org/10.3389/feart.2022.1061515</v>
      </c>
      <c r="BG967" t="s">
        <v>74</v>
      </c>
      <c r="BH967" t="s">
        <v>74</v>
      </c>
      <c r="BI967">
        <v>28</v>
      </c>
      <c r="BJ967" t="s">
        <v>261</v>
      </c>
      <c r="BK967" t="s">
        <v>103</v>
      </c>
      <c r="BL967" t="s">
        <v>262</v>
      </c>
      <c r="BM967" t="s">
        <v>18635</v>
      </c>
      <c r="BN967" t="s">
        <v>74</v>
      </c>
      <c r="BO967" t="s">
        <v>136</v>
      </c>
      <c r="BP967" t="s">
        <v>74</v>
      </c>
      <c r="BQ967" t="s">
        <v>74</v>
      </c>
      <c r="BR967" t="s">
        <v>106</v>
      </c>
      <c r="BS967" t="s">
        <v>18636</v>
      </c>
      <c r="BT967" t="str">
        <f>HYPERLINK("https%3A%2F%2Fwww.webofscience.com%2Fwos%2Fwoscc%2Ffull-record%2FWOS:000922999600001","View Full Record in Web of Science")</f>
        <v>View Full Record in Web of Science</v>
      </c>
    </row>
    <row r="968" spans="1:72" x14ac:dyDescent="0.15">
      <c r="A968" t="s">
        <v>72</v>
      </c>
      <c r="B968" t="s">
        <v>18637</v>
      </c>
      <c r="C968" t="s">
        <v>74</v>
      </c>
      <c r="D968" t="s">
        <v>74</v>
      </c>
      <c r="E968" t="s">
        <v>74</v>
      </c>
      <c r="F968" t="s">
        <v>18638</v>
      </c>
      <c r="G968" t="s">
        <v>74</v>
      </c>
      <c r="H968" t="s">
        <v>74</v>
      </c>
      <c r="I968" t="s">
        <v>18639</v>
      </c>
      <c r="J968" t="s">
        <v>3089</v>
      </c>
      <c r="K968" t="s">
        <v>74</v>
      </c>
      <c r="L968" t="s">
        <v>74</v>
      </c>
      <c r="M968" t="s">
        <v>78</v>
      </c>
      <c r="N968" t="s">
        <v>112</v>
      </c>
      <c r="O968" t="s">
        <v>74</v>
      </c>
      <c r="P968" t="s">
        <v>74</v>
      </c>
      <c r="Q968" t="s">
        <v>74</v>
      </c>
      <c r="R968" t="s">
        <v>74</v>
      </c>
      <c r="S968" t="s">
        <v>74</v>
      </c>
      <c r="T968" t="s">
        <v>18640</v>
      </c>
      <c r="U968" t="s">
        <v>18641</v>
      </c>
      <c r="V968" t="s">
        <v>18642</v>
      </c>
      <c r="W968" t="s">
        <v>18643</v>
      </c>
      <c r="X968" t="s">
        <v>18644</v>
      </c>
      <c r="Y968" t="s">
        <v>18645</v>
      </c>
      <c r="Z968" t="s">
        <v>18646</v>
      </c>
      <c r="AA968" t="s">
        <v>74</v>
      </c>
      <c r="AB968" t="s">
        <v>74</v>
      </c>
      <c r="AC968" t="s">
        <v>74</v>
      </c>
      <c r="AD968" t="s">
        <v>74</v>
      </c>
      <c r="AE968" t="s">
        <v>74</v>
      </c>
      <c r="AF968" t="s">
        <v>74</v>
      </c>
      <c r="AG968">
        <v>63</v>
      </c>
      <c r="AH968">
        <v>1</v>
      </c>
      <c r="AI968">
        <v>1</v>
      </c>
      <c r="AJ968">
        <v>5</v>
      </c>
      <c r="AK968">
        <v>11</v>
      </c>
      <c r="AL968" t="s">
        <v>700</v>
      </c>
      <c r="AM968" t="s">
        <v>701</v>
      </c>
      <c r="AN968" t="s">
        <v>702</v>
      </c>
      <c r="AO968" t="s">
        <v>74</v>
      </c>
      <c r="AP968" t="s">
        <v>3098</v>
      </c>
      <c r="AQ968" t="s">
        <v>74</v>
      </c>
      <c r="AR968" t="s">
        <v>3099</v>
      </c>
      <c r="AS968" t="s">
        <v>3100</v>
      </c>
      <c r="AT968" t="s">
        <v>18530</v>
      </c>
      <c r="AU968">
        <v>2023</v>
      </c>
      <c r="AV968">
        <v>13</v>
      </c>
      <c r="AW968" t="s">
        <v>74</v>
      </c>
      <c r="AX968" t="s">
        <v>74</v>
      </c>
      <c r="AY968" t="s">
        <v>74</v>
      </c>
      <c r="AZ968" t="s">
        <v>74</v>
      </c>
      <c r="BA968" t="s">
        <v>74</v>
      </c>
      <c r="BB968" t="s">
        <v>74</v>
      </c>
      <c r="BC968" t="s">
        <v>74</v>
      </c>
      <c r="BD968">
        <v>1085063</v>
      </c>
      <c r="BE968" t="s">
        <v>18647</v>
      </c>
      <c r="BF968" t="str">
        <f>HYPERLINK("http://dx.doi.org/10.3389/fmicb.2022.1085063","http://dx.doi.org/10.3389/fmicb.2022.1085063")</f>
        <v>http://dx.doi.org/10.3389/fmicb.2022.1085063</v>
      </c>
      <c r="BG968" t="s">
        <v>74</v>
      </c>
      <c r="BH968" t="s">
        <v>74</v>
      </c>
      <c r="BI968">
        <v>15</v>
      </c>
      <c r="BJ968" t="s">
        <v>1387</v>
      </c>
      <c r="BK968" t="s">
        <v>103</v>
      </c>
      <c r="BL968" t="s">
        <v>1387</v>
      </c>
      <c r="BM968" t="s">
        <v>18648</v>
      </c>
      <c r="BN968">
        <v>36713225</v>
      </c>
      <c r="BO968" t="s">
        <v>136</v>
      </c>
      <c r="BP968" t="s">
        <v>74</v>
      </c>
      <c r="BQ968" t="s">
        <v>74</v>
      </c>
      <c r="BR968" t="s">
        <v>106</v>
      </c>
      <c r="BS968" t="s">
        <v>18649</v>
      </c>
      <c r="BT968" t="str">
        <f>HYPERLINK("https%3A%2F%2Fwww.webofscience.com%2Fwos%2Fwoscc%2Ffull-record%2FWOS:000918534500001","View Full Record in Web of Science")</f>
        <v>View Full Record in Web of Science</v>
      </c>
    </row>
    <row r="969" spans="1:72" x14ac:dyDescent="0.15">
      <c r="A969" t="s">
        <v>72</v>
      </c>
      <c r="B969" t="s">
        <v>18650</v>
      </c>
      <c r="C969" t="s">
        <v>74</v>
      </c>
      <c r="D969" t="s">
        <v>74</v>
      </c>
      <c r="E969" t="s">
        <v>74</v>
      </c>
      <c r="F969" t="s">
        <v>18651</v>
      </c>
      <c r="G969" t="s">
        <v>74</v>
      </c>
      <c r="H969" t="s">
        <v>74</v>
      </c>
      <c r="I969" t="s">
        <v>18652</v>
      </c>
      <c r="J969" t="s">
        <v>1025</v>
      </c>
      <c r="K969" t="s">
        <v>74</v>
      </c>
      <c r="L969" t="s">
        <v>74</v>
      </c>
      <c r="M969" t="s">
        <v>78</v>
      </c>
      <c r="N969" t="s">
        <v>112</v>
      </c>
      <c r="O969" t="s">
        <v>74</v>
      </c>
      <c r="P969" t="s">
        <v>74</v>
      </c>
      <c r="Q969" t="s">
        <v>74</v>
      </c>
      <c r="R969" t="s">
        <v>74</v>
      </c>
      <c r="S969" t="s">
        <v>74</v>
      </c>
      <c r="T969" t="s">
        <v>74</v>
      </c>
      <c r="U969" t="s">
        <v>18653</v>
      </c>
      <c r="V969" t="s">
        <v>18654</v>
      </c>
      <c r="W969" t="s">
        <v>18655</v>
      </c>
      <c r="X969" t="s">
        <v>18656</v>
      </c>
      <c r="Y969" t="s">
        <v>18657</v>
      </c>
      <c r="Z969" t="s">
        <v>18658</v>
      </c>
      <c r="AA969" t="s">
        <v>18659</v>
      </c>
      <c r="AB969" t="s">
        <v>18660</v>
      </c>
      <c r="AC969" t="s">
        <v>18661</v>
      </c>
      <c r="AD969" t="s">
        <v>18662</v>
      </c>
      <c r="AE969" t="s">
        <v>18663</v>
      </c>
      <c r="AF969" t="s">
        <v>74</v>
      </c>
      <c r="AG969">
        <v>103</v>
      </c>
      <c r="AH969">
        <v>4</v>
      </c>
      <c r="AI969">
        <v>4</v>
      </c>
      <c r="AJ969">
        <v>4</v>
      </c>
      <c r="AK969">
        <v>14</v>
      </c>
      <c r="AL969" t="s">
        <v>794</v>
      </c>
      <c r="AM969" t="s">
        <v>795</v>
      </c>
      <c r="AN969" t="s">
        <v>796</v>
      </c>
      <c r="AO969" t="s">
        <v>1036</v>
      </c>
      <c r="AP969" t="s">
        <v>1037</v>
      </c>
      <c r="AQ969" t="s">
        <v>74</v>
      </c>
      <c r="AR969" t="s">
        <v>1038</v>
      </c>
      <c r="AS969" t="s">
        <v>1039</v>
      </c>
      <c r="AT969" t="s">
        <v>18530</v>
      </c>
      <c r="AU969">
        <v>2023</v>
      </c>
      <c r="AV969">
        <v>19</v>
      </c>
      <c r="AW969">
        <v>1</v>
      </c>
      <c r="AX969" t="s">
        <v>74</v>
      </c>
      <c r="AY969" t="s">
        <v>74</v>
      </c>
      <c r="AZ969" t="s">
        <v>74</v>
      </c>
      <c r="BA969" t="s">
        <v>74</v>
      </c>
      <c r="BB969">
        <v>123</v>
      </c>
      <c r="BC969">
        <v>140</v>
      </c>
      <c r="BD969" t="s">
        <v>74</v>
      </c>
      <c r="BE969" t="s">
        <v>18664</v>
      </c>
      <c r="BF969" t="str">
        <f>HYPERLINK("http://dx.doi.org/10.5194/cp-19-123-2023","http://dx.doi.org/10.5194/cp-19-123-2023")</f>
        <v>http://dx.doi.org/10.5194/cp-19-123-2023</v>
      </c>
      <c r="BG969" t="s">
        <v>74</v>
      </c>
      <c r="BH969" t="s">
        <v>74</v>
      </c>
      <c r="BI969">
        <v>18</v>
      </c>
      <c r="BJ969" t="s">
        <v>1041</v>
      </c>
      <c r="BK969" t="s">
        <v>103</v>
      </c>
      <c r="BL969" t="s">
        <v>1042</v>
      </c>
      <c r="BM969" t="s">
        <v>18665</v>
      </c>
      <c r="BN969" t="s">
        <v>74</v>
      </c>
      <c r="BO969" t="s">
        <v>10521</v>
      </c>
      <c r="BP969" t="s">
        <v>74</v>
      </c>
      <c r="BQ969" t="s">
        <v>74</v>
      </c>
      <c r="BR969" t="s">
        <v>106</v>
      </c>
      <c r="BS969" t="s">
        <v>18666</v>
      </c>
      <c r="BT969" t="str">
        <f>HYPERLINK("https%3A%2F%2Fwww.webofscience.com%2Fwos%2Fwoscc%2Ffull-record%2FWOS:000913387300001","View Full Record in Web of Science")</f>
        <v>View Full Record in Web of Science</v>
      </c>
    </row>
    <row r="970" spans="1:72" x14ac:dyDescent="0.15">
      <c r="A970" t="s">
        <v>72</v>
      </c>
      <c r="B970" t="s">
        <v>18667</v>
      </c>
      <c r="C970" t="s">
        <v>74</v>
      </c>
      <c r="D970" t="s">
        <v>74</v>
      </c>
      <c r="E970" t="s">
        <v>74</v>
      </c>
      <c r="F970" t="s">
        <v>18668</v>
      </c>
      <c r="G970" t="s">
        <v>74</v>
      </c>
      <c r="H970" t="s">
        <v>74</v>
      </c>
      <c r="I970" t="s">
        <v>18669</v>
      </c>
      <c r="J970" t="s">
        <v>9947</v>
      </c>
      <c r="K970" t="s">
        <v>74</v>
      </c>
      <c r="L970" t="s">
        <v>74</v>
      </c>
      <c r="M970" t="s">
        <v>78</v>
      </c>
      <c r="N970" t="s">
        <v>112</v>
      </c>
      <c r="O970" t="s">
        <v>74</v>
      </c>
      <c r="P970" t="s">
        <v>74</v>
      </c>
      <c r="Q970" t="s">
        <v>74</v>
      </c>
      <c r="R970" t="s">
        <v>74</v>
      </c>
      <c r="S970" t="s">
        <v>74</v>
      </c>
      <c r="T970" t="s">
        <v>74</v>
      </c>
      <c r="U970" t="s">
        <v>18670</v>
      </c>
      <c r="V970" t="s">
        <v>18671</v>
      </c>
      <c r="W970" t="s">
        <v>18672</v>
      </c>
      <c r="X970" t="s">
        <v>18673</v>
      </c>
      <c r="Y970" t="s">
        <v>18674</v>
      </c>
      <c r="Z970" t="s">
        <v>18675</v>
      </c>
      <c r="AA970" t="s">
        <v>18676</v>
      </c>
      <c r="AB970" t="s">
        <v>18677</v>
      </c>
      <c r="AC970" t="s">
        <v>18678</v>
      </c>
      <c r="AD970" t="s">
        <v>18679</v>
      </c>
      <c r="AE970" t="s">
        <v>18680</v>
      </c>
      <c r="AF970" t="s">
        <v>74</v>
      </c>
      <c r="AG970">
        <v>84</v>
      </c>
      <c r="AH970">
        <v>1</v>
      </c>
      <c r="AI970">
        <v>1</v>
      </c>
      <c r="AJ970">
        <v>2</v>
      </c>
      <c r="AK970">
        <v>4</v>
      </c>
      <c r="AL970" t="s">
        <v>794</v>
      </c>
      <c r="AM970" t="s">
        <v>795</v>
      </c>
      <c r="AN970" t="s">
        <v>796</v>
      </c>
      <c r="AO970" t="s">
        <v>9956</v>
      </c>
      <c r="AP970" t="s">
        <v>9957</v>
      </c>
      <c r="AQ970" t="s">
        <v>74</v>
      </c>
      <c r="AR970" t="s">
        <v>9958</v>
      </c>
      <c r="AS970" t="s">
        <v>9959</v>
      </c>
      <c r="AT970" t="s">
        <v>18530</v>
      </c>
      <c r="AU970">
        <v>2023</v>
      </c>
      <c r="AV970">
        <v>16</v>
      </c>
      <c r="AW970">
        <v>1</v>
      </c>
      <c r="AX970" t="s">
        <v>74</v>
      </c>
      <c r="AY970" t="s">
        <v>74</v>
      </c>
      <c r="AZ970" t="s">
        <v>74</v>
      </c>
      <c r="BA970" t="s">
        <v>74</v>
      </c>
      <c r="BB970">
        <v>383</v>
      </c>
      <c r="BC970">
        <v>405</v>
      </c>
      <c r="BD970" t="s">
        <v>74</v>
      </c>
      <c r="BE970" t="s">
        <v>18681</v>
      </c>
      <c r="BF970" t="str">
        <f>HYPERLINK("http://dx.doi.org/10.5194/gmd-16-383-2023","http://dx.doi.org/10.5194/gmd-16-383-2023")</f>
        <v>http://dx.doi.org/10.5194/gmd-16-383-2023</v>
      </c>
      <c r="BG970" t="s">
        <v>74</v>
      </c>
      <c r="BH970" t="s">
        <v>74</v>
      </c>
      <c r="BI970">
        <v>23</v>
      </c>
      <c r="BJ970" t="s">
        <v>261</v>
      </c>
      <c r="BK970" t="s">
        <v>103</v>
      </c>
      <c r="BL970" t="s">
        <v>262</v>
      </c>
      <c r="BM970" t="s">
        <v>18682</v>
      </c>
      <c r="BN970" t="s">
        <v>74</v>
      </c>
      <c r="BO970" t="s">
        <v>3241</v>
      </c>
      <c r="BP970" t="s">
        <v>74</v>
      </c>
      <c r="BQ970" t="s">
        <v>74</v>
      </c>
      <c r="BR970" t="s">
        <v>106</v>
      </c>
      <c r="BS970" t="s">
        <v>18683</v>
      </c>
      <c r="BT970" t="str">
        <f>HYPERLINK("https%3A%2F%2Fwww.webofscience.com%2Fwos%2Fwoscc%2Ffull-record%2FWOS:000912703800001","View Full Record in Web of Science")</f>
        <v>View Full Record in Web of Science</v>
      </c>
    </row>
    <row r="971" spans="1:72" x14ac:dyDescent="0.15">
      <c r="A971" t="s">
        <v>72</v>
      </c>
      <c r="B971" t="s">
        <v>18684</v>
      </c>
      <c r="C971" t="s">
        <v>74</v>
      </c>
      <c r="D971" t="s">
        <v>74</v>
      </c>
      <c r="E971" t="s">
        <v>74</v>
      </c>
      <c r="F971" t="s">
        <v>18685</v>
      </c>
      <c r="G971" t="s">
        <v>74</v>
      </c>
      <c r="H971" t="s">
        <v>74</v>
      </c>
      <c r="I971" t="s">
        <v>18686</v>
      </c>
      <c r="J971" t="s">
        <v>18687</v>
      </c>
      <c r="K971" t="s">
        <v>74</v>
      </c>
      <c r="L971" t="s">
        <v>74</v>
      </c>
      <c r="M971" t="s">
        <v>78</v>
      </c>
      <c r="N971" t="s">
        <v>112</v>
      </c>
      <c r="O971" t="s">
        <v>74</v>
      </c>
      <c r="P971" t="s">
        <v>74</v>
      </c>
      <c r="Q971" t="s">
        <v>74</v>
      </c>
      <c r="R971" t="s">
        <v>74</v>
      </c>
      <c r="S971" t="s">
        <v>74</v>
      </c>
      <c r="T971" t="s">
        <v>18688</v>
      </c>
      <c r="U971" t="s">
        <v>18689</v>
      </c>
      <c r="V971" t="s">
        <v>18690</v>
      </c>
      <c r="W971" t="s">
        <v>18691</v>
      </c>
      <c r="X971" t="s">
        <v>18692</v>
      </c>
      <c r="Y971" t="s">
        <v>18693</v>
      </c>
      <c r="Z971" t="s">
        <v>18694</v>
      </c>
      <c r="AA971" t="s">
        <v>18695</v>
      </c>
      <c r="AB971" t="s">
        <v>18696</v>
      </c>
      <c r="AC971" t="s">
        <v>18697</v>
      </c>
      <c r="AD971" t="s">
        <v>18698</v>
      </c>
      <c r="AE971" t="s">
        <v>18699</v>
      </c>
      <c r="AF971" t="s">
        <v>74</v>
      </c>
      <c r="AG971">
        <v>127</v>
      </c>
      <c r="AH971">
        <v>3</v>
      </c>
      <c r="AI971">
        <v>3</v>
      </c>
      <c r="AJ971">
        <v>5</v>
      </c>
      <c r="AK971">
        <v>28</v>
      </c>
      <c r="AL971" t="s">
        <v>2092</v>
      </c>
      <c r="AM971" t="s">
        <v>2093</v>
      </c>
      <c r="AN971" t="s">
        <v>2094</v>
      </c>
      <c r="AO971" t="s">
        <v>18700</v>
      </c>
      <c r="AP971" t="s">
        <v>18701</v>
      </c>
      <c r="AQ971" t="s">
        <v>74</v>
      </c>
      <c r="AR971" t="s">
        <v>18702</v>
      </c>
      <c r="AS971" t="s">
        <v>18703</v>
      </c>
      <c r="AT971" t="s">
        <v>1437</v>
      </c>
      <c r="AU971">
        <v>2023</v>
      </c>
      <c r="AV971">
        <v>68</v>
      </c>
      <c r="AW971">
        <v>4</v>
      </c>
      <c r="AX971" t="s">
        <v>74</v>
      </c>
      <c r="AY971" t="s">
        <v>74</v>
      </c>
      <c r="AZ971" t="s">
        <v>74</v>
      </c>
      <c r="BA971" t="s">
        <v>74</v>
      </c>
      <c r="BB971">
        <v>561</v>
      </c>
      <c r="BC971">
        <v>576</v>
      </c>
      <c r="BD971" t="s">
        <v>74</v>
      </c>
      <c r="BE971" t="s">
        <v>18704</v>
      </c>
      <c r="BF971" t="str">
        <f>HYPERLINK("http://dx.doi.org/10.1111/fwb.14047","http://dx.doi.org/10.1111/fwb.14047")</f>
        <v>http://dx.doi.org/10.1111/fwb.14047</v>
      </c>
      <c r="BG971" t="s">
        <v>74</v>
      </c>
      <c r="BH971" t="s">
        <v>16484</v>
      </c>
      <c r="BI971">
        <v>16</v>
      </c>
      <c r="BJ971" t="s">
        <v>7947</v>
      </c>
      <c r="BK971" t="s">
        <v>103</v>
      </c>
      <c r="BL971" t="s">
        <v>637</v>
      </c>
      <c r="BM971" t="s">
        <v>18705</v>
      </c>
      <c r="BN971" t="s">
        <v>74</v>
      </c>
      <c r="BO971" t="s">
        <v>1389</v>
      </c>
      <c r="BP971" t="s">
        <v>74</v>
      </c>
      <c r="BQ971" t="s">
        <v>74</v>
      </c>
      <c r="BR971" t="s">
        <v>106</v>
      </c>
      <c r="BS971" t="s">
        <v>18706</v>
      </c>
      <c r="BT971" t="str">
        <f>HYPERLINK("https%3A%2F%2Fwww.webofscience.com%2Fwos%2Fwoscc%2Ffull-record%2FWOS:000913607100001","View Full Record in Web of Science")</f>
        <v>View Full Record in Web of Science</v>
      </c>
    </row>
    <row r="972" spans="1:72" x14ac:dyDescent="0.15">
      <c r="A972" t="s">
        <v>72</v>
      </c>
      <c r="B972" t="s">
        <v>18707</v>
      </c>
      <c r="C972" t="s">
        <v>74</v>
      </c>
      <c r="D972" t="s">
        <v>74</v>
      </c>
      <c r="E972" t="s">
        <v>74</v>
      </c>
      <c r="F972" t="s">
        <v>18708</v>
      </c>
      <c r="G972" t="s">
        <v>74</v>
      </c>
      <c r="H972" t="s">
        <v>74</v>
      </c>
      <c r="I972" t="s">
        <v>18709</v>
      </c>
      <c r="J972" t="s">
        <v>18710</v>
      </c>
      <c r="K972" t="s">
        <v>74</v>
      </c>
      <c r="L972" t="s">
        <v>74</v>
      </c>
      <c r="M972" t="s">
        <v>78</v>
      </c>
      <c r="N972" t="s">
        <v>365</v>
      </c>
      <c r="O972" t="s">
        <v>74</v>
      </c>
      <c r="P972" t="s">
        <v>74</v>
      </c>
      <c r="Q972" t="s">
        <v>74</v>
      </c>
      <c r="R972" t="s">
        <v>74</v>
      </c>
      <c r="S972" t="s">
        <v>74</v>
      </c>
      <c r="T972" t="s">
        <v>18711</v>
      </c>
      <c r="U972" t="s">
        <v>18712</v>
      </c>
      <c r="V972" t="s">
        <v>18713</v>
      </c>
      <c r="W972" t="s">
        <v>18714</v>
      </c>
      <c r="X972" t="s">
        <v>74</v>
      </c>
      <c r="Y972" t="s">
        <v>18715</v>
      </c>
      <c r="Z972" t="s">
        <v>18716</v>
      </c>
      <c r="AA972" t="s">
        <v>18717</v>
      </c>
      <c r="AB972" t="s">
        <v>18718</v>
      </c>
      <c r="AC972" t="s">
        <v>74</v>
      </c>
      <c r="AD972" t="s">
        <v>74</v>
      </c>
      <c r="AE972" t="s">
        <v>74</v>
      </c>
      <c r="AF972" t="s">
        <v>74</v>
      </c>
      <c r="AG972">
        <v>130</v>
      </c>
      <c r="AH972">
        <v>2</v>
      </c>
      <c r="AI972">
        <v>2</v>
      </c>
      <c r="AJ972">
        <v>3</v>
      </c>
      <c r="AK972">
        <v>9</v>
      </c>
      <c r="AL972" t="s">
        <v>5866</v>
      </c>
      <c r="AM972" t="s">
        <v>419</v>
      </c>
      <c r="AN972" t="s">
        <v>5867</v>
      </c>
      <c r="AO972" t="s">
        <v>18719</v>
      </c>
      <c r="AP972" t="s">
        <v>18720</v>
      </c>
      <c r="AQ972" t="s">
        <v>74</v>
      </c>
      <c r="AR972" t="s">
        <v>18721</v>
      </c>
      <c r="AS972" t="s">
        <v>18722</v>
      </c>
      <c r="AT972" t="s">
        <v>1505</v>
      </c>
      <c r="AU972">
        <v>2022</v>
      </c>
      <c r="AV972">
        <v>24</v>
      </c>
      <c r="AW972" t="s">
        <v>18723</v>
      </c>
      <c r="AX972" t="s">
        <v>74</v>
      </c>
      <c r="AY972" t="s">
        <v>74</v>
      </c>
      <c r="AZ972" t="s">
        <v>74</v>
      </c>
      <c r="BA972" t="s">
        <v>74</v>
      </c>
      <c r="BB972">
        <v>3</v>
      </c>
      <c r="BC972">
        <v>35</v>
      </c>
      <c r="BD972" t="s">
        <v>74</v>
      </c>
      <c r="BE972" t="s">
        <v>18724</v>
      </c>
      <c r="BF972" t="str">
        <f>HYPERLINK("http://dx.doi.org/10.1080/13505033.2022.2156145","http://dx.doi.org/10.1080/13505033.2022.2156145")</f>
        <v>http://dx.doi.org/10.1080/13505033.2022.2156145</v>
      </c>
      <c r="BG972" t="s">
        <v>74</v>
      </c>
      <c r="BH972" t="s">
        <v>16484</v>
      </c>
      <c r="BI972">
        <v>33</v>
      </c>
      <c r="BJ972" t="s">
        <v>18725</v>
      </c>
      <c r="BK972" t="s">
        <v>5875</v>
      </c>
      <c r="BL972" t="s">
        <v>18725</v>
      </c>
      <c r="BM972" t="s">
        <v>18726</v>
      </c>
      <c r="BN972" t="s">
        <v>74</v>
      </c>
      <c r="BO972" t="s">
        <v>387</v>
      </c>
      <c r="BP972" t="s">
        <v>74</v>
      </c>
      <c r="BQ972" t="s">
        <v>74</v>
      </c>
      <c r="BR972" t="s">
        <v>106</v>
      </c>
      <c r="BS972" t="s">
        <v>18727</v>
      </c>
      <c r="BT972" t="str">
        <f>HYPERLINK("https%3A%2F%2Fwww.webofscience.com%2Fwos%2Fwoscc%2Ffull-record%2FWOS:000911546000001","View Full Record in Web of Science")</f>
        <v>View Full Record in Web of Science</v>
      </c>
    </row>
    <row r="973" spans="1:72" x14ac:dyDescent="0.15">
      <c r="A973" t="s">
        <v>72</v>
      </c>
      <c r="B973" t="s">
        <v>18728</v>
      </c>
      <c r="C973" t="s">
        <v>74</v>
      </c>
      <c r="D973" t="s">
        <v>74</v>
      </c>
      <c r="E973" t="s">
        <v>74</v>
      </c>
      <c r="F973" t="s">
        <v>18729</v>
      </c>
      <c r="G973" t="s">
        <v>74</v>
      </c>
      <c r="H973" t="s">
        <v>74</v>
      </c>
      <c r="I973" t="s">
        <v>18730</v>
      </c>
      <c r="J973" t="s">
        <v>12296</v>
      </c>
      <c r="K973" t="s">
        <v>74</v>
      </c>
      <c r="L973" t="s">
        <v>74</v>
      </c>
      <c r="M973" t="s">
        <v>78</v>
      </c>
      <c r="N973" t="s">
        <v>112</v>
      </c>
      <c r="O973" t="s">
        <v>74</v>
      </c>
      <c r="P973" t="s">
        <v>74</v>
      </c>
      <c r="Q973" t="s">
        <v>74</v>
      </c>
      <c r="R973" t="s">
        <v>74</v>
      </c>
      <c r="S973" t="s">
        <v>74</v>
      </c>
      <c r="T973" t="s">
        <v>18731</v>
      </c>
      <c r="U973" t="s">
        <v>18732</v>
      </c>
      <c r="V973" t="s">
        <v>18733</v>
      </c>
      <c r="W973" t="s">
        <v>18734</v>
      </c>
      <c r="X973" t="s">
        <v>18735</v>
      </c>
      <c r="Y973" t="s">
        <v>18736</v>
      </c>
      <c r="Z973" t="s">
        <v>18737</v>
      </c>
      <c r="AA973" t="s">
        <v>16751</v>
      </c>
      <c r="AB973" t="s">
        <v>16752</v>
      </c>
      <c r="AC973" t="s">
        <v>18738</v>
      </c>
      <c r="AD973" t="s">
        <v>18739</v>
      </c>
      <c r="AE973" t="s">
        <v>18740</v>
      </c>
      <c r="AF973" t="s">
        <v>74</v>
      </c>
      <c r="AG973">
        <v>51</v>
      </c>
      <c r="AH973">
        <v>6</v>
      </c>
      <c r="AI973">
        <v>6</v>
      </c>
      <c r="AJ973">
        <v>4</v>
      </c>
      <c r="AK973">
        <v>4</v>
      </c>
      <c r="AL973" t="s">
        <v>700</v>
      </c>
      <c r="AM973" t="s">
        <v>701</v>
      </c>
      <c r="AN973" t="s">
        <v>702</v>
      </c>
      <c r="AO973" t="s">
        <v>12309</v>
      </c>
      <c r="AP973" t="s">
        <v>74</v>
      </c>
      <c r="AQ973" t="s">
        <v>74</v>
      </c>
      <c r="AR973" t="s">
        <v>12310</v>
      </c>
      <c r="AS973" t="s">
        <v>12311</v>
      </c>
      <c r="AT973" t="s">
        <v>18741</v>
      </c>
      <c r="AU973">
        <v>2023</v>
      </c>
      <c r="AV973">
        <v>9</v>
      </c>
      <c r="AW973" t="s">
        <v>74</v>
      </c>
      <c r="AX973" t="s">
        <v>74</v>
      </c>
      <c r="AY973" t="s">
        <v>74</v>
      </c>
      <c r="AZ973" t="s">
        <v>74</v>
      </c>
      <c r="BA973" t="s">
        <v>74</v>
      </c>
      <c r="BB973" t="s">
        <v>74</v>
      </c>
      <c r="BC973" t="s">
        <v>74</v>
      </c>
      <c r="BD973">
        <v>1048318</v>
      </c>
      <c r="BE973" t="s">
        <v>18742</v>
      </c>
      <c r="BF973" t="str">
        <f>HYPERLINK("http://dx.doi.org/10.3389/fspas.2022.1048318","http://dx.doi.org/10.3389/fspas.2022.1048318")</f>
        <v>http://dx.doi.org/10.3389/fspas.2022.1048318</v>
      </c>
      <c r="BG973" t="s">
        <v>74</v>
      </c>
      <c r="BH973" t="s">
        <v>74</v>
      </c>
      <c r="BI973">
        <v>30</v>
      </c>
      <c r="BJ973" t="s">
        <v>159</v>
      </c>
      <c r="BK973" t="s">
        <v>103</v>
      </c>
      <c r="BL973" t="s">
        <v>159</v>
      </c>
      <c r="BM973" t="s">
        <v>18743</v>
      </c>
      <c r="BN973" t="s">
        <v>74</v>
      </c>
      <c r="BO973" t="s">
        <v>7702</v>
      </c>
      <c r="BP973" t="s">
        <v>74</v>
      </c>
      <c r="BQ973" t="s">
        <v>74</v>
      </c>
      <c r="BR973" t="s">
        <v>106</v>
      </c>
      <c r="BS973" t="s">
        <v>18744</v>
      </c>
      <c r="BT973" t="str">
        <f>HYPERLINK("https%3A%2F%2Fwww.webofscience.com%2Fwos%2Fwoscc%2Ffull-record%2FWOS:001076923700001","View Full Record in Web of Science")</f>
        <v>View Full Record in Web of Science</v>
      </c>
    </row>
    <row r="974" spans="1:72" x14ac:dyDescent="0.15">
      <c r="A974" t="s">
        <v>72</v>
      </c>
      <c r="B974" t="s">
        <v>18745</v>
      </c>
      <c r="C974" t="s">
        <v>74</v>
      </c>
      <c r="D974" t="s">
        <v>74</v>
      </c>
      <c r="E974" t="s">
        <v>74</v>
      </c>
      <c r="F974" t="s">
        <v>18746</v>
      </c>
      <c r="G974" t="s">
        <v>74</v>
      </c>
      <c r="H974" t="s">
        <v>74</v>
      </c>
      <c r="I974" t="s">
        <v>18747</v>
      </c>
      <c r="J974" t="s">
        <v>1491</v>
      </c>
      <c r="K974" t="s">
        <v>74</v>
      </c>
      <c r="L974" t="s">
        <v>74</v>
      </c>
      <c r="M974" t="s">
        <v>78</v>
      </c>
      <c r="N974" t="s">
        <v>112</v>
      </c>
      <c r="O974" t="s">
        <v>74</v>
      </c>
      <c r="P974" t="s">
        <v>74</v>
      </c>
      <c r="Q974" t="s">
        <v>74</v>
      </c>
      <c r="R974" t="s">
        <v>74</v>
      </c>
      <c r="S974" t="s">
        <v>74</v>
      </c>
      <c r="T974" t="s">
        <v>74</v>
      </c>
      <c r="U974" t="s">
        <v>18748</v>
      </c>
      <c r="V974" t="s">
        <v>18749</v>
      </c>
      <c r="W974" t="s">
        <v>18750</v>
      </c>
      <c r="X974" t="s">
        <v>18751</v>
      </c>
      <c r="Y974" t="s">
        <v>18752</v>
      </c>
      <c r="Z974" t="s">
        <v>18753</v>
      </c>
      <c r="AA974" t="s">
        <v>18754</v>
      </c>
      <c r="AB974" t="s">
        <v>18755</v>
      </c>
      <c r="AC974" t="s">
        <v>18756</v>
      </c>
      <c r="AD974" t="s">
        <v>18757</v>
      </c>
      <c r="AE974" t="s">
        <v>18758</v>
      </c>
      <c r="AF974" t="s">
        <v>74</v>
      </c>
      <c r="AG974">
        <v>76</v>
      </c>
      <c r="AH974">
        <v>11</v>
      </c>
      <c r="AI974">
        <v>12</v>
      </c>
      <c r="AJ974">
        <v>11</v>
      </c>
      <c r="AK974">
        <v>30</v>
      </c>
      <c r="AL974" t="s">
        <v>203</v>
      </c>
      <c r="AM974" t="s">
        <v>204</v>
      </c>
      <c r="AN974" t="s">
        <v>205</v>
      </c>
      <c r="AO974" t="s">
        <v>1502</v>
      </c>
      <c r="AP974" t="s">
        <v>1503</v>
      </c>
      <c r="AQ974" t="s">
        <v>74</v>
      </c>
      <c r="AR974" t="s">
        <v>1491</v>
      </c>
      <c r="AS974" t="s">
        <v>1504</v>
      </c>
      <c r="AT974" t="s">
        <v>18741</v>
      </c>
      <c r="AU974">
        <v>2023</v>
      </c>
      <c r="AV974">
        <v>613</v>
      </c>
      <c r="AW974">
        <v>7943</v>
      </c>
      <c r="AX974" t="s">
        <v>74</v>
      </c>
      <c r="AY974" t="s">
        <v>74</v>
      </c>
      <c r="AZ974" t="s">
        <v>74</v>
      </c>
      <c r="BA974" t="s">
        <v>74</v>
      </c>
      <c r="BB974">
        <v>292</v>
      </c>
      <c r="BC974" t="s">
        <v>1385</v>
      </c>
      <c r="BD974" t="s">
        <v>74</v>
      </c>
      <c r="BE974" t="s">
        <v>18759</v>
      </c>
      <c r="BF974" t="str">
        <f>HYPERLINK("http://dx.doi.org/10.1038/s41586-022-05411-8","http://dx.doi.org/10.1038/s41586-022-05411-8")</f>
        <v>http://dx.doi.org/10.1038/s41586-022-05411-8</v>
      </c>
      <c r="BG974" t="s">
        <v>74</v>
      </c>
      <c r="BH974" t="s">
        <v>74</v>
      </c>
      <c r="BI974">
        <v>22</v>
      </c>
      <c r="BJ974" t="s">
        <v>210</v>
      </c>
      <c r="BK974" t="s">
        <v>103</v>
      </c>
      <c r="BL974" t="s">
        <v>211</v>
      </c>
      <c r="BM974" t="s">
        <v>18760</v>
      </c>
      <c r="BN974">
        <v>36631651</v>
      </c>
      <c r="BO974" t="s">
        <v>18761</v>
      </c>
      <c r="BP974" t="s">
        <v>74</v>
      </c>
      <c r="BQ974" t="s">
        <v>74</v>
      </c>
      <c r="BR974" t="s">
        <v>106</v>
      </c>
      <c r="BS974" t="s">
        <v>18762</v>
      </c>
      <c r="BT974" t="str">
        <f>HYPERLINK("https%3A%2F%2Fwww.webofscience.com%2Fwos%2Fwoscc%2Ffull-record%2FWOS:000955880900012","View Full Record in Web of Science")</f>
        <v>View Full Record in Web of Science</v>
      </c>
    </row>
    <row r="975" spans="1:72" x14ac:dyDescent="0.15">
      <c r="A975" t="s">
        <v>72</v>
      </c>
      <c r="B975" t="s">
        <v>18763</v>
      </c>
      <c r="C975" t="s">
        <v>74</v>
      </c>
      <c r="D975" t="s">
        <v>74</v>
      </c>
      <c r="E975" t="s">
        <v>74</v>
      </c>
      <c r="F975" t="s">
        <v>18764</v>
      </c>
      <c r="G975" t="s">
        <v>74</v>
      </c>
      <c r="H975" t="s">
        <v>74</v>
      </c>
      <c r="I975" t="s">
        <v>18765</v>
      </c>
      <c r="J975" t="s">
        <v>3011</v>
      </c>
      <c r="K975" t="s">
        <v>74</v>
      </c>
      <c r="L975" t="s">
        <v>74</v>
      </c>
      <c r="M975" t="s">
        <v>78</v>
      </c>
      <c r="N975" t="s">
        <v>365</v>
      </c>
      <c r="O975" t="s">
        <v>74</v>
      </c>
      <c r="P975" t="s">
        <v>74</v>
      </c>
      <c r="Q975" t="s">
        <v>74</v>
      </c>
      <c r="R975" t="s">
        <v>74</v>
      </c>
      <c r="S975" t="s">
        <v>74</v>
      </c>
      <c r="T975" t="s">
        <v>18766</v>
      </c>
      <c r="U975" t="s">
        <v>18767</v>
      </c>
      <c r="V975" t="s">
        <v>18768</v>
      </c>
      <c r="W975" t="s">
        <v>18769</v>
      </c>
      <c r="X975" t="s">
        <v>18770</v>
      </c>
      <c r="Y975" t="s">
        <v>18771</v>
      </c>
      <c r="Z975" t="s">
        <v>18772</v>
      </c>
      <c r="AA975" t="s">
        <v>18773</v>
      </c>
      <c r="AB975" t="s">
        <v>18774</v>
      </c>
      <c r="AC975" t="s">
        <v>18775</v>
      </c>
      <c r="AD975" t="s">
        <v>18776</v>
      </c>
      <c r="AE975" t="s">
        <v>18777</v>
      </c>
      <c r="AF975" t="s">
        <v>74</v>
      </c>
      <c r="AG975">
        <v>199</v>
      </c>
      <c r="AH975">
        <v>6</v>
      </c>
      <c r="AI975">
        <v>6</v>
      </c>
      <c r="AJ975">
        <v>3</v>
      </c>
      <c r="AK975">
        <v>8</v>
      </c>
      <c r="AL975" t="s">
        <v>700</v>
      </c>
      <c r="AM975" t="s">
        <v>701</v>
      </c>
      <c r="AN975" t="s">
        <v>702</v>
      </c>
      <c r="AO975" t="s">
        <v>74</v>
      </c>
      <c r="AP975" t="s">
        <v>3023</v>
      </c>
      <c r="AQ975" t="s">
        <v>74</v>
      </c>
      <c r="AR975" t="s">
        <v>3024</v>
      </c>
      <c r="AS975" t="s">
        <v>3025</v>
      </c>
      <c r="AT975" t="s">
        <v>18741</v>
      </c>
      <c r="AU975">
        <v>2023</v>
      </c>
      <c r="AV975">
        <v>10</v>
      </c>
      <c r="AW975" t="s">
        <v>74</v>
      </c>
      <c r="AX975" t="s">
        <v>74</v>
      </c>
      <c r="AY975" t="s">
        <v>74</v>
      </c>
      <c r="AZ975" t="s">
        <v>74</v>
      </c>
      <c r="BA975" t="s">
        <v>74</v>
      </c>
      <c r="BB975" t="s">
        <v>74</v>
      </c>
      <c r="BC975" t="s">
        <v>74</v>
      </c>
      <c r="BD975">
        <v>1002760</v>
      </c>
      <c r="BE975" t="s">
        <v>18778</v>
      </c>
      <c r="BF975" t="str">
        <f>HYPERLINK("http://dx.doi.org/10.3389/feart.2022.1002760","http://dx.doi.org/10.3389/feart.2022.1002760")</f>
        <v>http://dx.doi.org/10.3389/feart.2022.1002760</v>
      </c>
      <c r="BG975" t="s">
        <v>74</v>
      </c>
      <c r="BH975" t="s">
        <v>74</v>
      </c>
      <c r="BI975">
        <v>24</v>
      </c>
      <c r="BJ975" t="s">
        <v>261</v>
      </c>
      <c r="BK975" t="s">
        <v>103</v>
      </c>
      <c r="BL975" t="s">
        <v>262</v>
      </c>
      <c r="BM975" t="s">
        <v>18779</v>
      </c>
      <c r="BN975" t="s">
        <v>74</v>
      </c>
      <c r="BO975" t="s">
        <v>162</v>
      </c>
      <c r="BP975" t="s">
        <v>74</v>
      </c>
      <c r="BQ975" t="s">
        <v>74</v>
      </c>
      <c r="BR975" t="s">
        <v>106</v>
      </c>
      <c r="BS975" t="s">
        <v>18780</v>
      </c>
      <c r="BT975" t="str">
        <f>HYPERLINK("https%3A%2F%2Fwww.webofscience.com%2Fwos%2Fwoscc%2Ffull-record%2FWOS:000940370200001","View Full Record in Web of Science")</f>
        <v>View Full Record in Web of Science</v>
      </c>
    </row>
    <row r="976" spans="1:72" x14ac:dyDescent="0.15">
      <c r="A976" t="s">
        <v>72</v>
      </c>
      <c r="B976" t="s">
        <v>18781</v>
      </c>
      <c r="C976" t="s">
        <v>74</v>
      </c>
      <c r="D976" t="s">
        <v>74</v>
      </c>
      <c r="E976" t="s">
        <v>74</v>
      </c>
      <c r="F976" t="s">
        <v>18782</v>
      </c>
      <c r="G976" t="s">
        <v>74</v>
      </c>
      <c r="H976" t="s">
        <v>74</v>
      </c>
      <c r="I976" t="s">
        <v>18783</v>
      </c>
      <c r="J976" t="s">
        <v>18784</v>
      </c>
      <c r="K976" t="s">
        <v>74</v>
      </c>
      <c r="L976" t="s">
        <v>74</v>
      </c>
      <c r="M976" t="s">
        <v>78</v>
      </c>
      <c r="N976" t="s">
        <v>112</v>
      </c>
      <c r="O976" t="s">
        <v>74</v>
      </c>
      <c r="P976" t="s">
        <v>74</v>
      </c>
      <c r="Q976" t="s">
        <v>74</v>
      </c>
      <c r="R976" t="s">
        <v>74</v>
      </c>
      <c r="S976" t="s">
        <v>74</v>
      </c>
      <c r="T976" t="s">
        <v>18785</v>
      </c>
      <c r="U976" t="s">
        <v>18786</v>
      </c>
      <c r="V976" t="s">
        <v>18787</v>
      </c>
      <c r="W976" t="s">
        <v>18788</v>
      </c>
      <c r="X976" t="s">
        <v>1053</v>
      </c>
      <c r="Y976" t="s">
        <v>18789</v>
      </c>
      <c r="Z976" t="s">
        <v>18790</v>
      </c>
      <c r="AA976" t="s">
        <v>18791</v>
      </c>
      <c r="AB976" t="s">
        <v>74</v>
      </c>
      <c r="AC976" t="s">
        <v>74</v>
      </c>
      <c r="AD976" t="s">
        <v>74</v>
      </c>
      <c r="AE976" t="s">
        <v>74</v>
      </c>
      <c r="AF976" t="s">
        <v>74</v>
      </c>
      <c r="AG976">
        <v>22</v>
      </c>
      <c r="AH976">
        <v>1</v>
      </c>
      <c r="AI976">
        <v>1</v>
      </c>
      <c r="AJ976">
        <v>7</v>
      </c>
      <c r="AK976">
        <v>22</v>
      </c>
      <c r="AL976" t="s">
        <v>2092</v>
      </c>
      <c r="AM976" t="s">
        <v>2093</v>
      </c>
      <c r="AN976" t="s">
        <v>2094</v>
      </c>
      <c r="AO976" t="s">
        <v>18792</v>
      </c>
      <c r="AP976" t="s">
        <v>18793</v>
      </c>
      <c r="AQ976" t="s">
        <v>74</v>
      </c>
      <c r="AR976" t="s">
        <v>18794</v>
      </c>
      <c r="AS976" t="s">
        <v>18795</v>
      </c>
      <c r="AT976" t="s">
        <v>3743</v>
      </c>
      <c r="AU976">
        <v>2023</v>
      </c>
      <c r="AV976">
        <v>31</v>
      </c>
      <c r="AW976">
        <v>8</v>
      </c>
      <c r="AX976" t="s">
        <v>74</v>
      </c>
      <c r="AY976" t="s">
        <v>74</v>
      </c>
      <c r="AZ976" t="s">
        <v>74</v>
      </c>
      <c r="BA976" t="s">
        <v>74</v>
      </c>
      <c r="BB976" t="s">
        <v>74</v>
      </c>
      <c r="BC976" t="s">
        <v>74</v>
      </c>
      <c r="BD976" t="s">
        <v>74</v>
      </c>
      <c r="BE976" t="s">
        <v>18796</v>
      </c>
      <c r="BF976" t="str">
        <f>HYPERLINK("http://dx.doi.org/10.1111/rec.13859","http://dx.doi.org/10.1111/rec.13859")</f>
        <v>http://dx.doi.org/10.1111/rec.13859</v>
      </c>
      <c r="BG976" t="s">
        <v>74</v>
      </c>
      <c r="BH976" t="s">
        <v>16484</v>
      </c>
      <c r="BI976">
        <v>5</v>
      </c>
      <c r="BJ976" t="s">
        <v>2101</v>
      </c>
      <c r="BK976" t="s">
        <v>103</v>
      </c>
      <c r="BL976" t="s">
        <v>1164</v>
      </c>
      <c r="BM976" t="s">
        <v>18797</v>
      </c>
      <c r="BN976" t="s">
        <v>74</v>
      </c>
      <c r="BO976" t="s">
        <v>74</v>
      </c>
      <c r="BP976" t="s">
        <v>74</v>
      </c>
      <c r="BQ976" t="s">
        <v>74</v>
      </c>
      <c r="BR976" t="s">
        <v>106</v>
      </c>
      <c r="BS976" t="s">
        <v>18798</v>
      </c>
      <c r="BT976" t="str">
        <f>HYPERLINK("https%3A%2F%2Fwww.webofscience.com%2Fwos%2Fwoscc%2Ffull-record%2FWOS:000921309100001","View Full Record in Web of Science")</f>
        <v>View Full Record in Web of Science</v>
      </c>
    </row>
    <row r="977" spans="1:72" x14ac:dyDescent="0.15">
      <c r="A977" t="s">
        <v>72</v>
      </c>
      <c r="B977" t="s">
        <v>18799</v>
      </c>
      <c r="C977" t="s">
        <v>74</v>
      </c>
      <c r="D977" t="s">
        <v>74</v>
      </c>
      <c r="E977" t="s">
        <v>74</v>
      </c>
      <c r="F977" t="s">
        <v>18800</v>
      </c>
      <c r="G977" t="s">
        <v>74</v>
      </c>
      <c r="H977" t="s">
        <v>74</v>
      </c>
      <c r="I977" t="s">
        <v>18801</v>
      </c>
      <c r="J977" t="s">
        <v>1215</v>
      </c>
      <c r="K977" t="s">
        <v>74</v>
      </c>
      <c r="L977" t="s">
        <v>74</v>
      </c>
      <c r="M977" t="s">
        <v>78</v>
      </c>
      <c r="N977" t="s">
        <v>112</v>
      </c>
      <c r="O977" t="s">
        <v>74</v>
      </c>
      <c r="P977" t="s">
        <v>74</v>
      </c>
      <c r="Q977" t="s">
        <v>74</v>
      </c>
      <c r="R977" t="s">
        <v>74</v>
      </c>
      <c r="S977" t="s">
        <v>74</v>
      </c>
      <c r="T977" t="s">
        <v>18802</v>
      </c>
      <c r="U977" t="s">
        <v>18803</v>
      </c>
      <c r="V977" t="s">
        <v>18804</v>
      </c>
      <c r="W977" t="s">
        <v>18805</v>
      </c>
      <c r="X977" t="s">
        <v>18806</v>
      </c>
      <c r="Y977" t="s">
        <v>18807</v>
      </c>
      <c r="Z977" t="s">
        <v>18808</v>
      </c>
      <c r="AA977" t="s">
        <v>18809</v>
      </c>
      <c r="AB977" t="s">
        <v>18810</v>
      </c>
      <c r="AC977" t="s">
        <v>18811</v>
      </c>
      <c r="AD977" t="s">
        <v>18812</v>
      </c>
      <c r="AE977" t="s">
        <v>18813</v>
      </c>
      <c r="AF977" t="s">
        <v>74</v>
      </c>
      <c r="AG977">
        <v>73</v>
      </c>
      <c r="AH977">
        <v>2</v>
      </c>
      <c r="AI977">
        <v>2</v>
      </c>
      <c r="AJ977">
        <v>6</v>
      </c>
      <c r="AK977">
        <v>22</v>
      </c>
      <c r="AL977" t="s">
        <v>700</v>
      </c>
      <c r="AM977" t="s">
        <v>701</v>
      </c>
      <c r="AN977" t="s">
        <v>702</v>
      </c>
      <c r="AO977" t="s">
        <v>74</v>
      </c>
      <c r="AP977" t="s">
        <v>1228</v>
      </c>
      <c r="AQ977" t="s">
        <v>74</v>
      </c>
      <c r="AR977" t="s">
        <v>1229</v>
      </c>
      <c r="AS977" t="s">
        <v>1230</v>
      </c>
      <c r="AT977" t="s">
        <v>18741</v>
      </c>
      <c r="AU977">
        <v>2023</v>
      </c>
      <c r="AV977">
        <v>9</v>
      </c>
      <c r="AW977" t="s">
        <v>74</v>
      </c>
      <c r="AX977" t="s">
        <v>74</v>
      </c>
      <c r="AY977" t="s">
        <v>74</v>
      </c>
      <c r="AZ977" t="s">
        <v>74</v>
      </c>
      <c r="BA977" t="s">
        <v>74</v>
      </c>
      <c r="BB977" t="s">
        <v>74</v>
      </c>
      <c r="BC977" t="s">
        <v>74</v>
      </c>
      <c r="BD977">
        <v>1046150</v>
      </c>
      <c r="BE977" t="s">
        <v>18814</v>
      </c>
      <c r="BF977" t="str">
        <f>HYPERLINK("http://dx.doi.org/10.3389/fmars.2022.1046150","http://dx.doi.org/10.3389/fmars.2022.1046150")</f>
        <v>http://dx.doi.org/10.3389/fmars.2022.1046150</v>
      </c>
      <c r="BG977" t="s">
        <v>74</v>
      </c>
      <c r="BH977" t="s">
        <v>74</v>
      </c>
      <c r="BI977">
        <v>14</v>
      </c>
      <c r="BJ977" t="s">
        <v>636</v>
      </c>
      <c r="BK977" t="s">
        <v>103</v>
      </c>
      <c r="BL977" t="s">
        <v>637</v>
      </c>
      <c r="BM977" t="s">
        <v>18815</v>
      </c>
      <c r="BN977" t="s">
        <v>74</v>
      </c>
      <c r="BO977" t="s">
        <v>162</v>
      </c>
      <c r="BP977" t="s">
        <v>74</v>
      </c>
      <c r="BQ977" t="s">
        <v>74</v>
      </c>
      <c r="BR977" t="s">
        <v>106</v>
      </c>
      <c r="BS977" t="s">
        <v>18816</v>
      </c>
      <c r="BT977" t="str">
        <f>HYPERLINK("https%3A%2F%2Fwww.webofscience.com%2Fwos%2Fwoscc%2Ffull-record%2FWOS:000920689400001","View Full Record in Web of Science")</f>
        <v>View Full Record in Web of Science</v>
      </c>
    </row>
    <row r="978" spans="1:72" x14ac:dyDescent="0.15">
      <c r="A978" t="s">
        <v>72</v>
      </c>
      <c r="B978" t="s">
        <v>18817</v>
      </c>
      <c r="C978" t="s">
        <v>74</v>
      </c>
      <c r="D978" t="s">
        <v>74</v>
      </c>
      <c r="E978" t="s">
        <v>74</v>
      </c>
      <c r="F978" t="s">
        <v>18818</v>
      </c>
      <c r="G978" t="s">
        <v>74</v>
      </c>
      <c r="H978" t="s">
        <v>74</v>
      </c>
      <c r="I978" t="s">
        <v>18819</v>
      </c>
      <c r="J978" t="s">
        <v>782</v>
      </c>
      <c r="K978" t="s">
        <v>74</v>
      </c>
      <c r="L978" t="s">
        <v>74</v>
      </c>
      <c r="M978" t="s">
        <v>78</v>
      </c>
      <c r="N978" t="s">
        <v>112</v>
      </c>
      <c r="O978" t="s">
        <v>74</v>
      </c>
      <c r="P978" t="s">
        <v>74</v>
      </c>
      <c r="Q978" t="s">
        <v>74</v>
      </c>
      <c r="R978" t="s">
        <v>74</v>
      </c>
      <c r="S978" t="s">
        <v>74</v>
      </c>
      <c r="T978" t="s">
        <v>74</v>
      </c>
      <c r="U978" t="s">
        <v>18820</v>
      </c>
      <c r="V978" t="s">
        <v>18821</v>
      </c>
      <c r="W978" t="s">
        <v>18822</v>
      </c>
      <c r="X978" t="s">
        <v>18823</v>
      </c>
      <c r="Y978" t="s">
        <v>18824</v>
      </c>
      <c r="Z978" t="s">
        <v>18825</v>
      </c>
      <c r="AA978" t="s">
        <v>18826</v>
      </c>
      <c r="AB978" t="s">
        <v>18827</v>
      </c>
      <c r="AC978" t="s">
        <v>18828</v>
      </c>
      <c r="AD978" t="s">
        <v>18829</v>
      </c>
      <c r="AE978" t="s">
        <v>18830</v>
      </c>
      <c r="AF978" t="s">
        <v>74</v>
      </c>
      <c r="AG978">
        <v>59</v>
      </c>
      <c r="AH978">
        <v>2</v>
      </c>
      <c r="AI978">
        <v>2</v>
      </c>
      <c r="AJ978">
        <v>3</v>
      </c>
      <c r="AK978">
        <v>16</v>
      </c>
      <c r="AL978" t="s">
        <v>794</v>
      </c>
      <c r="AM978" t="s">
        <v>795</v>
      </c>
      <c r="AN978" t="s">
        <v>796</v>
      </c>
      <c r="AO978" t="s">
        <v>797</v>
      </c>
      <c r="AP978" t="s">
        <v>798</v>
      </c>
      <c r="AQ978" t="s">
        <v>74</v>
      </c>
      <c r="AR978" t="s">
        <v>782</v>
      </c>
      <c r="AS978" t="s">
        <v>799</v>
      </c>
      <c r="AT978" t="s">
        <v>18741</v>
      </c>
      <c r="AU978">
        <v>2023</v>
      </c>
      <c r="AV978">
        <v>17</v>
      </c>
      <c r="AW978">
        <v>1</v>
      </c>
      <c r="AX978" t="s">
        <v>74</v>
      </c>
      <c r="AY978" t="s">
        <v>74</v>
      </c>
      <c r="AZ978" t="s">
        <v>74</v>
      </c>
      <c r="BA978" t="s">
        <v>74</v>
      </c>
      <c r="BB978">
        <v>105</v>
      </c>
      <c r="BC978">
        <v>126</v>
      </c>
      <c r="BD978" t="s">
        <v>74</v>
      </c>
      <c r="BE978" t="s">
        <v>18831</v>
      </c>
      <c r="BF978" t="str">
        <f>HYPERLINK("http://dx.doi.org/10.5194/tc-17-105-2023","http://dx.doi.org/10.5194/tc-17-105-2023")</f>
        <v>http://dx.doi.org/10.5194/tc-17-105-2023</v>
      </c>
      <c r="BG978" t="s">
        <v>74</v>
      </c>
      <c r="BH978" t="s">
        <v>74</v>
      </c>
      <c r="BI978">
        <v>22</v>
      </c>
      <c r="BJ978" t="s">
        <v>801</v>
      </c>
      <c r="BK978" t="s">
        <v>103</v>
      </c>
      <c r="BL978" t="s">
        <v>802</v>
      </c>
      <c r="BM978" t="s">
        <v>18832</v>
      </c>
      <c r="BN978" t="s">
        <v>74</v>
      </c>
      <c r="BO978" t="s">
        <v>2600</v>
      </c>
      <c r="BP978" t="s">
        <v>74</v>
      </c>
      <c r="BQ978" t="s">
        <v>74</v>
      </c>
      <c r="BR978" t="s">
        <v>106</v>
      </c>
      <c r="BS978" t="s">
        <v>18833</v>
      </c>
      <c r="BT978" t="str">
        <f>HYPERLINK("https%3A%2F%2Fwww.webofscience.com%2Fwos%2Fwoscc%2Ffull-record%2FWOS:000912460500001","View Full Record in Web of Science")</f>
        <v>View Full Record in Web of Science</v>
      </c>
    </row>
    <row r="979" spans="1:72" x14ac:dyDescent="0.15">
      <c r="A979" t="s">
        <v>72</v>
      </c>
      <c r="B979" t="s">
        <v>18834</v>
      </c>
      <c r="C979" t="s">
        <v>74</v>
      </c>
      <c r="D979" t="s">
        <v>74</v>
      </c>
      <c r="E979" t="s">
        <v>74</v>
      </c>
      <c r="F979" t="s">
        <v>18835</v>
      </c>
      <c r="G979" t="s">
        <v>74</v>
      </c>
      <c r="H979" t="s">
        <v>74</v>
      </c>
      <c r="I979" t="s">
        <v>18836</v>
      </c>
      <c r="J979" t="s">
        <v>2080</v>
      </c>
      <c r="K979" t="s">
        <v>74</v>
      </c>
      <c r="L979" t="s">
        <v>74</v>
      </c>
      <c r="M979" t="s">
        <v>78</v>
      </c>
      <c r="N979" t="s">
        <v>112</v>
      </c>
      <c r="O979" t="s">
        <v>74</v>
      </c>
      <c r="P979" t="s">
        <v>74</v>
      </c>
      <c r="Q979" t="s">
        <v>74</v>
      </c>
      <c r="R979" t="s">
        <v>74</v>
      </c>
      <c r="S979" t="s">
        <v>74</v>
      </c>
      <c r="T979" t="s">
        <v>18837</v>
      </c>
      <c r="U979" t="s">
        <v>18838</v>
      </c>
      <c r="V979" t="s">
        <v>18839</v>
      </c>
      <c r="W979" t="s">
        <v>18840</v>
      </c>
      <c r="X979" t="s">
        <v>1053</v>
      </c>
      <c r="Y979" t="s">
        <v>18841</v>
      </c>
      <c r="Z979" t="s">
        <v>18842</v>
      </c>
      <c r="AA979" t="s">
        <v>74</v>
      </c>
      <c r="AB979" t="s">
        <v>18843</v>
      </c>
      <c r="AC979" t="s">
        <v>18844</v>
      </c>
      <c r="AD979" t="s">
        <v>18844</v>
      </c>
      <c r="AE979" t="s">
        <v>18845</v>
      </c>
      <c r="AF979" t="s">
        <v>74</v>
      </c>
      <c r="AG979">
        <v>54</v>
      </c>
      <c r="AH979">
        <v>1</v>
      </c>
      <c r="AI979">
        <v>1</v>
      </c>
      <c r="AJ979">
        <v>12</v>
      </c>
      <c r="AK979">
        <v>25</v>
      </c>
      <c r="AL979" t="s">
        <v>2092</v>
      </c>
      <c r="AM979" t="s">
        <v>2093</v>
      </c>
      <c r="AN979" t="s">
        <v>2094</v>
      </c>
      <c r="AO979" t="s">
        <v>2095</v>
      </c>
      <c r="AP979" t="s">
        <v>2096</v>
      </c>
      <c r="AQ979" t="s">
        <v>74</v>
      </c>
      <c r="AR979" t="s">
        <v>2097</v>
      </c>
      <c r="AS979" t="s">
        <v>2098</v>
      </c>
      <c r="AT979" t="s">
        <v>1437</v>
      </c>
      <c r="AU979">
        <v>2023</v>
      </c>
      <c r="AV979">
        <v>48</v>
      </c>
      <c r="AW979">
        <v>2</v>
      </c>
      <c r="AX979" t="s">
        <v>74</v>
      </c>
      <c r="AY979" t="s">
        <v>74</v>
      </c>
      <c r="AZ979" t="s">
        <v>74</v>
      </c>
      <c r="BA979" t="s">
        <v>74</v>
      </c>
      <c r="BB979">
        <v>418</v>
      </c>
      <c r="BC979">
        <v>439</v>
      </c>
      <c r="BD979" t="s">
        <v>74</v>
      </c>
      <c r="BE979" t="s">
        <v>18846</v>
      </c>
      <c r="BF979" t="str">
        <f>HYPERLINK("http://dx.doi.org/10.1111/aec.13278","http://dx.doi.org/10.1111/aec.13278")</f>
        <v>http://dx.doi.org/10.1111/aec.13278</v>
      </c>
      <c r="BG979" t="s">
        <v>74</v>
      </c>
      <c r="BH979" t="s">
        <v>16484</v>
      </c>
      <c r="BI979">
        <v>22</v>
      </c>
      <c r="BJ979" t="s">
        <v>2101</v>
      </c>
      <c r="BK979" t="s">
        <v>103</v>
      </c>
      <c r="BL979" t="s">
        <v>1164</v>
      </c>
      <c r="BM979" t="s">
        <v>18847</v>
      </c>
      <c r="BN979" t="s">
        <v>74</v>
      </c>
      <c r="BO979" t="s">
        <v>387</v>
      </c>
      <c r="BP979" t="s">
        <v>74</v>
      </c>
      <c r="BQ979" t="s">
        <v>74</v>
      </c>
      <c r="BR979" t="s">
        <v>106</v>
      </c>
      <c r="BS979" t="s">
        <v>18848</v>
      </c>
      <c r="BT979" t="str">
        <f>HYPERLINK("https%3A%2F%2Fwww.webofscience.com%2Fwos%2Fwoscc%2Ffull-record%2FWOS:000912656900001","View Full Record in Web of Science")</f>
        <v>View Full Record in Web of Science</v>
      </c>
    </row>
    <row r="980" spans="1:72" x14ac:dyDescent="0.15">
      <c r="A980" t="s">
        <v>72</v>
      </c>
      <c r="B980" t="s">
        <v>18849</v>
      </c>
      <c r="C980" t="s">
        <v>74</v>
      </c>
      <c r="D980" t="s">
        <v>74</v>
      </c>
      <c r="E980" t="s">
        <v>74</v>
      </c>
      <c r="F980" t="s">
        <v>18850</v>
      </c>
      <c r="G980" t="s">
        <v>74</v>
      </c>
      <c r="H980" t="s">
        <v>74</v>
      </c>
      <c r="I980" t="s">
        <v>18851</v>
      </c>
      <c r="J980" t="s">
        <v>1534</v>
      </c>
      <c r="K980" t="s">
        <v>74</v>
      </c>
      <c r="L980" t="s">
        <v>74</v>
      </c>
      <c r="M980" t="s">
        <v>78</v>
      </c>
      <c r="N980" t="s">
        <v>112</v>
      </c>
      <c r="O980" t="s">
        <v>74</v>
      </c>
      <c r="P980" t="s">
        <v>74</v>
      </c>
      <c r="Q980" t="s">
        <v>74</v>
      </c>
      <c r="R980" t="s">
        <v>74</v>
      </c>
      <c r="S980" t="s">
        <v>74</v>
      </c>
      <c r="T980" t="s">
        <v>74</v>
      </c>
      <c r="U980" t="s">
        <v>18852</v>
      </c>
      <c r="V980" t="s">
        <v>74</v>
      </c>
      <c r="W980" t="s">
        <v>18853</v>
      </c>
      <c r="X980" t="s">
        <v>18854</v>
      </c>
      <c r="Y980" t="s">
        <v>18855</v>
      </c>
      <c r="Z980" t="s">
        <v>11550</v>
      </c>
      <c r="AA980" t="s">
        <v>18856</v>
      </c>
      <c r="AB980" t="s">
        <v>18857</v>
      </c>
      <c r="AC980" t="s">
        <v>74</v>
      </c>
      <c r="AD980" t="s">
        <v>74</v>
      </c>
      <c r="AE980" t="s">
        <v>74</v>
      </c>
      <c r="AF980" t="s">
        <v>74</v>
      </c>
      <c r="AG980">
        <v>17</v>
      </c>
      <c r="AH980">
        <v>3</v>
      </c>
      <c r="AI980">
        <v>3</v>
      </c>
      <c r="AJ980">
        <v>2</v>
      </c>
      <c r="AK980">
        <v>4</v>
      </c>
      <c r="AL980" t="s">
        <v>1101</v>
      </c>
      <c r="AM980" t="s">
        <v>179</v>
      </c>
      <c r="AN980" t="s">
        <v>1543</v>
      </c>
      <c r="AO980" t="s">
        <v>1544</v>
      </c>
      <c r="AP980" t="s">
        <v>1545</v>
      </c>
      <c r="AQ980" t="s">
        <v>74</v>
      </c>
      <c r="AR980" t="s">
        <v>1546</v>
      </c>
      <c r="AS980" t="s">
        <v>1547</v>
      </c>
      <c r="AT980" t="s">
        <v>8210</v>
      </c>
      <c r="AU980">
        <v>2023</v>
      </c>
      <c r="AV980">
        <v>35</v>
      </c>
      <c r="AW980">
        <v>1</v>
      </c>
      <c r="AX980" t="s">
        <v>74</v>
      </c>
      <c r="AY980" t="s">
        <v>74</v>
      </c>
      <c r="AZ980" t="s">
        <v>74</v>
      </c>
      <c r="BA980" t="s">
        <v>74</v>
      </c>
      <c r="BB980">
        <v>43</v>
      </c>
      <c r="BC980">
        <v>45</v>
      </c>
      <c r="BD980" t="s">
        <v>18858</v>
      </c>
      <c r="BE980" t="s">
        <v>18859</v>
      </c>
      <c r="BF980" t="str">
        <f>HYPERLINK("http://dx.doi.org/10.1017/S0954102022000475","http://dx.doi.org/10.1017/S0954102022000475")</f>
        <v>http://dx.doi.org/10.1017/S0954102022000475</v>
      </c>
      <c r="BG980" t="s">
        <v>74</v>
      </c>
      <c r="BH980" t="s">
        <v>16484</v>
      </c>
      <c r="BI980">
        <v>3</v>
      </c>
      <c r="BJ980" t="s">
        <v>1550</v>
      </c>
      <c r="BK980" t="s">
        <v>103</v>
      </c>
      <c r="BL980" t="s">
        <v>1551</v>
      </c>
      <c r="BM980" t="s">
        <v>8213</v>
      </c>
      <c r="BN980" t="s">
        <v>74</v>
      </c>
      <c r="BO980" t="s">
        <v>387</v>
      </c>
      <c r="BP980" t="s">
        <v>74</v>
      </c>
      <c r="BQ980" t="s">
        <v>74</v>
      </c>
      <c r="BR980" t="s">
        <v>106</v>
      </c>
      <c r="BS980" t="s">
        <v>18860</v>
      </c>
      <c r="BT980" t="str">
        <f>HYPERLINK("https%3A%2F%2Fwww.webofscience.com%2Fwos%2Fwoscc%2Ffull-record%2FWOS:000911302900001","View Full Record in Web of Science")</f>
        <v>View Full Record in Web of Science</v>
      </c>
    </row>
    <row r="981" spans="1:72" x14ac:dyDescent="0.15">
      <c r="A981" t="s">
        <v>72</v>
      </c>
      <c r="B981" t="s">
        <v>18861</v>
      </c>
      <c r="C981" t="s">
        <v>74</v>
      </c>
      <c r="D981" t="s">
        <v>74</v>
      </c>
      <c r="E981" t="s">
        <v>74</v>
      </c>
      <c r="F981" t="s">
        <v>18862</v>
      </c>
      <c r="G981" t="s">
        <v>74</v>
      </c>
      <c r="H981" t="s">
        <v>74</v>
      </c>
      <c r="I981" t="s">
        <v>18863</v>
      </c>
      <c r="J981" t="s">
        <v>2541</v>
      </c>
      <c r="K981" t="s">
        <v>74</v>
      </c>
      <c r="L981" t="s">
        <v>74</v>
      </c>
      <c r="M981" t="s">
        <v>78</v>
      </c>
      <c r="N981" t="s">
        <v>112</v>
      </c>
      <c r="O981" t="s">
        <v>74</v>
      </c>
      <c r="P981" t="s">
        <v>74</v>
      </c>
      <c r="Q981" t="s">
        <v>74</v>
      </c>
      <c r="R981" t="s">
        <v>74</v>
      </c>
      <c r="S981" t="s">
        <v>74</v>
      </c>
      <c r="T981" t="s">
        <v>74</v>
      </c>
      <c r="U981" t="s">
        <v>18864</v>
      </c>
      <c r="V981" t="s">
        <v>18865</v>
      </c>
      <c r="W981" t="s">
        <v>18866</v>
      </c>
      <c r="X981" t="s">
        <v>18867</v>
      </c>
      <c r="Y981" t="s">
        <v>18868</v>
      </c>
      <c r="Z981" t="s">
        <v>18869</v>
      </c>
      <c r="AA981" t="s">
        <v>18870</v>
      </c>
      <c r="AB981" t="s">
        <v>18871</v>
      </c>
      <c r="AC981" t="s">
        <v>18872</v>
      </c>
      <c r="AD981" t="s">
        <v>18873</v>
      </c>
      <c r="AE981" t="s">
        <v>18874</v>
      </c>
      <c r="AF981" t="s">
        <v>74</v>
      </c>
      <c r="AG981">
        <v>67</v>
      </c>
      <c r="AH981">
        <v>2</v>
      </c>
      <c r="AI981">
        <v>2</v>
      </c>
      <c r="AJ981">
        <v>1</v>
      </c>
      <c r="AK981">
        <v>5</v>
      </c>
      <c r="AL981" t="s">
        <v>794</v>
      </c>
      <c r="AM981" t="s">
        <v>795</v>
      </c>
      <c r="AN981" t="s">
        <v>796</v>
      </c>
      <c r="AO981" t="s">
        <v>2553</v>
      </c>
      <c r="AP981" t="s">
        <v>2554</v>
      </c>
      <c r="AQ981" t="s">
        <v>74</v>
      </c>
      <c r="AR981" t="s">
        <v>2555</v>
      </c>
      <c r="AS981" t="s">
        <v>2556</v>
      </c>
      <c r="AT981" t="s">
        <v>18741</v>
      </c>
      <c r="AU981">
        <v>2023</v>
      </c>
      <c r="AV981">
        <v>23</v>
      </c>
      <c r="AW981">
        <v>1</v>
      </c>
      <c r="AX981" t="s">
        <v>74</v>
      </c>
      <c r="AY981" t="s">
        <v>74</v>
      </c>
      <c r="AZ981" t="s">
        <v>74</v>
      </c>
      <c r="BA981" t="s">
        <v>74</v>
      </c>
      <c r="BB981">
        <v>431</v>
      </c>
      <c r="BC981">
        <v>451</v>
      </c>
      <c r="BD981" t="s">
        <v>74</v>
      </c>
      <c r="BE981" t="s">
        <v>18875</v>
      </c>
      <c r="BF981" t="str">
        <f>HYPERLINK("http://dx.doi.org/10.5194/acp-23-431-2023","http://dx.doi.org/10.5194/acp-23-431-2023")</f>
        <v>http://dx.doi.org/10.5194/acp-23-431-2023</v>
      </c>
      <c r="BG981" t="s">
        <v>74</v>
      </c>
      <c r="BH981" t="s">
        <v>74</v>
      </c>
      <c r="BI981">
        <v>21</v>
      </c>
      <c r="BJ981" t="s">
        <v>356</v>
      </c>
      <c r="BK981" t="s">
        <v>103</v>
      </c>
      <c r="BL981" t="s">
        <v>357</v>
      </c>
      <c r="BM981" t="s">
        <v>18876</v>
      </c>
      <c r="BN981" t="s">
        <v>74</v>
      </c>
      <c r="BO981" t="s">
        <v>2600</v>
      </c>
      <c r="BP981" t="s">
        <v>74</v>
      </c>
      <c r="BQ981" t="s">
        <v>74</v>
      </c>
      <c r="BR981" t="s">
        <v>106</v>
      </c>
      <c r="BS981" t="s">
        <v>18877</v>
      </c>
      <c r="BT981" t="str">
        <f>HYPERLINK("https%3A%2F%2Fwww.webofscience.com%2Fwos%2Fwoscc%2Ffull-record%2FWOS:000912472400001","View Full Record in Web of Science")</f>
        <v>View Full Record in Web of Science</v>
      </c>
    </row>
    <row r="982" spans="1:72" x14ac:dyDescent="0.15">
      <c r="A982" t="s">
        <v>72</v>
      </c>
      <c r="B982" t="s">
        <v>18878</v>
      </c>
      <c r="C982" t="s">
        <v>74</v>
      </c>
      <c r="D982" t="s">
        <v>74</v>
      </c>
      <c r="E982" t="s">
        <v>74</v>
      </c>
      <c r="F982" t="s">
        <v>18879</v>
      </c>
      <c r="G982" t="s">
        <v>74</v>
      </c>
      <c r="H982" t="s">
        <v>74</v>
      </c>
      <c r="I982" t="s">
        <v>18880</v>
      </c>
      <c r="J982" t="s">
        <v>2058</v>
      </c>
      <c r="K982" t="s">
        <v>74</v>
      </c>
      <c r="L982" t="s">
        <v>74</v>
      </c>
      <c r="M982" t="s">
        <v>78</v>
      </c>
      <c r="N982" t="s">
        <v>112</v>
      </c>
      <c r="O982" t="s">
        <v>74</v>
      </c>
      <c r="P982" t="s">
        <v>74</v>
      </c>
      <c r="Q982" t="s">
        <v>74</v>
      </c>
      <c r="R982" t="s">
        <v>74</v>
      </c>
      <c r="S982" t="s">
        <v>74</v>
      </c>
      <c r="T982" t="s">
        <v>74</v>
      </c>
      <c r="U982" t="s">
        <v>18881</v>
      </c>
      <c r="V982" t="s">
        <v>18882</v>
      </c>
      <c r="W982" t="s">
        <v>18883</v>
      </c>
      <c r="X982" t="s">
        <v>2244</v>
      </c>
      <c r="Y982" t="s">
        <v>18884</v>
      </c>
      <c r="Z982" t="s">
        <v>18885</v>
      </c>
      <c r="AA982" t="s">
        <v>18886</v>
      </c>
      <c r="AB982" t="s">
        <v>18887</v>
      </c>
      <c r="AC982" t="s">
        <v>18888</v>
      </c>
      <c r="AD982" t="s">
        <v>18889</v>
      </c>
      <c r="AE982" t="s">
        <v>18890</v>
      </c>
      <c r="AF982" t="s">
        <v>74</v>
      </c>
      <c r="AG982">
        <v>104</v>
      </c>
      <c r="AH982">
        <v>0</v>
      </c>
      <c r="AI982">
        <v>0</v>
      </c>
      <c r="AJ982">
        <v>2</v>
      </c>
      <c r="AK982">
        <v>4</v>
      </c>
      <c r="AL982" t="s">
        <v>794</v>
      </c>
      <c r="AM982" t="s">
        <v>795</v>
      </c>
      <c r="AN982" t="s">
        <v>796</v>
      </c>
      <c r="AO982" t="s">
        <v>2069</v>
      </c>
      <c r="AP982" t="s">
        <v>2070</v>
      </c>
      <c r="AQ982" t="s">
        <v>74</v>
      </c>
      <c r="AR982" t="s">
        <v>2071</v>
      </c>
      <c r="AS982" t="s">
        <v>2072</v>
      </c>
      <c r="AT982" t="s">
        <v>18741</v>
      </c>
      <c r="AU982">
        <v>2023</v>
      </c>
      <c r="AV982">
        <v>15</v>
      </c>
      <c r="AW982">
        <v>1</v>
      </c>
      <c r="AX982" t="s">
        <v>74</v>
      </c>
      <c r="AY982" t="s">
        <v>74</v>
      </c>
      <c r="AZ982" t="s">
        <v>74</v>
      </c>
      <c r="BA982" t="s">
        <v>74</v>
      </c>
      <c r="BB982">
        <v>211</v>
      </c>
      <c r="BC982">
        <v>224</v>
      </c>
      <c r="BD982" t="s">
        <v>74</v>
      </c>
      <c r="BE982" t="s">
        <v>18891</v>
      </c>
      <c r="BF982" t="str">
        <f>HYPERLINK("http://dx.doi.org/10.5194/essd-15-211-2023","http://dx.doi.org/10.5194/essd-15-211-2023")</f>
        <v>http://dx.doi.org/10.5194/essd-15-211-2023</v>
      </c>
      <c r="BG982" t="s">
        <v>74</v>
      </c>
      <c r="BH982" t="s">
        <v>74</v>
      </c>
      <c r="BI982">
        <v>14</v>
      </c>
      <c r="BJ982" t="s">
        <v>1041</v>
      </c>
      <c r="BK982" t="s">
        <v>103</v>
      </c>
      <c r="BL982" t="s">
        <v>1042</v>
      </c>
      <c r="BM982" t="s">
        <v>18892</v>
      </c>
      <c r="BN982" t="s">
        <v>74</v>
      </c>
      <c r="BO982" t="s">
        <v>18893</v>
      </c>
      <c r="BP982" t="s">
        <v>74</v>
      </c>
      <c r="BQ982" t="s">
        <v>74</v>
      </c>
      <c r="BR982" t="s">
        <v>106</v>
      </c>
      <c r="BS982" t="s">
        <v>18894</v>
      </c>
      <c r="BT982" t="str">
        <f>HYPERLINK("https%3A%2F%2Fwww.webofscience.com%2Fwos%2Fwoscc%2Ffull-record%2FWOS:000912472500001","View Full Record in Web of Science")</f>
        <v>View Full Record in Web of Science</v>
      </c>
    </row>
    <row r="983" spans="1:72" x14ac:dyDescent="0.15">
      <c r="A983" t="s">
        <v>72</v>
      </c>
      <c r="B983" t="s">
        <v>18895</v>
      </c>
      <c r="C983" t="s">
        <v>74</v>
      </c>
      <c r="D983" t="s">
        <v>74</v>
      </c>
      <c r="E983" t="s">
        <v>74</v>
      </c>
      <c r="F983" t="s">
        <v>18896</v>
      </c>
      <c r="G983" t="s">
        <v>74</v>
      </c>
      <c r="H983" t="s">
        <v>74</v>
      </c>
      <c r="I983" t="s">
        <v>18897</v>
      </c>
      <c r="J983" t="s">
        <v>1193</v>
      </c>
      <c r="K983" t="s">
        <v>74</v>
      </c>
      <c r="L983" t="s">
        <v>74</v>
      </c>
      <c r="M983" t="s">
        <v>78</v>
      </c>
      <c r="N983" t="s">
        <v>112</v>
      </c>
      <c r="O983" t="s">
        <v>74</v>
      </c>
      <c r="P983" t="s">
        <v>74</v>
      </c>
      <c r="Q983" t="s">
        <v>74</v>
      </c>
      <c r="R983" t="s">
        <v>74</v>
      </c>
      <c r="S983" t="s">
        <v>74</v>
      </c>
      <c r="T983" t="s">
        <v>18898</v>
      </c>
      <c r="U983" t="s">
        <v>18899</v>
      </c>
      <c r="V983" t="s">
        <v>18900</v>
      </c>
      <c r="W983" t="s">
        <v>18901</v>
      </c>
      <c r="X983" t="s">
        <v>16849</v>
      </c>
      <c r="Y983" t="s">
        <v>18902</v>
      </c>
      <c r="Z983" t="s">
        <v>18903</v>
      </c>
      <c r="AA983" t="s">
        <v>74</v>
      </c>
      <c r="AB983" t="s">
        <v>74</v>
      </c>
      <c r="AC983" t="s">
        <v>18904</v>
      </c>
      <c r="AD983" t="s">
        <v>18905</v>
      </c>
      <c r="AE983" t="s">
        <v>18906</v>
      </c>
      <c r="AF983" t="s">
        <v>74</v>
      </c>
      <c r="AG983">
        <v>112</v>
      </c>
      <c r="AH983">
        <v>1</v>
      </c>
      <c r="AI983">
        <v>1</v>
      </c>
      <c r="AJ983">
        <v>15</v>
      </c>
      <c r="AK983">
        <v>35</v>
      </c>
      <c r="AL983" t="s">
        <v>447</v>
      </c>
      <c r="AM983" t="s">
        <v>448</v>
      </c>
      <c r="AN983" t="s">
        <v>449</v>
      </c>
      <c r="AO983" t="s">
        <v>1204</v>
      </c>
      <c r="AP983" t="s">
        <v>1205</v>
      </c>
      <c r="AQ983" t="s">
        <v>74</v>
      </c>
      <c r="AR983" t="s">
        <v>1206</v>
      </c>
      <c r="AS983" t="s">
        <v>1207</v>
      </c>
      <c r="AT983" t="s">
        <v>4546</v>
      </c>
      <c r="AU983">
        <v>2023</v>
      </c>
      <c r="AV983">
        <v>867</v>
      </c>
      <c r="AW983" t="s">
        <v>74</v>
      </c>
      <c r="AX983" t="s">
        <v>74</v>
      </c>
      <c r="AY983" t="s">
        <v>74</v>
      </c>
      <c r="AZ983" t="s">
        <v>74</v>
      </c>
      <c r="BA983" t="s">
        <v>74</v>
      </c>
      <c r="BB983" t="s">
        <v>74</v>
      </c>
      <c r="BC983" t="s">
        <v>74</v>
      </c>
      <c r="BD983">
        <v>161460</v>
      </c>
      <c r="BE983" t="s">
        <v>18907</v>
      </c>
      <c r="BF983" t="str">
        <f>HYPERLINK("http://dx.doi.org/10.1016/j.scitotenv.2023.161460","http://dx.doi.org/10.1016/j.scitotenv.2023.161460")</f>
        <v>http://dx.doi.org/10.1016/j.scitotenv.2023.161460</v>
      </c>
      <c r="BG983" t="s">
        <v>74</v>
      </c>
      <c r="BH983" t="s">
        <v>16484</v>
      </c>
      <c r="BI983">
        <v>14</v>
      </c>
      <c r="BJ983" t="s">
        <v>1163</v>
      </c>
      <c r="BK983" t="s">
        <v>103</v>
      </c>
      <c r="BL983" t="s">
        <v>1164</v>
      </c>
      <c r="BM983" t="s">
        <v>18908</v>
      </c>
      <c r="BN983">
        <v>36626988</v>
      </c>
      <c r="BO983" t="s">
        <v>74</v>
      </c>
      <c r="BP983" t="s">
        <v>74</v>
      </c>
      <c r="BQ983" t="s">
        <v>74</v>
      </c>
      <c r="BR983" t="s">
        <v>106</v>
      </c>
      <c r="BS983" t="s">
        <v>18909</v>
      </c>
      <c r="BT983" t="str">
        <f>HYPERLINK("https%3A%2F%2Fwww.webofscience.com%2Fwos%2Fwoscc%2Ffull-record%2FWOS:000999093900001","View Full Record in Web of Science")</f>
        <v>View Full Record in Web of Science</v>
      </c>
    </row>
    <row r="984" spans="1:72" x14ac:dyDescent="0.15">
      <c r="A984" t="s">
        <v>72</v>
      </c>
      <c r="B984" t="s">
        <v>18910</v>
      </c>
      <c r="C984" t="s">
        <v>74</v>
      </c>
      <c r="D984" t="s">
        <v>74</v>
      </c>
      <c r="E984" t="s">
        <v>74</v>
      </c>
      <c r="F984" t="s">
        <v>18911</v>
      </c>
      <c r="G984" t="s">
        <v>74</v>
      </c>
      <c r="H984" t="s">
        <v>74</v>
      </c>
      <c r="I984" t="s">
        <v>18912</v>
      </c>
      <c r="J984" t="s">
        <v>18913</v>
      </c>
      <c r="K984" t="s">
        <v>74</v>
      </c>
      <c r="L984" t="s">
        <v>74</v>
      </c>
      <c r="M984" t="s">
        <v>78</v>
      </c>
      <c r="N984" t="s">
        <v>112</v>
      </c>
      <c r="O984" t="s">
        <v>74</v>
      </c>
      <c r="P984" t="s">
        <v>74</v>
      </c>
      <c r="Q984" t="s">
        <v>74</v>
      </c>
      <c r="R984" t="s">
        <v>74</v>
      </c>
      <c r="S984" t="s">
        <v>74</v>
      </c>
      <c r="T984" t="s">
        <v>18914</v>
      </c>
      <c r="U984" t="s">
        <v>18915</v>
      </c>
      <c r="V984" t="s">
        <v>18916</v>
      </c>
      <c r="W984" t="s">
        <v>18917</v>
      </c>
      <c r="X984" t="s">
        <v>18918</v>
      </c>
      <c r="Y984" t="s">
        <v>18919</v>
      </c>
      <c r="Z984" t="s">
        <v>18920</v>
      </c>
      <c r="AA984" t="s">
        <v>74</v>
      </c>
      <c r="AB984" t="s">
        <v>74</v>
      </c>
      <c r="AC984" t="s">
        <v>18921</v>
      </c>
      <c r="AD984" t="s">
        <v>18922</v>
      </c>
      <c r="AE984" t="s">
        <v>18923</v>
      </c>
      <c r="AF984" t="s">
        <v>74</v>
      </c>
      <c r="AG984">
        <v>189</v>
      </c>
      <c r="AH984">
        <v>7</v>
      </c>
      <c r="AI984">
        <v>7</v>
      </c>
      <c r="AJ984">
        <v>5</v>
      </c>
      <c r="AK984">
        <v>10</v>
      </c>
      <c r="AL984" t="s">
        <v>447</v>
      </c>
      <c r="AM984" t="s">
        <v>448</v>
      </c>
      <c r="AN984" t="s">
        <v>449</v>
      </c>
      <c r="AO984" t="s">
        <v>18924</v>
      </c>
      <c r="AP984" t="s">
        <v>18925</v>
      </c>
      <c r="AQ984" t="s">
        <v>74</v>
      </c>
      <c r="AR984" t="s">
        <v>18926</v>
      </c>
      <c r="AS984" t="s">
        <v>18927</v>
      </c>
      <c r="AT984" t="s">
        <v>13198</v>
      </c>
      <c r="AU984">
        <v>2023</v>
      </c>
      <c r="AV984">
        <v>267</v>
      </c>
      <c r="AW984" t="s">
        <v>74</v>
      </c>
      <c r="AX984" t="s">
        <v>74</v>
      </c>
      <c r="AY984" t="s">
        <v>74</v>
      </c>
      <c r="AZ984" t="s">
        <v>74</v>
      </c>
      <c r="BA984" t="s">
        <v>74</v>
      </c>
      <c r="BB984" t="s">
        <v>74</v>
      </c>
      <c r="BC984" t="s">
        <v>74</v>
      </c>
      <c r="BD984">
        <v>104182</v>
      </c>
      <c r="BE984" t="s">
        <v>18928</v>
      </c>
      <c r="BF984" t="str">
        <f>HYPERLINK("http://dx.doi.org/10.1016/j.coal.2022.104182","http://dx.doi.org/10.1016/j.coal.2022.104182")</f>
        <v>http://dx.doi.org/10.1016/j.coal.2022.104182</v>
      </c>
      <c r="BG984" t="s">
        <v>74</v>
      </c>
      <c r="BH984" t="s">
        <v>16484</v>
      </c>
      <c r="BI984">
        <v>20</v>
      </c>
      <c r="BJ984" t="s">
        <v>18929</v>
      </c>
      <c r="BK984" t="s">
        <v>103</v>
      </c>
      <c r="BL984" t="s">
        <v>18930</v>
      </c>
      <c r="BM984" t="s">
        <v>18931</v>
      </c>
      <c r="BN984" t="s">
        <v>74</v>
      </c>
      <c r="BO984" t="s">
        <v>387</v>
      </c>
      <c r="BP984" t="s">
        <v>74</v>
      </c>
      <c r="BQ984" t="s">
        <v>74</v>
      </c>
      <c r="BR984" t="s">
        <v>106</v>
      </c>
      <c r="BS984" t="s">
        <v>18932</v>
      </c>
      <c r="BT984" t="str">
        <f>HYPERLINK("https%3A%2F%2Fwww.webofscience.com%2Fwos%2Fwoscc%2Ffull-record%2FWOS:000974328800001","View Full Record in Web of Science")</f>
        <v>View Full Record in Web of Science</v>
      </c>
    </row>
    <row r="985" spans="1:72" x14ac:dyDescent="0.15">
      <c r="A985" t="s">
        <v>72</v>
      </c>
      <c r="B985" t="s">
        <v>18933</v>
      </c>
      <c r="C985" t="s">
        <v>74</v>
      </c>
      <c r="D985" t="s">
        <v>74</v>
      </c>
      <c r="E985" t="s">
        <v>74</v>
      </c>
      <c r="F985" t="s">
        <v>18934</v>
      </c>
      <c r="G985" t="s">
        <v>74</v>
      </c>
      <c r="H985" t="s">
        <v>74</v>
      </c>
      <c r="I985" t="s">
        <v>18935</v>
      </c>
      <c r="J985" t="s">
        <v>1946</v>
      </c>
      <c r="K985" t="s">
        <v>74</v>
      </c>
      <c r="L985" t="s">
        <v>74</v>
      </c>
      <c r="M985" t="s">
        <v>78</v>
      </c>
      <c r="N985" t="s">
        <v>112</v>
      </c>
      <c r="O985" t="s">
        <v>74</v>
      </c>
      <c r="P985" t="s">
        <v>74</v>
      </c>
      <c r="Q985" t="s">
        <v>74</v>
      </c>
      <c r="R985" t="s">
        <v>74</v>
      </c>
      <c r="S985" t="s">
        <v>74</v>
      </c>
      <c r="T985" t="s">
        <v>18936</v>
      </c>
      <c r="U985" t="s">
        <v>18937</v>
      </c>
      <c r="V985" t="s">
        <v>18938</v>
      </c>
      <c r="W985" t="s">
        <v>18939</v>
      </c>
      <c r="X985" t="s">
        <v>18940</v>
      </c>
      <c r="Y985" t="s">
        <v>18941</v>
      </c>
      <c r="Z985" t="s">
        <v>18942</v>
      </c>
      <c r="AA985" t="s">
        <v>18943</v>
      </c>
      <c r="AB985" t="s">
        <v>74</v>
      </c>
      <c r="AC985" t="s">
        <v>18944</v>
      </c>
      <c r="AD985" t="s">
        <v>18945</v>
      </c>
      <c r="AE985" t="s">
        <v>18946</v>
      </c>
      <c r="AF985" t="s">
        <v>74</v>
      </c>
      <c r="AG985">
        <v>72</v>
      </c>
      <c r="AH985">
        <v>0</v>
      </c>
      <c r="AI985">
        <v>0</v>
      </c>
      <c r="AJ985">
        <v>2</v>
      </c>
      <c r="AK985">
        <v>4</v>
      </c>
      <c r="AL985" t="s">
        <v>447</v>
      </c>
      <c r="AM985" t="s">
        <v>448</v>
      </c>
      <c r="AN985" t="s">
        <v>449</v>
      </c>
      <c r="AO985" t="s">
        <v>1956</v>
      </c>
      <c r="AP985" t="s">
        <v>1957</v>
      </c>
      <c r="AQ985" t="s">
        <v>74</v>
      </c>
      <c r="AR985" t="s">
        <v>1958</v>
      </c>
      <c r="AS985" t="s">
        <v>1959</v>
      </c>
      <c r="AT985" t="s">
        <v>8210</v>
      </c>
      <c r="AU985">
        <v>2023</v>
      </c>
      <c r="AV985">
        <v>221</v>
      </c>
      <c r="AW985" t="s">
        <v>74</v>
      </c>
      <c r="AX985" t="s">
        <v>74</v>
      </c>
      <c r="AY985" t="s">
        <v>74</v>
      </c>
      <c r="AZ985" t="s">
        <v>74</v>
      </c>
      <c r="BA985" t="s">
        <v>74</v>
      </c>
      <c r="BB985" t="s">
        <v>74</v>
      </c>
      <c r="BC985" t="s">
        <v>74</v>
      </c>
      <c r="BD985">
        <v>104024</v>
      </c>
      <c r="BE985" t="s">
        <v>18947</v>
      </c>
      <c r="BF985" t="str">
        <f>HYPERLINK("http://dx.doi.org/10.1016/j.gloplacha.2022.104024","http://dx.doi.org/10.1016/j.gloplacha.2022.104024")</f>
        <v>http://dx.doi.org/10.1016/j.gloplacha.2022.104024</v>
      </c>
      <c r="BG985" t="s">
        <v>74</v>
      </c>
      <c r="BH985" t="s">
        <v>16484</v>
      </c>
      <c r="BI985">
        <v>9</v>
      </c>
      <c r="BJ985" t="s">
        <v>801</v>
      </c>
      <c r="BK985" t="s">
        <v>103</v>
      </c>
      <c r="BL985" t="s">
        <v>802</v>
      </c>
      <c r="BM985" t="s">
        <v>18948</v>
      </c>
      <c r="BN985" t="s">
        <v>74</v>
      </c>
      <c r="BO985" t="s">
        <v>430</v>
      </c>
      <c r="BP985" t="s">
        <v>74</v>
      </c>
      <c r="BQ985" t="s">
        <v>74</v>
      </c>
      <c r="BR985" t="s">
        <v>106</v>
      </c>
      <c r="BS985" t="s">
        <v>18949</v>
      </c>
      <c r="BT985" t="str">
        <f>HYPERLINK("https%3A%2F%2Fwww.webofscience.com%2Fwos%2Fwoscc%2Ffull-record%2FWOS:000975318200001","View Full Record in Web of Science")</f>
        <v>View Full Record in Web of Science</v>
      </c>
    </row>
    <row r="986" spans="1:72" x14ac:dyDescent="0.15">
      <c r="A986" t="s">
        <v>72</v>
      </c>
      <c r="B986" t="s">
        <v>18950</v>
      </c>
      <c r="C986" t="s">
        <v>74</v>
      </c>
      <c r="D986" t="s">
        <v>74</v>
      </c>
      <c r="E986" t="s">
        <v>74</v>
      </c>
      <c r="F986" t="s">
        <v>18951</v>
      </c>
      <c r="G986" t="s">
        <v>74</v>
      </c>
      <c r="H986" t="s">
        <v>74</v>
      </c>
      <c r="I986" t="s">
        <v>18952</v>
      </c>
      <c r="J986" t="s">
        <v>18953</v>
      </c>
      <c r="K986" t="s">
        <v>74</v>
      </c>
      <c r="L986" t="s">
        <v>74</v>
      </c>
      <c r="M986" t="s">
        <v>78</v>
      </c>
      <c r="N986" t="s">
        <v>365</v>
      </c>
      <c r="O986" t="s">
        <v>74</v>
      </c>
      <c r="P986" t="s">
        <v>74</v>
      </c>
      <c r="Q986" t="s">
        <v>74</v>
      </c>
      <c r="R986" t="s">
        <v>74</v>
      </c>
      <c r="S986" t="s">
        <v>74</v>
      </c>
      <c r="T986" t="s">
        <v>18954</v>
      </c>
      <c r="U986" t="s">
        <v>18955</v>
      </c>
      <c r="V986" t="s">
        <v>18956</v>
      </c>
      <c r="W986" t="s">
        <v>18957</v>
      </c>
      <c r="X986" t="s">
        <v>18958</v>
      </c>
      <c r="Y986" t="s">
        <v>18959</v>
      </c>
      <c r="Z986" t="s">
        <v>18960</v>
      </c>
      <c r="AA986" t="s">
        <v>18961</v>
      </c>
      <c r="AB986" t="s">
        <v>18962</v>
      </c>
      <c r="AC986" t="s">
        <v>74</v>
      </c>
      <c r="AD986" t="s">
        <v>74</v>
      </c>
      <c r="AE986" t="s">
        <v>74</v>
      </c>
      <c r="AF986" t="s">
        <v>74</v>
      </c>
      <c r="AG986">
        <v>99</v>
      </c>
      <c r="AH986">
        <v>3</v>
      </c>
      <c r="AI986">
        <v>4</v>
      </c>
      <c r="AJ986">
        <v>7</v>
      </c>
      <c r="AK986">
        <v>11</v>
      </c>
      <c r="AL986" t="s">
        <v>2399</v>
      </c>
      <c r="AM986" t="s">
        <v>525</v>
      </c>
      <c r="AN986" t="s">
        <v>2400</v>
      </c>
      <c r="AO986" t="s">
        <v>18963</v>
      </c>
      <c r="AP986" t="s">
        <v>18964</v>
      </c>
      <c r="AQ986" t="s">
        <v>74</v>
      </c>
      <c r="AR986" t="s">
        <v>18965</v>
      </c>
      <c r="AS986" t="s">
        <v>18966</v>
      </c>
      <c r="AT986" t="s">
        <v>18967</v>
      </c>
      <c r="AU986">
        <v>2023</v>
      </c>
      <c r="AV986">
        <v>290</v>
      </c>
      <c r="AW986">
        <v>1990</v>
      </c>
      <c r="AX986" t="s">
        <v>74</v>
      </c>
      <c r="AY986" t="s">
        <v>74</v>
      </c>
      <c r="AZ986" t="s">
        <v>74</v>
      </c>
      <c r="BA986" t="s">
        <v>74</v>
      </c>
      <c r="BB986" t="s">
        <v>74</v>
      </c>
      <c r="BC986" t="s">
        <v>74</v>
      </c>
      <c r="BD986">
        <v>20222246</v>
      </c>
      <c r="BE986" t="s">
        <v>18968</v>
      </c>
      <c r="BF986" t="str">
        <f>HYPERLINK("http://dx.doi.org/10.1098/rspb.2022.2246","http://dx.doi.org/10.1098/rspb.2022.2246")</f>
        <v>http://dx.doi.org/10.1098/rspb.2022.2246</v>
      </c>
      <c r="BG986" t="s">
        <v>74</v>
      </c>
      <c r="BH986" t="s">
        <v>74</v>
      </c>
      <c r="BI986">
        <v>11</v>
      </c>
      <c r="BJ986" t="s">
        <v>7410</v>
      </c>
      <c r="BK986" t="s">
        <v>103</v>
      </c>
      <c r="BL986" t="s">
        <v>7411</v>
      </c>
      <c r="BM986" t="s">
        <v>18969</v>
      </c>
      <c r="BN986">
        <v>36629115</v>
      </c>
      <c r="BO986" t="s">
        <v>1748</v>
      </c>
      <c r="BP986" t="s">
        <v>74</v>
      </c>
      <c r="BQ986" t="s">
        <v>74</v>
      </c>
      <c r="BR986" t="s">
        <v>106</v>
      </c>
      <c r="BS986" t="s">
        <v>18970</v>
      </c>
      <c r="BT986" t="str">
        <f>HYPERLINK("https%3A%2F%2Fwww.webofscience.com%2Fwos%2Fwoscc%2Ffull-record%2FWOS:000923073300021","View Full Record in Web of Science")</f>
        <v>View Full Record in Web of Science</v>
      </c>
    </row>
    <row r="987" spans="1:72" x14ac:dyDescent="0.15">
      <c r="A987" t="s">
        <v>72</v>
      </c>
      <c r="B987" t="s">
        <v>18971</v>
      </c>
      <c r="C987" t="s">
        <v>74</v>
      </c>
      <c r="D987" t="s">
        <v>74</v>
      </c>
      <c r="E987" t="s">
        <v>74</v>
      </c>
      <c r="F987" t="s">
        <v>18972</v>
      </c>
      <c r="G987" t="s">
        <v>74</v>
      </c>
      <c r="H987" t="s">
        <v>74</v>
      </c>
      <c r="I987" t="s">
        <v>18973</v>
      </c>
      <c r="J987" t="s">
        <v>18953</v>
      </c>
      <c r="K987" t="s">
        <v>74</v>
      </c>
      <c r="L987" t="s">
        <v>74</v>
      </c>
      <c r="M987" t="s">
        <v>78</v>
      </c>
      <c r="N987" t="s">
        <v>112</v>
      </c>
      <c r="O987" t="s">
        <v>74</v>
      </c>
      <c r="P987" t="s">
        <v>74</v>
      </c>
      <c r="Q987" t="s">
        <v>74</v>
      </c>
      <c r="R987" t="s">
        <v>74</v>
      </c>
      <c r="S987" t="s">
        <v>74</v>
      </c>
      <c r="T987" t="s">
        <v>18974</v>
      </c>
      <c r="U987" t="s">
        <v>18975</v>
      </c>
      <c r="V987" t="s">
        <v>18976</v>
      </c>
      <c r="W987" t="s">
        <v>18977</v>
      </c>
      <c r="X987" t="s">
        <v>18978</v>
      </c>
      <c r="Y987" t="s">
        <v>18979</v>
      </c>
      <c r="Z987" t="s">
        <v>18980</v>
      </c>
      <c r="AA987" t="s">
        <v>18981</v>
      </c>
      <c r="AB987" t="s">
        <v>18982</v>
      </c>
      <c r="AC987" t="s">
        <v>74</v>
      </c>
      <c r="AD987" t="s">
        <v>74</v>
      </c>
      <c r="AE987" t="s">
        <v>74</v>
      </c>
      <c r="AF987" t="s">
        <v>74</v>
      </c>
      <c r="AG987">
        <v>69</v>
      </c>
      <c r="AH987">
        <v>6</v>
      </c>
      <c r="AI987">
        <v>6</v>
      </c>
      <c r="AJ987">
        <v>7</v>
      </c>
      <c r="AK987">
        <v>19</v>
      </c>
      <c r="AL987" t="s">
        <v>2399</v>
      </c>
      <c r="AM987" t="s">
        <v>525</v>
      </c>
      <c r="AN987" t="s">
        <v>2400</v>
      </c>
      <c r="AO987" t="s">
        <v>18963</v>
      </c>
      <c r="AP987" t="s">
        <v>18964</v>
      </c>
      <c r="AQ987" t="s">
        <v>74</v>
      </c>
      <c r="AR987" t="s">
        <v>18965</v>
      </c>
      <c r="AS987" t="s">
        <v>18966</v>
      </c>
      <c r="AT987" t="s">
        <v>18967</v>
      </c>
      <c r="AU987">
        <v>2023</v>
      </c>
      <c r="AV987">
        <v>290</v>
      </c>
      <c r="AW987">
        <v>1990</v>
      </c>
      <c r="AX987" t="s">
        <v>74</v>
      </c>
      <c r="AY987" t="s">
        <v>74</v>
      </c>
      <c r="AZ987" t="s">
        <v>74</v>
      </c>
      <c r="BA987" t="s">
        <v>74</v>
      </c>
      <c r="BB987" t="s">
        <v>74</v>
      </c>
      <c r="BC987" t="s">
        <v>74</v>
      </c>
      <c r="BD987">
        <v>20221744</v>
      </c>
      <c r="BE987" t="s">
        <v>18983</v>
      </c>
      <c r="BF987" t="str">
        <f>HYPERLINK("http://dx.doi.org/10.1098/rspb.2022.1744","http://dx.doi.org/10.1098/rspb.2022.1744")</f>
        <v>http://dx.doi.org/10.1098/rspb.2022.1744</v>
      </c>
      <c r="BG987" t="s">
        <v>74</v>
      </c>
      <c r="BH987" t="s">
        <v>74</v>
      </c>
      <c r="BI987">
        <v>11</v>
      </c>
      <c r="BJ987" t="s">
        <v>7410</v>
      </c>
      <c r="BK987" t="s">
        <v>103</v>
      </c>
      <c r="BL987" t="s">
        <v>7411</v>
      </c>
      <c r="BM987" t="s">
        <v>18969</v>
      </c>
      <c r="BN987">
        <v>36629100</v>
      </c>
      <c r="BO987" t="s">
        <v>430</v>
      </c>
      <c r="BP987" t="s">
        <v>74</v>
      </c>
      <c r="BQ987" t="s">
        <v>74</v>
      </c>
      <c r="BR987" t="s">
        <v>106</v>
      </c>
      <c r="BS987" t="s">
        <v>18984</v>
      </c>
      <c r="BT987" t="str">
        <f>HYPERLINK("https%3A%2F%2Fwww.webofscience.com%2Fwos%2Fwoscc%2Ffull-record%2FWOS:000923073300015","View Full Record in Web of Science")</f>
        <v>View Full Record in Web of Science</v>
      </c>
    </row>
    <row r="988" spans="1:72" x14ac:dyDescent="0.15">
      <c r="A988" t="s">
        <v>72</v>
      </c>
      <c r="B988" t="s">
        <v>18985</v>
      </c>
      <c r="C988" t="s">
        <v>74</v>
      </c>
      <c r="D988" t="s">
        <v>74</v>
      </c>
      <c r="E988" t="s">
        <v>74</v>
      </c>
      <c r="F988" t="s">
        <v>18986</v>
      </c>
      <c r="G988" t="s">
        <v>74</v>
      </c>
      <c r="H988" t="s">
        <v>74</v>
      </c>
      <c r="I988" t="s">
        <v>18987</v>
      </c>
      <c r="J988" t="s">
        <v>12882</v>
      </c>
      <c r="K988" t="s">
        <v>74</v>
      </c>
      <c r="L988" t="s">
        <v>74</v>
      </c>
      <c r="M988" t="s">
        <v>78</v>
      </c>
      <c r="N988" t="s">
        <v>112</v>
      </c>
      <c r="O988" t="s">
        <v>74</v>
      </c>
      <c r="P988" t="s">
        <v>74</v>
      </c>
      <c r="Q988" t="s">
        <v>74</v>
      </c>
      <c r="R988" t="s">
        <v>74</v>
      </c>
      <c r="S988" t="s">
        <v>74</v>
      </c>
      <c r="T988" t="s">
        <v>18988</v>
      </c>
      <c r="U988" t="s">
        <v>18989</v>
      </c>
      <c r="V988" t="s">
        <v>18990</v>
      </c>
      <c r="W988" t="s">
        <v>18991</v>
      </c>
      <c r="X988" t="s">
        <v>18992</v>
      </c>
      <c r="Y988" t="s">
        <v>18993</v>
      </c>
      <c r="Z988" t="s">
        <v>5630</v>
      </c>
      <c r="AA988" t="s">
        <v>18994</v>
      </c>
      <c r="AB988" t="s">
        <v>18995</v>
      </c>
      <c r="AC988" t="s">
        <v>74</v>
      </c>
      <c r="AD988" t="s">
        <v>74</v>
      </c>
      <c r="AE988" t="s">
        <v>74</v>
      </c>
      <c r="AF988" t="s">
        <v>74</v>
      </c>
      <c r="AG988">
        <v>73</v>
      </c>
      <c r="AH988">
        <v>2</v>
      </c>
      <c r="AI988">
        <v>2</v>
      </c>
      <c r="AJ988">
        <v>1</v>
      </c>
      <c r="AK988">
        <v>2</v>
      </c>
      <c r="AL988" t="s">
        <v>2092</v>
      </c>
      <c r="AM988" t="s">
        <v>2093</v>
      </c>
      <c r="AN988" t="s">
        <v>2094</v>
      </c>
      <c r="AO988" t="s">
        <v>12895</v>
      </c>
      <c r="AP988" t="s">
        <v>12896</v>
      </c>
      <c r="AQ988" t="s">
        <v>74</v>
      </c>
      <c r="AR988" t="s">
        <v>12897</v>
      </c>
      <c r="AS988" t="s">
        <v>12898</v>
      </c>
      <c r="AT988" t="s">
        <v>98</v>
      </c>
      <c r="AU988">
        <v>2023</v>
      </c>
      <c r="AV988">
        <v>38</v>
      </c>
      <c r="AW988">
        <v>4</v>
      </c>
      <c r="AX988" t="s">
        <v>74</v>
      </c>
      <c r="AY988" t="s">
        <v>74</v>
      </c>
      <c r="AZ988" t="s">
        <v>74</v>
      </c>
      <c r="BA988" t="s">
        <v>74</v>
      </c>
      <c r="BB988">
        <v>544</v>
      </c>
      <c r="BC988">
        <v>562</v>
      </c>
      <c r="BD988" t="s">
        <v>74</v>
      </c>
      <c r="BE988" t="s">
        <v>18996</v>
      </c>
      <c r="BF988" t="str">
        <f>HYPERLINK("http://dx.doi.org/10.1002/jqs.3495","http://dx.doi.org/10.1002/jqs.3495")</f>
        <v>http://dx.doi.org/10.1002/jqs.3495</v>
      </c>
      <c r="BG988" t="s">
        <v>74</v>
      </c>
      <c r="BH988" t="s">
        <v>16484</v>
      </c>
      <c r="BI988">
        <v>19</v>
      </c>
      <c r="BJ988" t="s">
        <v>801</v>
      </c>
      <c r="BK988" t="s">
        <v>103</v>
      </c>
      <c r="BL988" t="s">
        <v>802</v>
      </c>
      <c r="BM988" t="s">
        <v>18997</v>
      </c>
      <c r="BN988" t="s">
        <v>74</v>
      </c>
      <c r="BO988" t="s">
        <v>387</v>
      </c>
      <c r="BP988" t="s">
        <v>74</v>
      </c>
      <c r="BQ988" t="s">
        <v>74</v>
      </c>
      <c r="BR988" t="s">
        <v>106</v>
      </c>
      <c r="BS988" t="s">
        <v>18998</v>
      </c>
      <c r="BT988" t="str">
        <f>HYPERLINK("https%3A%2F%2Fwww.webofscience.com%2Fwos%2Fwoscc%2Ffull-record%2FWOS:000910116600001","View Full Record in Web of Science")</f>
        <v>View Full Record in Web of Science</v>
      </c>
    </row>
    <row r="989" spans="1:72" x14ac:dyDescent="0.15">
      <c r="A989" t="s">
        <v>72</v>
      </c>
      <c r="B989" t="s">
        <v>18999</v>
      </c>
      <c r="C989" t="s">
        <v>74</v>
      </c>
      <c r="D989" t="s">
        <v>74</v>
      </c>
      <c r="E989" t="s">
        <v>74</v>
      </c>
      <c r="F989" t="s">
        <v>19000</v>
      </c>
      <c r="G989" t="s">
        <v>74</v>
      </c>
      <c r="H989" t="s">
        <v>74</v>
      </c>
      <c r="I989" t="s">
        <v>19001</v>
      </c>
      <c r="J989" t="s">
        <v>782</v>
      </c>
      <c r="K989" t="s">
        <v>74</v>
      </c>
      <c r="L989" t="s">
        <v>74</v>
      </c>
      <c r="M989" t="s">
        <v>78</v>
      </c>
      <c r="N989" t="s">
        <v>112</v>
      </c>
      <c r="O989" t="s">
        <v>74</v>
      </c>
      <c r="P989" t="s">
        <v>74</v>
      </c>
      <c r="Q989" t="s">
        <v>74</v>
      </c>
      <c r="R989" t="s">
        <v>74</v>
      </c>
      <c r="S989" t="s">
        <v>74</v>
      </c>
      <c r="T989" t="s">
        <v>74</v>
      </c>
      <c r="U989" t="s">
        <v>19002</v>
      </c>
      <c r="V989" t="s">
        <v>19003</v>
      </c>
      <c r="W989" t="s">
        <v>19004</v>
      </c>
      <c r="X989" t="s">
        <v>19005</v>
      </c>
      <c r="Y989" t="s">
        <v>19006</v>
      </c>
      <c r="Z989" t="s">
        <v>19007</v>
      </c>
      <c r="AA989" t="s">
        <v>19008</v>
      </c>
      <c r="AB989" t="s">
        <v>19009</v>
      </c>
      <c r="AC989" t="s">
        <v>19010</v>
      </c>
      <c r="AD989" t="s">
        <v>19011</v>
      </c>
      <c r="AE989" t="s">
        <v>19012</v>
      </c>
      <c r="AF989" t="s">
        <v>74</v>
      </c>
      <c r="AG989">
        <v>38</v>
      </c>
      <c r="AH989">
        <v>2</v>
      </c>
      <c r="AI989">
        <v>2</v>
      </c>
      <c r="AJ989">
        <v>0</v>
      </c>
      <c r="AK989">
        <v>5</v>
      </c>
      <c r="AL989" t="s">
        <v>794</v>
      </c>
      <c r="AM989" t="s">
        <v>795</v>
      </c>
      <c r="AN989" t="s">
        <v>796</v>
      </c>
      <c r="AO989" t="s">
        <v>797</v>
      </c>
      <c r="AP989" t="s">
        <v>798</v>
      </c>
      <c r="AQ989" t="s">
        <v>74</v>
      </c>
      <c r="AR989" t="s">
        <v>782</v>
      </c>
      <c r="AS989" t="s">
        <v>799</v>
      </c>
      <c r="AT989" t="s">
        <v>18967</v>
      </c>
      <c r="AU989">
        <v>2023</v>
      </c>
      <c r="AV989">
        <v>17</v>
      </c>
      <c r="AW989">
        <v>1</v>
      </c>
      <c r="AX989" t="s">
        <v>74</v>
      </c>
      <c r="AY989" t="s">
        <v>74</v>
      </c>
      <c r="AZ989" t="s">
        <v>74</v>
      </c>
      <c r="BA989" t="s">
        <v>74</v>
      </c>
      <c r="BB989">
        <v>79</v>
      </c>
      <c r="BC989">
        <v>103</v>
      </c>
      <c r="BD989" t="s">
        <v>74</v>
      </c>
      <c r="BE989" t="s">
        <v>19013</v>
      </c>
      <c r="BF989" t="str">
        <f>HYPERLINK("http://dx.doi.org/10.5194/tc-17-79-2023","http://dx.doi.org/10.5194/tc-17-79-2023")</f>
        <v>http://dx.doi.org/10.5194/tc-17-79-2023</v>
      </c>
      <c r="BG989" t="s">
        <v>74</v>
      </c>
      <c r="BH989" t="s">
        <v>74</v>
      </c>
      <c r="BI989">
        <v>25</v>
      </c>
      <c r="BJ989" t="s">
        <v>801</v>
      </c>
      <c r="BK989" t="s">
        <v>103</v>
      </c>
      <c r="BL989" t="s">
        <v>802</v>
      </c>
      <c r="BM989" t="s">
        <v>19014</v>
      </c>
      <c r="BN989" t="s">
        <v>74</v>
      </c>
      <c r="BO989" t="s">
        <v>2600</v>
      </c>
      <c r="BP989" t="s">
        <v>74</v>
      </c>
      <c r="BQ989" t="s">
        <v>74</v>
      </c>
      <c r="BR989" t="s">
        <v>106</v>
      </c>
      <c r="BS989" t="s">
        <v>19015</v>
      </c>
      <c r="BT989" t="str">
        <f>HYPERLINK("https%3A%2F%2Fwww.webofscience.com%2Fwos%2Fwoscc%2Ffull-record%2FWOS:000912061400001","View Full Record in Web of Science")</f>
        <v>View Full Record in Web of Science</v>
      </c>
    </row>
    <row r="990" spans="1:72" x14ac:dyDescent="0.15">
      <c r="A990" t="s">
        <v>72</v>
      </c>
      <c r="B990" t="s">
        <v>19016</v>
      </c>
      <c r="C990" t="s">
        <v>74</v>
      </c>
      <c r="D990" t="s">
        <v>74</v>
      </c>
      <c r="E990" t="s">
        <v>74</v>
      </c>
      <c r="F990" t="s">
        <v>19017</v>
      </c>
      <c r="G990" t="s">
        <v>74</v>
      </c>
      <c r="H990" t="s">
        <v>74</v>
      </c>
      <c r="I990" t="s">
        <v>19018</v>
      </c>
      <c r="J990" t="s">
        <v>2858</v>
      </c>
      <c r="K990" t="s">
        <v>74</v>
      </c>
      <c r="L990" t="s">
        <v>74</v>
      </c>
      <c r="M990" t="s">
        <v>78</v>
      </c>
      <c r="N990" t="s">
        <v>112</v>
      </c>
      <c r="O990" t="s">
        <v>74</v>
      </c>
      <c r="P990" t="s">
        <v>74</v>
      </c>
      <c r="Q990" t="s">
        <v>74</v>
      </c>
      <c r="R990" t="s">
        <v>74</v>
      </c>
      <c r="S990" t="s">
        <v>74</v>
      </c>
      <c r="T990" t="s">
        <v>19019</v>
      </c>
      <c r="U990" t="s">
        <v>19020</v>
      </c>
      <c r="V990" t="s">
        <v>19021</v>
      </c>
      <c r="W990" t="s">
        <v>19022</v>
      </c>
      <c r="X990" t="s">
        <v>19023</v>
      </c>
      <c r="Y990" t="s">
        <v>19024</v>
      </c>
      <c r="Z990" t="s">
        <v>74</v>
      </c>
      <c r="AA990" t="s">
        <v>19025</v>
      </c>
      <c r="AB990" t="s">
        <v>19026</v>
      </c>
      <c r="AC990" t="s">
        <v>19027</v>
      </c>
      <c r="AD990" t="s">
        <v>19028</v>
      </c>
      <c r="AE990" t="s">
        <v>19029</v>
      </c>
      <c r="AF990" t="s">
        <v>74</v>
      </c>
      <c r="AG990">
        <v>49</v>
      </c>
      <c r="AH990">
        <v>2</v>
      </c>
      <c r="AI990">
        <v>2</v>
      </c>
      <c r="AJ990">
        <v>7</v>
      </c>
      <c r="AK990">
        <v>21</v>
      </c>
      <c r="AL990" t="s">
        <v>768</v>
      </c>
      <c r="AM990" t="s">
        <v>2866</v>
      </c>
      <c r="AN990" t="s">
        <v>2867</v>
      </c>
      <c r="AO990" t="s">
        <v>2868</v>
      </c>
      <c r="AP990" t="s">
        <v>2869</v>
      </c>
      <c r="AQ990" t="s">
        <v>74</v>
      </c>
      <c r="AR990" t="s">
        <v>2870</v>
      </c>
      <c r="AS990" t="s">
        <v>2871</v>
      </c>
      <c r="AT990" t="s">
        <v>1437</v>
      </c>
      <c r="AU990">
        <v>2023</v>
      </c>
      <c r="AV990">
        <v>35</v>
      </c>
      <c r="AW990">
        <v>2</v>
      </c>
      <c r="AX990" t="s">
        <v>74</v>
      </c>
      <c r="AY990" t="s">
        <v>74</v>
      </c>
      <c r="AZ990" t="s">
        <v>74</v>
      </c>
      <c r="BA990" t="s">
        <v>74</v>
      </c>
      <c r="BB990">
        <v>625</v>
      </c>
      <c r="BC990">
        <v>637</v>
      </c>
      <c r="BD990" t="s">
        <v>74</v>
      </c>
      <c r="BE990" t="s">
        <v>19030</v>
      </c>
      <c r="BF990" t="str">
        <f>HYPERLINK("http://dx.doi.org/10.1007/s10811-023-02903-6","http://dx.doi.org/10.1007/s10811-023-02903-6")</f>
        <v>http://dx.doi.org/10.1007/s10811-023-02903-6</v>
      </c>
      <c r="BG990" t="s">
        <v>74</v>
      </c>
      <c r="BH990" t="s">
        <v>16484</v>
      </c>
      <c r="BI990">
        <v>13</v>
      </c>
      <c r="BJ990" t="s">
        <v>2873</v>
      </c>
      <c r="BK990" t="s">
        <v>103</v>
      </c>
      <c r="BL990" t="s">
        <v>2873</v>
      </c>
      <c r="BM990" t="s">
        <v>19031</v>
      </c>
      <c r="BN990" t="s">
        <v>74</v>
      </c>
      <c r="BO990" t="s">
        <v>74</v>
      </c>
      <c r="BP990" t="s">
        <v>74</v>
      </c>
      <c r="BQ990" t="s">
        <v>74</v>
      </c>
      <c r="BR990" t="s">
        <v>106</v>
      </c>
      <c r="BS990" t="s">
        <v>19032</v>
      </c>
      <c r="BT990" t="str">
        <f>HYPERLINK("https%3A%2F%2Fwww.webofscience.com%2Fwos%2Fwoscc%2Ffull-record%2FWOS:000920113900001","View Full Record in Web of Science")</f>
        <v>View Full Record in Web of Science</v>
      </c>
    </row>
    <row r="991" spans="1:72" x14ac:dyDescent="0.15">
      <c r="A991" t="s">
        <v>72</v>
      </c>
      <c r="B991" t="s">
        <v>19033</v>
      </c>
      <c r="C991" t="s">
        <v>74</v>
      </c>
      <c r="D991" t="s">
        <v>74</v>
      </c>
      <c r="E991" t="s">
        <v>74</v>
      </c>
      <c r="F991" t="s">
        <v>19034</v>
      </c>
      <c r="G991" t="s">
        <v>74</v>
      </c>
      <c r="H991" t="s">
        <v>74</v>
      </c>
      <c r="I991" t="s">
        <v>19035</v>
      </c>
      <c r="J991" t="s">
        <v>19036</v>
      </c>
      <c r="K991" t="s">
        <v>74</v>
      </c>
      <c r="L991" t="s">
        <v>74</v>
      </c>
      <c r="M991" t="s">
        <v>78</v>
      </c>
      <c r="N991" t="s">
        <v>112</v>
      </c>
      <c r="O991" t="s">
        <v>74</v>
      </c>
      <c r="P991" t="s">
        <v>74</v>
      </c>
      <c r="Q991" t="s">
        <v>74</v>
      </c>
      <c r="R991" t="s">
        <v>74</v>
      </c>
      <c r="S991" t="s">
        <v>74</v>
      </c>
      <c r="T991" t="s">
        <v>19037</v>
      </c>
      <c r="U991" t="s">
        <v>19038</v>
      </c>
      <c r="V991" t="s">
        <v>19039</v>
      </c>
      <c r="W991" t="s">
        <v>19040</v>
      </c>
      <c r="X991" t="s">
        <v>19041</v>
      </c>
      <c r="Y991" t="s">
        <v>19042</v>
      </c>
      <c r="Z991" t="s">
        <v>19043</v>
      </c>
      <c r="AA991" t="s">
        <v>74</v>
      </c>
      <c r="AB991" t="s">
        <v>74</v>
      </c>
      <c r="AC991" t="s">
        <v>19044</v>
      </c>
      <c r="AD991" t="s">
        <v>19045</v>
      </c>
      <c r="AE991" t="s">
        <v>19046</v>
      </c>
      <c r="AF991" t="s">
        <v>74</v>
      </c>
      <c r="AG991">
        <v>40</v>
      </c>
      <c r="AH991">
        <v>0</v>
      </c>
      <c r="AI991">
        <v>0</v>
      </c>
      <c r="AJ991">
        <v>0</v>
      </c>
      <c r="AK991">
        <v>4</v>
      </c>
      <c r="AL991" t="s">
        <v>225</v>
      </c>
      <c r="AM991" t="s">
        <v>226</v>
      </c>
      <c r="AN991" t="s">
        <v>227</v>
      </c>
      <c r="AO991" t="s">
        <v>19047</v>
      </c>
      <c r="AP991" t="s">
        <v>19048</v>
      </c>
      <c r="AQ991" t="s">
        <v>74</v>
      </c>
      <c r="AR991" t="s">
        <v>19049</v>
      </c>
      <c r="AS991" t="s">
        <v>19050</v>
      </c>
      <c r="AT991" t="s">
        <v>1437</v>
      </c>
      <c r="AU991">
        <v>2023</v>
      </c>
      <c r="AV991">
        <v>107</v>
      </c>
      <c r="AW991" t="s">
        <v>74</v>
      </c>
      <c r="AX991" t="s">
        <v>74</v>
      </c>
      <c r="AY991" t="s">
        <v>74</v>
      </c>
      <c r="AZ991" t="s">
        <v>74</v>
      </c>
      <c r="BA991" t="s">
        <v>74</v>
      </c>
      <c r="BB991" t="s">
        <v>74</v>
      </c>
      <c r="BC991" t="s">
        <v>74</v>
      </c>
      <c r="BD991">
        <v>104583</v>
      </c>
      <c r="BE991" t="s">
        <v>19051</v>
      </c>
      <c r="BF991" t="str">
        <f>HYPERLINK("http://dx.doi.org/10.1016/j.bse.2023.104583","http://dx.doi.org/10.1016/j.bse.2023.104583")</f>
        <v>http://dx.doi.org/10.1016/j.bse.2023.104583</v>
      </c>
      <c r="BG991" t="s">
        <v>74</v>
      </c>
      <c r="BH991" t="s">
        <v>16484</v>
      </c>
      <c r="BI991">
        <v>4</v>
      </c>
      <c r="BJ991" t="s">
        <v>3287</v>
      </c>
      <c r="BK991" t="s">
        <v>103</v>
      </c>
      <c r="BL991" t="s">
        <v>3288</v>
      </c>
      <c r="BM991" t="s">
        <v>19052</v>
      </c>
      <c r="BN991" t="s">
        <v>74</v>
      </c>
      <c r="BO991" t="s">
        <v>74</v>
      </c>
      <c r="BP991" t="s">
        <v>74</v>
      </c>
      <c r="BQ991" t="s">
        <v>74</v>
      </c>
      <c r="BR991" t="s">
        <v>106</v>
      </c>
      <c r="BS991" t="s">
        <v>19053</v>
      </c>
      <c r="BT991" t="str">
        <f>HYPERLINK("https%3A%2F%2Fwww.webofscience.com%2Fwos%2Fwoscc%2Ffull-record%2FWOS:000936552500001","View Full Record in Web of Science")</f>
        <v>View Full Record in Web of Science</v>
      </c>
    </row>
    <row r="992" spans="1:72" x14ac:dyDescent="0.15">
      <c r="A992" t="s">
        <v>72</v>
      </c>
      <c r="B992" t="s">
        <v>19054</v>
      </c>
      <c r="C992" t="s">
        <v>74</v>
      </c>
      <c r="D992" t="s">
        <v>74</v>
      </c>
      <c r="E992" t="s">
        <v>74</v>
      </c>
      <c r="F992" t="s">
        <v>19055</v>
      </c>
      <c r="G992" t="s">
        <v>74</v>
      </c>
      <c r="H992" t="s">
        <v>74</v>
      </c>
      <c r="I992" t="s">
        <v>19056</v>
      </c>
      <c r="J992" t="s">
        <v>2904</v>
      </c>
      <c r="K992" t="s">
        <v>74</v>
      </c>
      <c r="L992" t="s">
        <v>74</v>
      </c>
      <c r="M992" t="s">
        <v>78</v>
      </c>
      <c r="N992" t="s">
        <v>112</v>
      </c>
      <c r="O992" t="s">
        <v>74</v>
      </c>
      <c r="P992" t="s">
        <v>74</v>
      </c>
      <c r="Q992" t="s">
        <v>74</v>
      </c>
      <c r="R992" t="s">
        <v>74</v>
      </c>
      <c r="S992" t="s">
        <v>74</v>
      </c>
      <c r="T992" t="s">
        <v>19057</v>
      </c>
      <c r="U992" t="s">
        <v>19058</v>
      </c>
      <c r="V992" t="s">
        <v>19059</v>
      </c>
      <c r="W992" t="s">
        <v>19060</v>
      </c>
      <c r="X992" t="s">
        <v>19061</v>
      </c>
      <c r="Y992" t="s">
        <v>19062</v>
      </c>
      <c r="Z992" t="s">
        <v>19063</v>
      </c>
      <c r="AA992" t="s">
        <v>19064</v>
      </c>
      <c r="AB992" t="s">
        <v>19065</v>
      </c>
      <c r="AC992" t="s">
        <v>19066</v>
      </c>
      <c r="AD992" t="s">
        <v>19067</v>
      </c>
      <c r="AE992" t="s">
        <v>19068</v>
      </c>
      <c r="AF992" t="s">
        <v>74</v>
      </c>
      <c r="AG992">
        <v>101</v>
      </c>
      <c r="AH992">
        <v>5</v>
      </c>
      <c r="AI992">
        <v>5</v>
      </c>
      <c r="AJ992">
        <v>1</v>
      </c>
      <c r="AK992">
        <v>6</v>
      </c>
      <c r="AL992" t="s">
        <v>447</v>
      </c>
      <c r="AM992" t="s">
        <v>448</v>
      </c>
      <c r="AN992" t="s">
        <v>449</v>
      </c>
      <c r="AO992" t="s">
        <v>2916</v>
      </c>
      <c r="AP992" t="s">
        <v>2917</v>
      </c>
      <c r="AQ992" t="s">
        <v>74</v>
      </c>
      <c r="AR992" t="s">
        <v>2918</v>
      </c>
      <c r="AS992" t="s">
        <v>2919</v>
      </c>
      <c r="AT992" t="s">
        <v>1437</v>
      </c>
      <c r="AU992">
        <v>2023</v>
      </c>
      <c r="AV992">
        <v>116</v>
      </c>
      <c r="AW992" t="s">
        <v>74</v>
      </c>
      <c r="AX992" t="s">
        <v>74</v>
      </c>
      <c r="AY992" t="s">
        <v>74</v>
      </c>
      <c r="AZ992" t="s">
        <v>74</v>
      </c>
      <c r="BA992" t="s">
        <v>74</v>
      </c>
      <c r="BB992">
        <v>104</v>
      </c>
      <c r="BC992">
        <v>112</v>
      </c>
      <c r="BD992" t="s">
        <v>74</v>
      </c>
      <c r="BE992" t="s">
        <v>19069</v>
      </c>
      <c r="BF992" t="str">
        <f>HYPERLINK("http://dx.doi.org/10.1016/j.gr.2022.12.008","http://dx.doi.org/10.1016/j.gr.2022.12.008")</f>
        <v>http://dx.doi.org/10.1016/j.gr.2022.12.008</v>
      </c>
      <c r="BG992" t="s">
        <v>74</v>
      </c>
      <c r="BH992" t="s">
        <v>16484</v>
      </c>
      <c r="BI992">
        <v>9</v>
      </c>
      <c r="BJ992" t="s">
        <v>261</v>
      </c>
      <c r="BK992" t="s">
        <v>103</v>
      </c>
      <c r="BL992" t="s">
        <v>262</v>
      </c>
      <c r="BM992" t="s">
        <v>19070</v>
      </c>
      <c r="BN992" t="s">
        <v>74</v>
      </c>
      <c r="BO992" t="s">
        <v>430</v>
      </c>
      <c r="BP992" t="s">
        <v>74</v>
      </c>
      <c r="BQ992" t="s">
        <v>74</v>
      </c>
      <c r="BR992" t="s">
        <v>106</v>
      </c>
      <c r="BS992" t="s">
        <v>19071</v>
      </c>
      <c r="BT992" t="str">
        <f>HYPERLINK("https%3A%2F%2Fwww.webofscience.com%2Fwos%2Fwoscc%2Ffull-record%2FWOS:000925928200001","View Full Record in Web of Science")</f>
        <v>View Full Record in Web of Science</v>
      </c>
    </row>
    <row r="993" spans="1:72" x14ac:dyDescent="0.15">
      <c r="A993" t="s">
        <v>72</v>
      </c>
      <c r="B993" t="s">
        <v>19072</v>
      </c>
      <c r="C993" t="s">
        <v>74</v>
      </c>
      <c r="D993" t="s">
        <v>74</v>
      </c>
      <c r="E993" t="s">
        <v>74</v>
      </c>
      <c r="F993" t="s">
        <v>19073</v>
      </c>
      <c r="G993" t="s">
        <v>74</v>
      </c>
      <c r="H993" t="s">
        <v>74</v>
      </c>
      <c r="I993" t="s">
        <v>19074</v>
      </c>
      <c r="J993" t="s">
        <v>2058</v>
      </c>
      <c r="K993" t="s">
        <v>74</v>
      </c>
      <c r="L993" t="s">
        <v>74</v>
      </c>
      <c r="M993" t="s">
        <v>78</v>
      </c>
      <c r="N993" t="s">
        <v>1118</v>
      </c>
      <c r="O993" t="s">
        <v>74</v>
      </c>
      <c r="P993" t="s">
        <v>74</v>
      </c>
      <c r="Q993" t="s">
        <v>74</v>
      </c>
      <c r="R993" t="s">
        <v>74</v>
      </c>
      <c r="S993" t="s">
        <v>74</v>
      </c>
      <c r="T993" t="s">
        <v>74</v>
      </c>
      <c r="U993" t="s">
        <v>19075</v>
      </c>
      <c r="V993" t="s">
        <v>19076</v>
      </c>
      <c r="W993" t="s">
        <v>19077</v>
      </c>
      <c r="X993" t="s">
        <v>19078</v>
      </c>
      <c r="Y993" t="s">
        <v>19079</v>
      </c>
      <c r="Z993" t="s">
        <v>19080</v>
      </c>
      <c r="AA993" t="s">
        <v>19081</v>
      </c>
      <c r="AB993" t="s">
        <v>19082</v>
      </c>
      <c r="AC993" t="s">
        <v>19083</v>
      </c>
      <c r="AD993" t="s">
        <v>19083</v>
      </c>
      <c r="AE993" t="s">
        <v>19084</v>
      </c>
      <c r="AF993" t="s">
        <v>74</v>
      </c>
      <c r="AG993">
        <v>121</v>
      </c>
      <c r="AH993">
        <v>3</v>
      </c>
      <c r="AI993">
        <v>3</v>
      </c>
      <c r="AJ993">
        <v>0</v>
      </c>
      <c r="AK993">
        <v>4</v>
      </c>
      <c r="AL993" t="s">
        <v>794</v>
      </c>
      <c r="AM993" t="s">
        <v>795</v>
      </c>
      <c r="AN993" t="s">
        <v>796</v>
      </c>
      <c r="AO993" t="s">
        <v>2069</v>
      </c>
      <c r="AP993" t="s">
        <v>2070</v>
      </c>
      <c r="AQ993" t="s">
        <v>74</v>
      </c>
      <c r="AR993" t="s">
        <v>2071</v>
      </c>
      <c r="AS993" t="s">
        <v>2072</v>
      </c>
      <c r="AT993" t="s">
        <v>19085</v>
      </c>
      <c r="AU993">
        <v>2023</v>
      </c>
      <c r="AV993">
        <v>15</v>
      </c>
      <c r="AW993">
        <v>1</v>
      </c>
      <c r="AX993" t="s">
        <v>74</v>
      </c>
      <c r="AY993" t="s">
        <v>74</v>
      </c>
      <c r="AZ993" t="s">
        <v>74</v>
      </c>
      <c r="BA993" t="s">
        <v>74</v>
      </c>
      <c r="BB993">
        <v>171</v>
      </c>
      <c r="BC993">
        <v>187</v>
      </c>
      <c r="BD993" t="s">
        <v>74</v>
      </c>
      <c r="BE993" t="s">
        <v>19086</v>
      </c>
      <c r="BF993" t="str">
        <f>HYPERLINK("http://dx.doi.org/10.5194/essd-15-171-2023","http://dx.doi.org/10.5194/essd-15-171-2023")</f>
        <v>http://dx.doi.org/10.5194/essd-15-171-2023</v>
      </c>
      <c r="BG993" t="s">
        <v>74</v>
      </c>
      <c r="BH993" t="s">
        <v>74</v>
      </c>
      <c r="BI993">
        <v>17</v>
      </c>
      <c r="BJ993" t="s">
        <v>1041</v>
      </c>
      <c r="BK993" t="s">
        <v>103</v>
      </c>
      <c r="BL993" t="s">
        <v>1042</v>
      </c>
      <c r="BM993" t="s">
        <v>19087</v>
      </c>
      <c r="BN993" t="s">
        <v>74</v>
      </c>
      <c r="BO993" t="s">
        <v>2600</v>
      </c>
      <c r="BP993" t="s">
        <v>74</v>
      </c>
      <c r="BQ993" t="s">
        <v>74</v>
      </c>
      <c r="BR993" t="s">
        <v>106</v>
      </c>
      <c r="BS993" t="s">
        <v>19088</v>
      </c>
      <c r="BT993" t="str">
        <f>HYPERLINK("https%3A%2F%2Fwww.webofscience.com%2Fwos%2Fwoscc%2Ffull-record%2FWOS:000911424500001","View Full Record in Web of Science")</f>
        <v>View Full Record in Web of Science</v>
      </c>
    </row>
    <row r="994" spans="1:72" x14ac:dyDescent="0.15">
      <c r="A994" t="s">
        <v>72</v>
      </c>
      <c r="B994" t="s">
        <v>19089</v>
      </c>
      <c r="C994" t="s">
        <v>74</v>
      </c>
      <c r="D994" t="s">
        <v>74</v>
      </c>
      <c r="E994" t="s">
        <v>74</v>
      </c>
      <c r="F994" t="s">
        <v>19090</v>
      </c>
      <c r="G994" t="s">
        <v>74</v>
      </c>
      <c r="H994" t="s">
        <v>74</v>
      </c>
      <c r="I994" t="s">
        <v>19091</v>
      </c>
      <c r="J994" t="s">
        <v>3772</v>
      </c>
      <c r="K994" t="s">
        <v>74</v>
      </c>
      <c r="L994" t="s">
        <v>74</v>
      </c>
      <c r="M994" t="s">
        <v>78</v>
      </c>
      <c r="N994" t="s">
        <v>112</v>
      </c>
      <c r="O994" t="s">
        <v>74</v>
      </c>
      <c r="P994" t="s">
        <v>74</v>
      </c>
      <c r="Q994" t="s">
        <v>74</v>
      </c>
      <c r="R994" t="s">
        <v>74</v>
      </c>
      <c r="S994" t="s">
        <v>74</v>
      </c>
      <c r="T994" t="s">
        <v>19092</v>
      </c>
      <c r="U994" t="s">
        <v>19093</v>
      </c>
      <c r="V994" t="s">
        <v>19094</v>
      </c>
      <c r="W994" t="s">
        <v>19095</v>
      </c>
      <c r="X994" t="s">
        <v>19096</v>
      </c>
      <c r="Y994" t="s">
        <v>19097</v>
      </c>
      <c r="Z994" t="s">
        <v>19098</v>
      </c>
      <c r="AA994" t="s">
        <v>19099</v>
      </c>
      <c r="AB994" t="s">
        <v>19100</v>
      </c>
      <c r="AC994" t="s">
        <v>74</v>
      </c>
      <c r="AD994" t="s">
        <v>74</v>
      </c>
      <c r="AE994" t="s">
        <v>74</v>
      </c>
      <c r="AF994" t="s">
        <v>74</v>
      </c>
      <c r="AG994">
        <v>67</v>
      </c>
      <c r="AH994">
        <v>7</v>
      </c>
      <c r="AI994">
        <v>8</v>
      </c>
      <c r="AJ994">
        <v>10</v>
      </c>
      <c r="AK994">
        <v>33</v>
      </c>
      <c r="AL994" t="s">
        <v>2116</v>
      </c>
      <c r="AM994" t="s">
        <v>226</v>
      </c>
      <c r="AN994" t="s">
        <v>2117</v>
      </c>
      <c r="AO994" t="s">
        <v>3784</v>
      </c>
      <c r="AP994" t="s">
        <v>3785</v>
      </c>
      <c r="AQ994" t="s">
        <v>74</v>
      </c>
      <c r="AR994" t="s">
        <v>3786</v>
      </c>
      <c r="AS994" t="s">
        <v>3787</v>
      </c>
      <c r="AT994" t="s">
        <v>8322</v>
      </c>
      <c r="AU994">
        <v>2023</v>
      </c>
      <c r="AV994">
        <v>80</v>
      </c>
      <c r="AW994">
        <v>2</v>
      </c>
      <c r="AX994" t="s">
        <v>74</v>
      </c>
      <c r="AY994" t="s">
        <v>74</v>
      </c>
      <c r="AZ994" t="s">
        <v>74</v>
      </c>
      <c r="BA994" t="s">
        <v>74</v>
      </c>
      <c r="BB994">
        <v>272</v>
      </c>
      <c r="BC994">
        <v>281</v>
      </c>
      <c r="BD994" t="s">
        <v>74</v>
      </c>
      <c r="BE994" t="s">
        <v>19101</v>
      </c>
      <c r="BF994" t="str">
        <f>HYPERLINK("http://dx.doi.org/10.1093/icesjms/fsac221","http://dx.doi.org/10.1093/icesjms/fsac221")</f>
        <v>http://dx.doi.org/10.1093/icesjms/fsac221</v>
      </c>
      <c r="BG994" t="s">
        <v>74</v>
      </c>
      <c r="BH994" t="s">
        <v>16484</v>
      </c>
      <c r="BI994">
        <v>10</v>
      </c>
      <c r="BJ994" t="s">
        <v>3790</v>
      </c>
      <c r="BK994" t="s">
        <v>103</v>
      </c>
      <c r="BL994" t="s">
        <v>3790</v>
      </c>
      <c r="BM994" t="s">
        <v>18179</v>
      </c>
      <c r="BN994" t="s">
        <v>74</v>
      </c>
      <c r="BO994" t="s">
        <v>136</v>
      </c>
      <c r="BP994" t="s">
        <v>74</v>
      </c>
      <c r="BQ994" t="s">
        <v>74</v>
      </c>
      <c r="BR994" t="s">
        <v>106</v>
      </c>
      <c r="BS994" t="s">
        <v>19102</v>
      </c>
      <c r="BT994" t="str">
        <f>HYPERLINK("https%3A%2F%2Fwww.webofscience.com%2Fwos%2Fwoscc%2Ffull-record%2FWOS:000909835300001","View Full Record in Web of Science")</f>
        <v>View Full Record in Web of Science</v>
      </c>
    </row>
    <row r="995" spans="1:72" x14ac:dyDescent="0.15">
      <c r="A995" t="s">
        <v>72</v>
      </c>
      <c r="B995" t="s">
        <v>19103</v>
      </c>
      <c r="C995" t="s">
        <v>74</v>
      </c>
      <c r="D995" t="s">
        <v>74</v>
      </c>
      <c r="E995" t="s">
        <v>74</v>
      </c>
      <c r="F995" t="s">
        <v>19104</v>
      </c>
      <c r="G995" t="s">
        <v>74</v>
      </c>
      <c r="H995" t="s">
        <v>74</v>
      </c>
      <c r="I995" t="s">
        <v>19105</v>
      </c>
      <c r="J995" t="s">
        <v>9906</v>
      </c>
      <c r="K995" t="s">
        <v>74</v>
      </c>
      <c r="L995" t="s">
        <v>74</v>
      </c>
      <c r="M995" t="s">
        <v>78</v>
      </c>
      <c r="N995" t="s">
        <v>112</v>
      </c>
      <c r="O995" t="s">
        <v>74</v>
      </c>
      <c r="P995" t="s">
        <v>74</v>
      </c>
      <c r="Q995" t="s">
        <v>74</v>
      </c>
      <c r="R995" t="s">
        <v>74</v>
      </c>
      <c r="S995" t="s">
        <v>74</v>
      </c>
      <c r="T995" t="s">
        <v>74</v>
      </c>
      <c r="U995" t="s">
        <v>19106</v>
      </c>
      <c r="V995" t="s">
        <v>19107</v>
      </c>
      <c r="W995" t="s">
        <v>19108</v>
      </c>
      <c r="X995" t="s">
        <v>19109</v>
      </c>
      <c r="Y995" t="s">
        <v>19110</v>
      </c>
      <c r="Z995" t="s">
        <v>19111</v>
      </c>
      <c r="AA995" t="s">
        <v>74</v>
      </c>
      <c r="AB995" t="s">
        <v>19112</v>
      </c>
      <c r="AC995" t="s">
        <v>19113</v>
      </c>
      <c r="AD995" t="s">
        <v>19114</v>
      </c>
      <c r="AE995" t="s">
        <v>19115</v>
      </c>
      <c r="AF995" t="s">
        <v>74</v>
      </c>
      <c r="AG995">
        <v>47</v>
      </c>
      <c r="AH995">
        <v>7</v>
      </c>
      <c r="AI995">
        <v>7</v>
      </c>
      <c r="AJ995">
        <v>2</v>
      </c>
      <c r="AK995">
        <v>7</v>
      </c>
      <c r="AL995" t="s">
        <v>203</v>
      </c>
      <c r="AM995" t="s">
        <v>204</v>
      </c>
      <c r="AN995" t="s">
        <v>205</v>
      </c>
      <c r="AO995" t="s">
        <v>9917</v>
      </c>
      <c r="AP995" t="s">
        <v>9918</v>
      </c>
      <c r="AQ995" t="s">
        <v>74</v>
      </c>
      <c r="AR995" t="s">
        <v>9919</v>
      </c>
      <c r="AS995" t="s">
        <v>9920</v>
      </c>
      <c r="AT995" t="s">
        <v>972</v>
      </c>
      <c r="AU995">
        <v>2023</v>
      </c>
      <c r="AV995">
        <v>16</v>
      </c>
      <c r="AW995">
        <v>1</v>
      </c>
      <c r="AX995" t="s">
        <v>74</v>
      </c>
      <c r="AY995" t="s">
        <v>74</v>
      </c>
      <c r="AZ995" t="s">
        <v>74</v>
      </c>
      <c r="BA995" t="s">
        <v>74</v>
      </c>
      <c r="BB995">
        <v>37</v>
      </c>
      <c r="BC995" t="s">
        <v>1385</v>
      </c>
      <c r="BD995" t="s">
        <v>74</v>
      </c>
      <c r="BE995" t="s">
        <v>19116</v>
      </c>
      <c r="BF995" t="str">
        <f>HYPERLINK("http://dx.doi.org/10.1038/s41561-022-01097-9","http://dx.doi.org/10.1038/s41561-022-01097-9")</f>
        <v>http://dx.doi.org/10.1038/s41561-022-01097-9</v>
      </c>
      <c r="BG995" t="s">
        <v>74</v>
      </c>
      <c r="BH995" t="s">
        <v>16484</v>
      </c>
      <c r="BI995">
        <v>11</v>
      </c>
      <c r="BJ995" t="s">
        <v>261</v>
      </c>
      <c r="BK995" t="s">
        <v>103</v>
      </c>
      <c r="BL995" t="s">
        <v>262</v>
      </c>
      <c r="BM995" t="s">
        <v>19117</v>
      </c>
      <c r="BN995" t="s">
        <v>74</v>
      </c>
      <c r="BO995" t="s">
        <v>74</v>
      </c>
      <c r="BP995" t="s">
        <v>74</v>
      </c>
      <c r="BQ995" t="s">
        <v>74</v>
      </c>
      <c r="BR995" t="s">
        <v>106</v>
      </c>
      <c r="BS995" t="s">
        <v>19118</v>
      </c>
      <c r="BT995" t="str">
        <f>HYPERLINK("https%3A%2F%2Fwww.webofscience.com%2Fwos%2Fwoscc%2Ffull-record%2FWOS:000913823600003","View Full Record in Web of Science")</f>
        <v>View Full Record in Web of Science</v>
      </c>
    </row>
    <row r="996" spans="1:72" x14ac:dyDescent="0.15">
      <c r="A996" t="s">
        <v>72</v>
      </c>
      <c r="B996" t="s">
        <v>19119</v>
      </c>
      <c r="C996" t="s">
        <v>74</v>
      </c>
      <c r="D996" t="s">
        <v>74</v>
      </c>
      <c r="E996" t="s">
        <v>74</v>
      </c>
      <c r="F996" t="s">
        <v>19120</v>
      </c>
      <c r="G996" t="s">
        <v>74</v>
      </c>
      <c r="H996" t="s">
        <v>74</v>
      </c>
      <c r="I996" t="s">
        <v>19121</v>
      </c>
      <c r="J996" t="s">
        <v>1729</v>
      </c>
      <c r="K996" t="s">
        <v>74</v>
      </c>
      <c r="L996" t="s">
        <v>74</v>
      </c>
      <c r="M996" t="s">
        <v>78</v>
      </c>
      <c r="N996" t="s">
        <v>112</v>
      </c>
      <c r="O996" t="s">
        <v>74</v>
      </c>
      <c r="P996" t="s">
        <v>74</v>
      </c>
      <c r="Q996" t="s">
        <v>74</v>
      </c>
      <c r="R996" t="s">
        <v>74</v>
      </c>
      <c r="S996" t="s">
        <v>74</v>
      </c>
      <c r="T996" t="s">
        <v>19122</v>
      </c>
      <c r="U996" t="s">
        <v>19123</v>
      </c>
      <c r="V996" t="s">
        <v>19124</v>
      </c>
      <c r="W996" t="s">
        <v>19125</v>
      </c>
      <c r="X996" t="s">
        <v>13455</v>
      </c>
      <c r="Y996" t="s">
        <v>19126</v>
      </c>
      <c r="Z996" t="s">
        <v>19127</v>
      </c>
      <c r="AA996" t="s">
        <v>19128</v>
      </c>
      <c r="AB996" t="s">
        <v>19129</v>
      </c>
      <c r="AC996" t="s">
        <v>19130</v>
      </c>
      <c r="AD996" t="s">
        <v>19130</v>
      </c>
      <c r="AE996" t="s">
        <v>19131</v>
      </c>
      <c r="AF996" t="s">
        <v>74</v>
      </c>
      <c r="AG996">
        <v>73</v>
      </c>
      <c r="AH996">
        <v>3</v>
      </c>
      <c r="AI996">
        <v>3</v>
      </c>
      <c r="AJ996">
        <v>14</v>
      </c>
      <c r="AK996">
        <v>26</v>
      </c>
      <c r="AL996" t="s">
        <v>1405</v>
      </c>
      <c r="AM996" t="s">
        <v>226</v>
      </c>
      <c r="AN996" t="s">
        <v>1406</v>
      </c>
      <c r="AO996" t="s">
        <v>1742</v>
      </c>
      <c r="AP996" t="s">
        <v>1743</v>
      </c>
      <c r="AQ996" t="s">
        <v>74</v>
      </c>
      <c r="AR996" t="s">
        <v>1744</v>
      </c>
      <c r="AS996" t="s">
        <v>1745</v>
      </c>
      <c r="AT996" t="s">
        <v>13198</v>
      </c>
      <c r="AU996">
        <v>2023</v>
      </c>
      <c r="AV996">
        <v>319</v>
      </c>
      <c r="AW996" t="s">
        <v>74</v>
      </c>
      <c r="AX996" t="s">
        <v>74</v>
      </c>
      <c r="AY996" t="s">
        <v>74</v>
      </c>
      <c r="AZ996" t="s">
        <v>74</v>
      </c>
      <c r="BA996" t="s">
        <v>74</v>
      </c>
      <c r="BB996" t="s">
        <v>74</v>
      </c>
      <c r="BC996" t="s">
        <v>74</v>
      </c>
      <c r="BD996">
        <v>120844</v>
      </c>
      <c r="BE996" t="s">
        <v>19132</v>
      </c>
      <c r="BF996" t="str">
        <f>HYPERLINK("http://dx.doi.org/10.1016/j.envpol.2022.120844","http://dx.doi.org/10.1016/j.envpol.2022.120844")</f>
        <v>http://dx.doi.org/10.1016/j.envpol.2022.120844</v>
      </c>
      <c r="BG996" t="s">
        <v>74</v>
      </c>
      <c r="BH996" t="s">
        <v>16484</v>
      </c>
      <c r="BI996">
        <v>9</v>
      </c>
      <c r="BJ996" t="s">
        <v>1163</v>
      </c>
      <c r="BK996" t="s">
        <v>103</v>
      </c>
      <c r="BL996" t="s">
        <v>1164</v>
      </c>
      <c r="BM996" t="s">
        <v>19133</v>
      </c>
      <c r="BN996">
        <v>36596375</v>
      </c>
      <c r="BO996" t="s">
        <v>74</v>
      </c>
      <c r="BP996" t="s">
        <v>74</v>
      </c>
      <c r="BQ996" t="s">
        <v>74</v>
      </c>
      <c r="BR996" t="s">
        <v>106</v>
      </c>
      <c r="BS996" t="s">
        <v>19134</v>
      </c>
      <c r="BT996" t="str">
        <f>HYPERLINK("https%3A%2F%2Fwww.webofscience.com%2Fwos%2Fwoscc%2Ffull-record%2FWOS:000923440900001","View Full Record in Web of Science")</f>
        <v>View Full Record in Web of Science</v>
      </c>
    </row>
    <row r="997" spans="1:72" x14ac:dyDescent="0.15">
      <c r="A997" t="s">
        <v>72</v>
      </c>
      <c r="B997" t="s">
        <v>19135</v>
      </c>
      <c r="C997" t="s">
        <v>74</v>
      </c>
      <c r="D997" t="s">
        <v>74</v>
      </c>
      <c r="E997" t="s">
        <v>74</v>
      </c>
      <c r="F997" t="s">
        <v>19136</v>
      </c>
      <c r="G997" t="s">
        <v>74</v>
      </c>
      <c r="H997" t="s">
        <v>74</v>
      </c>
      <c r="I997" t="s">
        <v>19137</v>
      </c>
      <c r="J997" t="s">
        <v>759</v>
      </c>
      <c r="K997" t="s">
        <v>74</v>
      </c>
      <c r="L997" t="s">
        <v>74</v>
      </c>
      <c r="M997" t="s">
        <v>78</v>
      </c>
      <c r="N997" t="s">
        <v>112</v>
      </c>
      <c r="O997" t="s">
        <v>74</v>
      </c>
      <c r="P997" t="s">
        <v>74</v>
      </c>
      <c r="Q997" t="s">
        <v>74</v>
      </c>
      <c r="R997" t="s">
        <v>74</v>
      </c>
      <c r="S997" t="s">
        <v>74</v>
      </c>
      <c r="T997" t="s">
        <v>19138</v>
      </c>
      <c r="U997" t="s">
        <v>19139</v>
      </c>
      <c r="V997" t="s">
        <v>19140</v>
      </c>
      <c r="W997" t="s">
        <v>19141</v>
      </c>
      <c r="X997" t="s">
        <v>19142</v>
      </c>
      <c r="Y997" t="s">
        <v>19143</v>
      </c>
      <c r="Z997" t="s">
        <v>19144</v>
      </c>
      <c r="AA997" t="s">
        <v>19145</v>
      </c>
      <c r="AB997" t="s">
        <v>74</v>
      </c>
      <c r="AC997" t="s">
        <v>19146</v>
      </c>
      <c r="AD997" t="s">
        <v>19147</v>
      </c>
      <c r="AE997" t="s">
        <v>19148</v>
      </c>
      <c r="AF997" t="s">
        <v>74</v>
      </c>
      <c r="AG997">
        <v>30</v>
      </c>
      <c r="AH997">
        <v>0</v>
      </c>
      <c r="AI997">
        <v>0</v>
      </c>
      <c r="AJ997">
        <v>2</v>
      </c>
      <c r="AK997">
        <v>8</v>
      </c>
      <c r="AL997" t="s">
        <v>768</v>
      </c>
      <c r="AM997" t="s">
        <v>179</v>
      </c>
      <c r="AN997" t="s">
        <v>769</v>
      </c>
      <c r="AO997" t="s">
        <v>770</v>
      </c>
      <c r="AP997" t="s">
        <v>771</v>
      </c>
      <c r="AQ997" t="s">
        <v>74</v>
      </c>
      <c r="AR997" t="s">
        <v>772</v>
      </c>
      <c r="AS997" t="s">
        <v>773</v>
      </c>
      <c r="AT997" t="s">
        <v>8210</v>
      </c>
      <c r="AU997">
        <v>2023</v>
      </c>
      <c r="AV997">
        <v>46</v>
      </c>
      <c r="AW997">
        <v>2</v>
      </c>
      <c r="AX997" t="s">
        <v>74</v>
      </c>
      <c r="AY997" t="s">
        <v>74</v>
      </c>
      <c r="AZ997" t="s">
        <v>74</v>
      </c>
      <c r="BA997" t="s">
        <v>74</v>
      </c>
      <c r="BB997">
        <v>133</v>
      </c>
      <c r="BC997">
        <v>138</v>
      </c>
      <c r="BD997" t="s">
        <v>74</v>
      </c>
      <c r="BE997" t="s">
        <v>19149</v>
      </c>
      <c r="BF997" t="str">
        <f>HYPERLINK("http://dx.doi.org/10.1007/s00300-022-03111-7","http://dx.doi.org/10.1007/s00300-022-03111-7")</f>
        <v>http://dx.doi.org/10.1007/s00300-022-03111-7</v>
      </c>
      <c r="BG997" t="s">
        <v>74</v>
      </c>
      <c r="BH997" t="s">
        <v>16484</v>
      </c>
      <c r="BI997">
        <v>6</v>
      </c>
      <c r="BJ997" t="s">
        <v>775</v>
      </c>
      <c r="BK997" t="s">
        <v>103</v>
      </c>
      <c r="BL997" t="s">
        <v>776</v>
      </c>
      <c r="BM997" t="s">
        <v>16134</v>
      </c>
      <c r="BN997" t="s">
        <v>74</v>
      </c>
      <c r="BO997" t="s">
        <v>1389</v>
      </c>
      <c r="BP997" t="s">
        <v>74</v>
      </c>
      <c r="BQ997" t="s">
        <v>74</v>
      </c>
      <c r="BR997" t="s">
        <v>106</v>
      </c>
      <c r="BS997" t="s">
        <v>19150</v>
      </c>
      <c r="BT997" t="str">
        <f>HYPERLINK("https%3A%2F%2Fwww.webofscience.com%2Fwos%2Fwoscc%2Ffull-record%2FWOS:000910738300001","View Full Record in Web of Science")</f>
        <v>View Full Record in Web of Science</v>
      </c>
    </row>
    <row r="998" spans="1:72" x14ac:dyDescent="0.15">
      <c r="A998" t="s">
        <v>72</v>
      </c>
      <c r="B998" t="s">
        <v>19151</v>
      </c>
      <c r="C998" t="s">
        <v>74</v>
      </c>
      <c r="D998" t="s">
        <v>74</v>
      </c>
      <c r="E998" t="s">
        <v>74</v>
      </c>
      <c r="F998" t="s">
        <v>19152</v>
      </c>
      <c r="G998" t="s">
        <v>74</v>
      </c>
      <c r="H998" t="s">
        <v>74</v>
      </c>
      <c r="I998" t="s">
        <v>19153</v>
      </c>
      <c r="J998" t="s">
        <v>194</v>
      </c>
      <c r="K998" t="s">
        <v>74</v>
      </c>
      <c r="L998" t="s">
        <v>74</v>
      </c>
      <c r="M998" t="s">
        <v>78</v>
      </c>
      <c r="N998" t="s">
        <v>112</v>
      </c>
      <c r="O998" t="s">
        <v>74</v>
      </c>
      <c r="P998" t="s">
        <v>74</v>
      </c>
      <c r="Q998" t="s">
        <v>74</v>
      </c>
      <c r="R998" t="s">
        <v>74</v>
      </c>
      <c r="S998" t="s">
        <v>74</v>
      </c>
      <c r="T998" t="s">
        <v>74</v>
      </c>
      <c r="U998" t="s">
        <v>19154</v>
      </c>
      <c r="V998" t="s">
        <v>19155</v>
      </c>
      <c r="W998" t="s">
        <v>19156</v>
      </c>
      <c r="X998" t="s">
        <v>19157</v>
      </c>
      <c r="Y998" t="s">
        <v>19158</v>
      </c>
      <c r="Z998" t="s">
        <v>19159</v>
      </c>
      <c r="AA998" t="s">
        <v>19160</v>
      </c>
      <c r="AB998" t="s">
        <v>19161</v>
      </c>
      <c r="AC998" t="s">
        <v>19162</v>
      </c>
      <c r="AD998" t="s">
        <v>19163</v>
      </c>
      <c r="AE998" t="s">
        <v>19164</v>
      </c>
      <c r="AF998" t="s">
        <v>74</v>
      </c>
      <c r="AG998">
        <v>72</v>
      </c>
      <c r="AH998">
        <v>2</v>
      </c>
      <c r="AI998">
        <v>2</v>
      </c>
      <c r="AJ998">
        <v>1</v>
      </c>
      <c r="AK998">
        <v>2</v>
      </c>
      <c r="AL998" t="s">
        <v>203</v>
      </c>
      <c r="AM998" t="s">
        <v>204</v>
      </c>
      <c r="AN998" t="s">
        <v>205</v>
      </c>
      <c r="AO998" t="s">
        <v>206</v>
      </c>
      <c r="AP998" t="s">
        <v>74</v>
      </c>
      <c r="AQ998" t="s">
        <v>74</v>
      </c>
      <c r="AR998" t="s">
        <v>207</v>
      </c>
      <c r="AS998" t="s">
        <v>208</v>
      </c>
      <c r="AT998" t="s">
        <v>19165</v>
      </c>
      <c r="AU998">
        <v>2023</v>
      </c>
      <c r="AV998">
        <v>13</v>
      </c>
      <c r="AW998">
        <v>1</v>
      </c>
      <c r="AX998" t="s">
        <v>74</v>
      </c>
      <c r="AY998" t="s">
        <v>74</v>
      </c>
      <c r="AZ998" t="s">
        <v>74</v>
      </c>
      <c r="BA998" t="s">
        <v>74</v>
      </c>
      <c r="BB998" t="s">
        <v>74</v>
      </c>
      <c r="BC998" t="s">
        <v>74</v>
      </c>
      <c r="BD998">
        <v>320</v>
      </c>
      <c r="BE998" t="s">
        <v>19166</v>
      </c>
      <c r="BF998" t="str">
        <f>HYPERLINK("http://dx.doi.org/10.1038/s41598-023-27635-y","http://dx.doi.org/10.1038/s41598-023-27635-y")</f>
        <v>http://dx.doi.org/10.1038/s41598-023-27635-y</v>
      </c>
      <c r="BG998" t="s">
        <v>74</v>
      </c>
      <c r="BH998" t="s">
        <v>74</v>
      </c>
      <c r="BI998">
        <v>12</v>
      </c>
      <c r="BJ998" t="s">
        <v>210</v>
      </c>
      <c r="BK998" t="s">
        <v>103</v>
      </c>
      <c r="BL998" t="s">
        <v>211</v>
      </c>
      <c r="BM998" t="s">
        <v>19167</v>
      </c>
      <c r="BN998">
        <v>36609500</v>
      </c>
      <c r="BO998" t="s">
        <v>13568</v>
      </c>
      <c r="BP998" t="s">
        <v>74</v>
      </c>
      <c r="BQ998" t="s">
        <v>74</v>
      </c>
      <c r="BR998" t="s">
        <v>106</v>
      </c>
      <c r="BS998" t="s">
        <v>19168</v>
      </c>
      <c r="BT998" t="str">
        <f>HYPERLINK("https%3A%2F%2Fwww.webofscience.com%2Fwos%2Fwoscc%2Ffull-record%2FWOS:001031438900055","View Full Record in Web of Science")</f>
        <v>View Full Record in Web of Science</v>
      </c>
    </row>
    <row r="999" spans="1:72" x14ac:dyDescent="0.15">
      <c r="A999" t="s">
        <v>72</v>
      </c>
      <c r="B999" t="s">
        <v>19169</v>
      </c>
      <c r="C999" t="s">
        <v>74</v>
      </c>
      <c r="D999" t="s">
        <v>74</v>
      </c>
      <c r="E999" t="s">
        <v>74</v>
      </c>
      <c r="F999" t="s">
        <v>19170</v>
      </c>
      <c r="G999" t="s">
        <v>74</v>
      </c>
      <c r="H999" t="s">
        <v>74</v>
      </c>
      <c r="I999" t="s">
        <v>19171</v>
      </c>
      <c r="J999" t="s">
        <v>1025</v>
      </c>
      <c r="K999" t="s">
        <v>74</v>
      </c>
      <c r="L999" t="s">
        <v>74</v>
      </c>
      <c r="M999" t="s">
        <v>78</v>
      </c>
      <c r="N999" t="s">
        <v>112</v>
      </c>
      <c r="O999" t="s">
        <v>74</v>
      </c>
      <c r="P999" t="s">
        <v>74</v>
      </c>
      <c r="Q999" t="s">
        <v>74</v>
      </c>
      <c r="R999" t="s">
        <v>74</v>
      </c>
      <c r="S999" t="s">
        <v>74</v>
      </c>
      <c r="T999" t="s">
        <v>74</v>
      </c>
      <c r="U999" t="s">
        <v>19172</v>
      </c>
      <c r="V999" t="s">
        <v>19173</v>
      </c>
      <c r="W999" t="s">
        <v>19174</v>
      </c>
      <c r="X999" t="s">
        <v>19175</v>
      </c>
      <c r="Y999" t="s">
        <v>19176</v>
      </c>
      <c r="Z999" t="s">
        <v>1076</v>
      </c>
      <c r="AA999" t="s">
        <v>19177</v>
      </c>
      <c r="AB999" t="s">
        <v>19178</v>
      </c>
      <c r="AC999" t="s">
        <v>19179</v>
      </c>
      <c r="AD999" t="s">
        <v>19180</v>
      </c>
      <c r="AE999" t="s">
        <v>19181</v>
      </c>
      <c r="AF999" t="s">
        <v>74</v>
      </c>
      <c r="AG999">
        <v>48</v>
      </c>
      <c r="AH999">
        <v>2</v>
      </c>
      <c r="AI999">
        <v>2</v>
      </c>
      <c r="AJ999">
        <v>2</v>
      </c>
      <c r="AK999">
        <v>4</v>
      </c>
      <c r="AL999" t="s">
        <v>794</v>
      </c>
      <c r="AM999" t="s">
        <v>795</v>
      </c>
      <c r="AN999" t="s">
        <v>796</v>
      </c>
      <c r="AO999" t="s">
        <v>1036</v>
      </c>
      <c r="AP999" t="s">
        <v>1037</v>
      </c>
      <c r="AQ999" t="s">
        <v>74</v>
      </c>
      <c r="AR999" t="s">
        <v>1038</v>
      </c>
      <c r="AS999" t="s">
        <v>1039</v>
      </c>
      <c r="AT999" t="s">
        <v>19165</v>
      </c>
      <c r="AU999">
        <v>2023</v>
      </c>
      <c r="AV999">
        <v>19</v>
      </c>
      <c r="AW999">
        <v>1</v>
      </c>
      <c r="AX999" t="s">
        <v>74</v>
      </c>
      <c r="AY999" t="s">
        <v>74</v>
      </c>
      <c r="AZ999" t="s">
        <v>74</v>
      </c>
      <c r="BA999" t="s">
        <v>74</v>
      </c>
      <c r="BB999">
        <v>23</v>
      </c>
      <c r="BC999">
        <v>33</v>
      </c>
      <c r="BD999" t="s">
        <v>74</v>
      </c>
      <c r="BE999" t="s">
        <v>19182</v>
      </c>
      <c r="BF999" t="str">
        <f>HYPERLINK("http://dx.doi.org/10.5194/cp-19-23-2023","http://dx.doi.org/10.5194/cp-19-23-2023")</f>
        <v>http://dx.doi.org/10.5194/cp-19-23-2023</v>
      </c>
      <c r="BG999" t="s">
        <v>74</v>
      </c>
      <c r="BH999" t="s">
        <v>74</v>
      </c>
      <c r="BI999">
        <v>11</v>
      </c>
      <c r="BJ999" t="s">
        <v>1041</v>
      </c>
      <c r="BK999" t="s">
        <v>103</v>
      </c>
      <c r="BL999" t="s">
        <v>1042</v>
      </c>
      <c r="BM999" t="s">
        <v>19183</v>
      </c>
      <c r="BN999" t="s">
        <v>74</v>
      </c>
      <c r="BO999" t="s">
        <v>3241</v>
      </c>
      <c r="BP999" t="s">
        <v>74</v>
      </c>
      <c r="BQ999" t="s">
        <v>74</v>
      </c>
      <c r="BR999" t="s">
        <v>106</v>
      </c>
      <c r="BS999" t="s">
        <v>19184</v>
      </c>
      <c r="BT999" t="str">
        <f>HYPERLINK("https%3A%2F%2Fwww.webofscience.com%2Fwos%2Fwoscc%2Ffull-record%2FWOS:000909209500001","View Full Record in Web of Science")</f>
        <v>View Full Record in Web of Science</v>
      </c>
    </row>
    <row r="1000" spans="1:72" x14ac:dyDescent="0.15">
      <c r="A1000" t="s">
        <v>72</v>
      </c>
      <c r="B1000" t="s">
        <v>19185</v>
      </c>
      <c r="C1000" t="s">
        <v>74</v>
      </c>
      <c r="D1000" t="s">
        <v>74</v>
      </c>
      <c r="E1000" t="s">
        <v>74</v>
      </c>
      <c r="F1000" t="s">
        <v>19186</v>
      </c>
      <c r="G1000" t="s">
        <v>74</v>
      </c>
      <c r="H1000" t="s">
        <v>74</v>
      </c>
      <c r="I1000" t="s">
        <v>19187</v>
      </c>
      <c r="J1000" t="s">
        <v>2032</v>
      </c>
      <c r="K1000" t="s">
        <v>74</v>
      </c>
      <c r="L1000" t="s">
        <v>74</v>
      </c>
      <c r="M1000" t="s">
        <v>78</v>
      </c>
      <c r="N1000" t="s">
        <v>112</v>
      </c>
      <c r="O1000" t="s">
        <v>74</v>
      </c>
      <c r="P1000" t="s">
        <v>74</v>
      </c>
      <c r="Q1000" t="s">
        <v>74</v>
      </c>
      <c r="R1000" t="s">
        <v>74</v>
      </c>
      <c r="S1000" t="s">
        <v>74</v>
      </c>
      <c r="T1000" t="s">
        <v>74</v>
      </c>
      <c r="U1000" t="s">
        <v>19188</v>
      </c>
      <c r="V1000" t="s">
        <v>19189</v>
      </c>
      <c r="W1000" t="s">
        <v>19190</v>
      </c>
      <c r="X1000" t="s">
        <v>19191</v>
      </c>
      <c r="Y1000" t="s">
        <v>19192</v>
      </c>
      <c r="Z1000" t="s">
        <v>19193</v>
      </c>
      <c r="AA1000" t="s">
        <v>19194</v>
      </c>
      <c r="AB1000" t="s">
        <v>19195</v>
      </c>
      <c r="AC1000" t="s">
        <v>74</v>
      </c>
      <c r="AD1000" t="s">
        <v>74</v>
      </c>
      <c r="AE1000" t="s">
        <v>74</v>
      </c>
      <c r="AF1000" t="s">
        <v>74</v>
      </c>
      <c r="AG1000">
        <v>68</v>
      </c>
      <c r="AH1000">
        <v>4</v>
      </c>
      <c r="AI1000">
        <v>4</v>
      </c>
      <c r="AJ1000">
        <v>2</v>
      </c>
      <c r="AK1000">
        <v>10</v>
      </c>
      <c r="AL1000" t="s">
        <v>2044</v>
      </c>
      <c r="AM1000" t="s">
        <v>2045</v>
      </c>
      <c r="AN1000" t="s">
        <v>2046</v>
      </c>
      <c r="AO1000" t="s">
        <v>2047</v>
      </c>
      <c r="AP1000" t="s">
        <v>74</v>
      </c>
      <c r="AQ1000" t="s">
        <v>74</v>
      </c>
      <c r="AR1000" t="s">
        <v>2032</v>
      </c>
      <c r="AS1000" t="s">
        <v>2048</v>
      </c>
      <c r="AT1000" t="s">
        <v>19165</v>
      </c>
      <c r="AU1000">
        <v>2023</v>
      </c>
      <c r="AV1000">
        <v>18</v>
      </c>
      <c r="AW1000">
        <v>1</v>
      </c>
      <c r="AX1000" t="s">
        <v>74</v>
      </c>
      <c r="AY1000" t="s">
        <v>74</v>
      </c>
      <c r="AZ1000" t="s">
        <v>74</v>
      </c>
      <c r="BA1000" t="s">
        <v>74</v>
      </c>
      <c r="BB1000" t="s">
        <v>74</v>
      </c>
      <c r="BC1000" t="s">
        <v>74</v>
      </c>
      <c r="BD1000" t="s">
        <v>19196</v>
      </c>
      <c r="BE1000" t="s">
        <v>19197</v>
      </c>
      <c r="BF1000" t="str">
        <f>HYPERLINK("http://dx.doi.org/10.1371/journal.pone.0279200","http://dx.doi.org/10.1371/journal.pone.0279200")</f>
        <v>http://dx.doi.org/10.1371/journal.pone.0279200</v>
      </c>
      <c r="BG1000" t="s">
        <v>74</v>
      </c>
      <c r="BH1000" t="s">
        <v>74</v>
      </c>
      <c r="BI1000">
        <v>17</v>
      </c>
      <c r="BJ1000" t="s">
        <v>210</v>
      </c>
      <c r="BK1000" t="s">
        <v>103</v>
      </c>
      <c r="BL1000" t="s">
        <v>211</v>
      </c>
      <c r="BM1000" t="s">
        <v>19198</v>
      </c>
      <c r="BN1000">
        <v>36607974</v>
      </c>
      <c r="BO1000" t="s">
        <v>136</v>
      </c>
      <c r="BP1000" t="s">
        <v>74</v>
      </c>
      <c r="BQ1000" t="s">
        <v>74</v>
      </c>
      <c r="BR1000" t="s">
        <v>106</v>
      </c>
      <c r="BS1000" t="s">
        <v>19199</v>
      </c>
      <c r="BT1000" t="str">
        <f>HYPERLINK("https%3A%2F%2Fwww.webofscience.com%2Fwos%2Fwoscc%2Ffull-record%2FWOS:000945454200001","View Full Record in Web of Science")</f>
        <v>View Full Record in Web of Science</v>
      </c>
    </row>
    <row r="1001" spans="1:72" x14ac:dyDescent="0.15">
      <c r="A1001" t="s">
        <v>72</v>
      </c>
      <c r="B1001" t="s">
        <v>19200</v>
      </c>
      <c r="C1001" t="s">
        <v>74</v>
      </c>
      <c r="D1001" t="s">
        <v>74</v>
      </c>
      <c r="E1001" t="s">
        <v>74</v>
      </c>
      <c r="F1001" t="s">
        <v>19201</v>
      </c>
      <c r="G1001" t="s">
        <v>74</v>
      </c>
      <c r="H1001" t="s">
        <v>74</v>
      </c>
      <c r="I1001" t="s">
        <v>19202</v>
      </c>
      <c r="J1001" t="s">
        <v>9081</v>
      </c>
      <c r="K1001" t="s">
        <v>74</v>
      </c>
      <c r="L1001" t="s">
        <v>74</v>
      </c>
      <c r="M1001" t="s">
        <v>78</v>
      </c>
      <c r="N1001" t="s">
        <v>112</v>
      </c>
      <c r="O1001" t="s">
        <v>74</v>
      </c>
      <c r="P1001" t="s">
        <v>74</v>
      </c>
      <c r="Q1001" t="s">
        <v>74</v>
      </c>
      <c r="R1001" t="s">
        <v>74</v>
      </c>
      <c r="S1001" t="s">
        <v>74</v>
      </c>
      <c r="T1001" t="s">
        <v>19203</v>
      </c>
      <c r="U1001" t="s">
        <v>19204</v>
      </c>
      <c r="V1001" t="s">
        <v>19205</v>
      </c>
      <c r="W1001" t="s">
        <v>19206</v>
      </c>
      <c r="X1001" t="s">
        <v>19207</v>
      </c>
      <c r="Y1001" t="s">
        <v>19208</v>
      </c>
      <c r="Z1001" t="s">
        <v>19209</v>
      </c>
      <c r="AA1001" t="s">
        <v>19210</v>
      </c>
      <c r="AB1001" t="s">
        <v>19211</v>
      </c>
      <c r="AC1001" t="s">
        <v>19212</v>
      </c>
      <c r="AD1001" t="s">
        <v>19213</v>
      </c>
      <c r="AE1001" t="s">
        <v>19214</v>
      </c>
      <c r="AF1001" t="s">
        <v>74</v>
      </c>
      <c r="AG1001">
        <v>85</v>
      </c>
      <c r="AH1001">
        <v>0</v>
      </c>
      <c r="AI1001">
        <v>0</v>
      </c>
      <c r="AJ1001">
        <v>3</v>
      </c>
      <c r="AK1001">
        <v>6</v>
      </c>
      <c r="AL1001" t="s">
        <v>225</v>
      </c>
      <c r="AM1001" t="s">
        <v>226</v>
      </c>
      <c r="AN1001" t="s">
        <v>227</v>
      </c>
      <c r="AO1001" t="s">
        <v>9094</v>
      </c>
      <c r="AP1001" t="s">
        <v>9095</v>
      </c>
      <c r="AQ1001" t="s">
        <v>74</v>
      </c>
      <c r="AR1001" t="s">
        <v>9096</v>
      </c>
      <c r="AS1001" t="s">
        <v>9097</v>
      </c>
      <c r="AT1001" t="s">
        <v>16098</v>
      </c>
      <c r="AU1001">
        <v>2023</v>
      </c>
      <c r="AV1001">
        <v>301</v>
      </c>
      <c r="AW1001" t="s">
        <v>74</v>
      </c>
      <c r="AX1001" t="s">
        <v>74</v>
      </c>
      <c r="AY1001" t="s">
        <v>74</v>
      </c>
      <c r="AZ1001" t="s">
        <v>74</v>
      </c>
      <c r="BA1001" t="s">
        <v>74</v>
      </c>
      <c r="BB1001" t="s">
        <v>74</v>
      </c>
      <c r="BC1001" t="s">
        <v>74</v>
      </c>
      <c r="BD1001">
        <v>107934</v>
      </c>
      <c r="BE1001" t="s">
        <v>19215</v>
      </c>
      <c r="BF1001" t="str">
        <f>HYPERLINK("http://dx.doi.org/10.1016/j.quascirev.2022.107934","http://dx.doi.org/10.1016/j.quascirev.2022.107934")</f>
        <v>http://dx.doi.org/10.1016/j.quascirev.2022.107934</v>
      </c>
      <c r="BG1001" t="s">
        <v>74</v>
      </c>
      <c r="BH1001" t="s">
        <v>16484</v>
      </c>
      <c r="BI1001">
        <v>14</v>
      </c>
      <c r="BJ1001" t="s">
        <v>801</v>
      </c>
      <c r="BK1001" t="s">
        <v>103</v>
      </c>
      <c r="BL1001" t="s">
        <v>802</v>
      </c>
      <c r="BM1001" t="s">
        <v>19216</v>
      </c>
      <c r="BN1001" t="s">
        <v>74</v>
      </c>
      <c r="BO1001" t="s">
        <v>430</v>
      </c>
      <c r="BP1001" t="s">
        <v>74</v>
      </c>
      <c r="BQ1001" t="s">
        <v>74</v>
      </c>
      <c r="BR1001" t="s">
        <v>106</v>
      </c>
      <c r="BS1001" t="s">
        <v>19217</v>
      </c>
      <c r="BT1001" t="str">
        <f>HYPERLINK("https%3A%2F%2Fwww.webofscience.com%2Fwos%2Fwoscc%2Ffull-record%2FWOS:000921472400001","View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2024-07-28T15:23:30Z</dcterms:created>
  <dcterms:modified xsi:type="dcterms:W3CDTF">2024-07-28T15:23:30Z</dcterms:modified>
</cp:coreProperties>
</file>